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表" sheetId="77" state="hidden" r:id="rId14"/>
    <sheet name="数据-汇总表" sheetId="6" r:id="rId15"/>
    <sheet name="数据-取费表" sheetId="1" r:id="rId16"/>
    <sheet name="估价对象房地状况" sheetId="20" r:id="rId17"/>
    <sheet name="系统读取表" sheetId="74" r:id="rId18"/>
    <sheet name="结果表" sheetId="9" state="hidden" r:id="rId19"/>
    <sheet name="结果表汇总" sheetId="80" r:id="rId20"/>
    <sheet name="成本法" sheetId="68" r:id="rId21"/>
    <sheet name="成本法 (元)" sheetId="69" state="hidden" r:id="rId22"/>
    <sheet name="假设开发法" sheetId="12" state="hidden" r:id="rId23"/>
    <sheet name="基准地价修正" sheetId="43" r:id="rId24"/>
    <sheet name="比较法-住宅" sheetId="21" r:id="rId25"/>
    <sheet name="典型户型修正" sheetId="31" r:id="rId26"/>
    <sheet name="收益法 (1201-1)" sheetId="78" state="hidden" r:id="rId27"/>
    <sheet name="结果表 (2)" sheetId="79" r:id="rId28"/>
    <sheet name="收益法" sheetId="15" r:id="rId29"/>
    <sheet name="收益法 (元)" sheetId="67" state="hidden" r:id="rId30"/>
    <sheet name="收益法（汇总）" sheetId="70" state="hidden" r:id="rId31"/>
    <sheet name="酒店收入计算" sheetId="66" state="hidden" r:id="rId32"/>
    <sheet name="比较法-商业" sheetId="33" r:id="rId33"/>
    <sheet name="比较法-公寓"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 (2)" sheetId="82" state="hidden" r:id="rId49"/>
    <sheet name="基准地价修正 (2)" sheetId="81" state="hidden" r:id="rId50"/>
  </sheets>
  <externalReferences>
    <externalReference r:id="rId51"/>
  </externalReferences>
  <definedNames>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'比较法-公寓'!$A$1:$L$50</definedName>
    <definedName name="_xlnm._FilterDatabase" localSheetId="32" hidden="1">'比较法-商业'!$A$1:$L$49</definedName>
    <definedName name="_xlnm._FilterDatabase" localSheetId="2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2">'比较法-商业'!$A$1:$K$54</definedName>
    <definedName name="_xlnm.Print_Area" localSheetId="24">'比较法-住宅'!$A$1:$K$54</definedName>
    <definedName name="_xlnm.Print_Area" localSheetId="20">成本法!$A$1:$G$52</definedName>
    <definedName name="_xlnm.Print_Area" localSheetId="25">典型户型修正!$A$1:$T$525</definedName>
    <definedName name="_xlnm.Print_Area" localSheetId="8">估价师及机构信息!$A$1:$F$29</definedName>
    <definedName name="_xlnm.Print_Area" localSheetId="23">基准地价修正!$A$1:$J$78</definedName>
    <definedName name="_xlnm.Print_Area" localSheetId="18">结果表!$A$1:$I$141</definedName>
    <definedName name="_xlnm.Print_Area" localSheetId="27">'结果表 (2)'!$A$1:$I$141</definedName>
    <definedName name="_xlnm.Print_Area" localSheetId="28">收益法!$A$1:$L$60</definedName>
    <definedName name="_xlnm.Print_Area" localSheetId="26">'收益法 (1201-1)'!$A$1:$F$43</definedName>
    <definedName name="_xlnm.Print_Area" localSheetId="29">'收益法 (元)'!$A$1:$AK$69</definedName>
    <definedName name="_xlnm.Print_Area" localSheetId="14">'数据-汇总表'!$A$1:$I$31</definedName>
    <definedName name="_xlnm.Print_Area" localSheetId="11">'数据-基础表'!$AX$5:$BC$241</definedName>
    <definedName name="_xlnm.Print_Area" localSheetId="15">'数据-取费表'!$A$1:$AM$59</definedName>
    <definedName name="_xlnm.Print_Area" localSheetId="10">项目基本情况!$A$1:$I$38</definedName>
    <definedName name="八级">区片价!$O$1:$O$40</definedName>
    <definedName name="办公层高">'比较法-公寓'!$B$119:$M$119</definedName>
    <definedName name="办公朝向">'比较法-公寓'!$B$91:$M$91</definedName>
    <definedName name="办公道路级别">'比较法-公寓'!$B$87:$M$87</definedName>
    <definedName name="办公公共部分装修">'比较法-公寓'!$B$108:$M$108</definedName>
    <definedName name="办公基础设施水平">'比较法-公寓'!$B$117:$M$117</definedName>
    <definedName name="办公集聚程度">定义!$M$1:$M$6</definedName>
    <definedName name="办公建筑结构">'比较法-公寓'!$B$106:$M$106</definedName>
    <definedName name="办公建筑类型">'比较法-公寓'!$B$101:$M$101</definedName>
    <definedName name="办公交易情况">'比较法-公寓'!$A$62:$M$62</definedName>
    <definedName name="办公楼层">'比较法-公寓'!$B$89:$M$89</definedName>
    <definedName name="办公内部装修">'比较法-公寓'!$B$123:$M$123</definedName>
    <definedName name="办公物业管理">'比较法-公寓'!$B$115:$M$115</definedName>
    <definedName name="办公用途">'比较法-公寓'!$B$64:$M$64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9">'基准地价修正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'比较法-公寓'!$B$113:$M$113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B8" i="80" l="1"/>
  <c r="B5" i="80"/>
  <c r="T7" i="31" l="1"/>
  <c r="B15" i="74"/>
  <c r="B14" i="74"/>
  <c r="D29" i="43"/>
  <c r="D29" i="81"/>
  <c r="G3" i="81"/>
  <c r="AG11" i="81" s="1"/>
  <c r="G41" i="82"/>
  <c r="F38" i="82"/>
  <c r="E37" i="82"/>
  <c r="F36" i="82"/>
  <c r="F35" i="82"/>
  <c r="F34" i="82"/>
  <c r="F30" i="82"/>
  <c r="C48" i="82" s="1"/>
  <c r="G22" i="82"/>
  <c r="F21" i="82"/>
  <c r="C40" i="82" s="1"/>
  <c r="C21" i="82"/>
  <c r="F20" i="82"/>
  <c r="E19" i="82"/>
  <c r="E10" i="82"/>
  <c r="E9" i="82"/>
  <c r="F7" i="82"/>
  <c r="G1" i="82"/>
  <c r="F113" i="81"/>
  <c r="N99" i="81"/>
  <c r="N108" i="81" s="1"/>
  <c r="M99" i="81"/>
  <c r="L99" i="81"/>
  <c r="L108" i="81" s="1"/>
  <c r="K99" i="81"/>
  <c r="J99" i="81"/>
  <c r="J108" i="81" s="1"/>
  <c r="I99" i="81"/>
  <c r="H99" i="81"/>
  <c r="H108" i="81" s="1"/>
  <c r="G99" i="81"/>
  <c r="F99" i="81"/>
  <c r="F108" i="81" s="1"/>
  <c r="E99" i="81"/>
  <c r="D99" i="81"/>
  <c r="D108" i="81" s="1"/>
  <c r="C99" i="81"/>
  <c r="N88" i="81"/>
  <c r="M88" i="81"/>
  <c r="K88" i="81"/>
  <c r="J88" i="81" s="1"/>
  <c r="D88" i="81"/>
  <c r="B88" i="81"/>
  <c r="N87" i="81"/>
  <c r="M87" i="81"/>
  <c r="K87" i="81"/>
  <c r="J87" i="81" s="1"/>
  <c r="D87" i="81"/>
  <c r="N86" i="81"/>
  <c r="M86" i="81"/>
  <c r="K86" i="81"/>
  <c r="J86" i="81" s="1"/>
  <c r="D86" i="81"/>
  <c r="B86" i="81"/>
  <c r="N85" i="81"/>
  <c r="M85" i="81"/>
  <c r="K85" i="81"/>
  <c r="J85" i="81" s="1"/>
  <c r="D85" i="81"/>
  <c r="B85" i="81"/>
  <c r="M84" i="81"/>
  <c r="N84" i="81" s="1"/>
  <c r="K84" i="81"/>
  <c r="J84" i="81"/>
  <c r="D84" i="81"/>
  <c r="B84" i="81"/>
  <c r="N83" i="81"/>
  <c r="M83" i="81"/>
  <c r="K83" i="81"/>
  <c r="J83" i="81" s="1"/>
  <c r="D83" i="81"/>
  <c r="B83" i="81"/>
  <c r="M82" i="81"/>
  <c r="N82" i="81" s="1"/>
  <c r="K82" i="81"/>
  <c r="J82" i="81"/>
  <c r="D82" i="81"/>
  <c r="B82" i="81"/>
  <c r="N81" i="81"/>
  <c r="M81" i="81"/>
  <c r="K81" i="81"/>
  <c r="J81" i="81" s="1"/>
  <c r="F81" i="81"/>
  <c r="H88" i="81" s="1"/>
  <c r="E81" i="81"/>
  <c r="B79" i="81" s="1"/>
  <c r="D81" i="81"/>
  <c r="B81" i="81"/>
  <c r="C77" i="81"/>
  <c r="B77" i="81"/>
  <c r="B75" i="81"/>
  <c r="B74" i="81"/>
  <c r="B73" i="81"/>
  <c r="B72" i="81"/>
  <c r="C71" i="81"/>
  <c r="B71" i="81"/>
  <c r="C70" i="81"/>
  <c r="B70" i="81"/>
  <c r="M67" i="81"/>
  <c r="N67" i="81" s="1"/>
  <c r="K67" i="81"/>
  <c r="J67" i="81"/>
  <c r="D67" i="81"/>
  <c r="B67" i="81"/>
  <c r="N66" i="81"/>
  <c r="M66" i="81"/>
  <c r="K66" i="81"/>
  <c r="J66" i="81" s="1"/>
  <c r="D66" i="81"/>
  <c r="B66" i="81"/>
  <c r="M65" i="81"/>
  <c r="N65" i="81" s="1"/>
  <c r="K65" i="81"/>
  <c r="J65" i="81"/>
  <c r="D65" i="81"/>
  <c r="B65" i="81"/>
  <c r="N64" i="81"/>
  <c r="M64" i="81"/>
  <c r="K64" i="81"/>
  <c r="J64" i="81" s="1"/>
  <c r="D64" i="81"/>
  <c r="N63" i="81"/>
  <c r="M63" i="81"/>
  <c r="K63" i="81"/>
  <c r="J63" i="81" s="1"/>
  <c r="D63" i="81"/>
  <c r="B63" i="81"/>
  <c r="M62" i="81"/>
  <c r="N62" i="81" s="1"/>
  <c r="K62" i="81"/>
  <c r="J62" i="81"/>
  <c r="D62" i="81"/>
  <c r="M61" i="81"/>
  <c r="N61" i="81" s="1"/>
  <c r="K61" i="81"/>
  <c r="J61" i="81"/>
  <c r="D61" i="81"/>
  <c r="B61" i="81"/>
  <c r="N60" i="81"/>
  <c r="M60" i="81"/>
  <c r="K60" i="81"/>
  <c r="J60" i="81" s="1"/>
  <c r="D60" i="81"/>
  <c r="B60" i="81"/>
  <c r="M59" i="81"/>
  <c r="N59" i="81" s="1"/>
  <c r="K59" i="81"/>
  <c r="J59" i="81"/>
  <c r="F59" i="81"/>
  <c r="D59" i="81"/>
  <c r="E59" i="81" s="1"/>
  <c r="B59" i="81"/>
  <c r="B57" i="81"/>
  <c r="C56" i="81"/>
  <c r="B56" i="81"/>
  <c r="C55" i="81"/>
  <c r="B55" i="81"/>
  <c r="C54" i="81"/>
  <c r="B54" i="81"/>
  <c r="C53" i="81"/>
  <c r="C52" i="81"/>
  <c r="B52" i="81"/>
  <c r="D51" i="81"/>
  <c r="D50" i="81"/>
  <c r="B50" i="81"/>
  <c r="C49" i="81"/>
  <c r="B49" i="81"/>
  <c r="B48" i="81"/>
  <c r="H39" i="81"/>
  <c r="H38" i="81"/>
  <c r="H37" i="81"/>
  <c r="H36" i="81"/>
  <c r="H35" i="81"/>
  <c r="H34" i="81"/>
  <c r="H33" i="81"/>
  <c r="F22" i="81"/>
  <c r="J20" i="81"/>
  <c r="I20" i="81"/>
  <c r="M19" i="81"/>
  <c r="I19" i="81"/>
  <c r="G19" i="81"/>
  <c r="P25" i="81" s="1"/>
  <c r="C18" i="81"/>
  <c r="F15" i="81"/>
  <c r="E15" i="81"/>
  <c r="D15" i="81"/>
  <c r="C12" i="81" s="1"/>
  <c r="C15" i="81"/>
  <c r="AJ12" i="81"/>
  <c r="AH12" i="81"/>
  <c r="AF12" i="81"/>
  <c r="AD12" i="81"/>
  <c r="AB12" i="81"/>
  <c r="Z12" i="81"/>
  <c r="Y12" i="81"/>
  <c r="AI11" i="81"/>
  <c r="AE11" i="81"/>
  <c r="AA11" i="81"/>
  <c r="Y10" i="81"/>
  <c r="C10" i="81"/>
  <c r="C11" i="81" s="1"/>
  <c r="E8" i="81" s="1"/>
  <c r="AJ9" i="81"/>
  <c r="AJ10" i="81" s="1"/>
  <c r="AI9" i="81"/>
  <c r="AI12" i="81" s="1"/>
  <c r="AH9" i="81"/>
  <c r="AH10" i="81" s="1"/>
  <c r="AG9" i="81"/>
  <c r="AG12" i="81" s="1"/>
  <c r="AF9" i="81"/>
  <c r="AF10" i="81" s="1"/>
  <c r="AE9" i="81"/>
  <c r="AE12" i="81" s="1"/>
  <c r="AD9" i="81"/>
  <c r="AD10" i="81" s="1"/>
  <c r="AC9" i="81"/>
  <c r="AC12" i="81" s="1"/>
  <c r="AB9" i="81"/>
  <c r="AB10" i="81" s="1"/>
  <c r="AA9" i="81"/>
  <c r="AA12" i="81" s="1"/>
  <c r="Z9" i="81"/>
  <c r="Z10" i="81" s="1"/>
  <c r="C9" i="81"/>
  <c r="X7" i="81"/>
  <c r="C7" i="81"/>
  <c r="A7" i="81"/>
  <c r="I2" i="81"/>
  <c r="G2" i="81"/>
  <c r="G17" i="81" s="1"/>
  <c r="D1" i="81"/>
  <c r="D9" i="68"/>
  <c r="D9" i="80"/>
  <c r="E8" i="80"/>
  <c r="D14" i="79"/>
  <c r="I36" i="33"/>
  <c r="G36" i="33"/>
  <c r="E36" i="33"/>
  <c r="C40" i="33"/>
  <c r="C36" i="33"/>
  <c r="E93" i="33"/>
  <c r="C56" i="43"/>
  <c r="C49" i="43"/>
  <c r="C52" i="43"/>
  <c r="C53" i="43"/>
  <c r="C54" i="43"/>
  <c r="C55" i="43"/>
  <c r="E5" i="80"/>
  <c r="D14" i="9"/>
  <c r="C77" i="43"/>
  <c r="C71" i="43"/>
  <c r="C70" i="43"/>
  <c r="A120" i="79"/>
  <c r="A118" i="79"/>
  <c r="H111" i="79"/>
  <c r="D126" i="79" s="1"/>
  <c r="D127" i="79" s="1"/>
  <c r="E111" i="79"/>
  <c r="A126" i="79" s="1"/>
  <c r="E109" i="79"/>
  <c r="A124" i="79" s="1"/>
  <c r="H107" i="79"/>
  <c r="D122" i="79" s="1"/>
  <c r="D123" i="79" s="1"/>
  <c r="E107" i="79"/>
  <c r="A122" i="79" s="1"/>
  <c r="H106" i="79"/>
  <c r="H105" i="79"/>
  <c r="H104" i="79"/>
  <c r="D101" i="79"/>
  <c r="C101" i="79"/>
  <c r="D93" i="79"/>
  <c r="C91" i="79"/>
  <c r="E90" i="79"/>
  <c r="D89" i="79"/>
  <c r="C89" i="79"/>
  <c r="C87"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8" i="79"/>
  <c r="B118" i="79" s="1"/>
  <c r="L18" i="79"/>
  <c r="C17" i="79"/>
  <c r="C18" i="79" s="1"/>
  <c r="D18" i="79" s="1"/>
  <c r="D17" i="79"/>
  <c r="L4" i="79"/>
  <c r="K4" i="79"/>
  <c r="A2" i="79"/>
  <c r="H1" i="79"/>
  <c r="U20" i="1"/>
  <c r="U21" i="1" s="1"/>
  <c r="U6" i="1" s="1"/>
  <c r="N8" i="1"/>
  <c r="N7" i="1"/>
  <c r="N6" i="1"/>
  <c r="C41" i="21"/>
  <c r="F27" i="82"/>
  <c r="D34" i="79"/>
  <c r="E2" i="82"/>
  <c r="D35" i="79"/>
  <c r="AA13" i="81" l="1"/>
  <c r="AE13" i="81"/>
  <c r="AG13" i="81"/>
  <c r="AI13" i="81"/>
  <c r="Y11" i="81"/>
  <c r="AC11" i="81"/>
  <c r="AC13" i="81" s="1"/>
  <c r="H103" i="79"/>
  <c r="D120" i="79" s="1"/>
  <c r="Y13" i="81"/>
  <c r="C17" i="81"/>
  <c r="I17" i="81"/>
  <c r="H22" i="81"/>
  <c r="H81" i="81"/>
  <c r="C47" i="82"/>
  <c r="D45" i="82" s="1"/>
  <c r="C29" i="82"/>
  <c r="D27" i="82" s="1"/>
  <c r="C9" i="82"/>
  <c r="C30" i="82"/>
  <c r="M12" i="81"/>
  <c r="N11" i="81"/>
  <c r="N10" i="81"/>
  <c r="M9" i="81"/>
  <c r="M8" i="81"/>
  <c r="M7" i="81"/>
  <c r="N6" i="81"/>
  <c r="N5" i="81"/>
  <c r="M4" i="81"/>
  <c r="N3" i="81"/>
  <c r="F48" i="81" s="1"/>
  <c r="M2" i="81"/>
  <c r="N1" i="81"/>
  <c r="M11" i="81"/>
  <c r="M10" i="81"/>
  <c r="N9" i="81"/>
  <c r="N12" i="81"/>
  <c r="M1" i="81"/>
  <c r="N2" i="81"/>
  <c r="M3" i="81"/>
  <c r="M6" i="81"/>
  <c r="N4" i="81"/>
  <c r="M5" i="81"/>
  <c r="N7" i="81"/>
  <c r="N8" i="81"/>
  <c r="E11" i="81"/>
  <c r="E10" i="81"/>
  <c r="E9" i="81"/>
  <c r="AA10" i="81"/>
  <c r="AC10" i="81"/>
  <c r="AE10" i="81"/>
  <c r="AG10" i="81"/>
  <c r="AI10" i="81"/>
  <c r="P22" i="81"/>
  <c r="P23" i="81"/>
  <c r="P24" i="81"/>
  <c r="H67" i="81"/>
  <c r="H65" i="81"/>
  <c r="H62" i="81"/>
  <c r="H61" i="81"/>
  <c r="H59" i="81"/>
  <c r="H66" i="81"/>
  <c r="H60" i="81"/>
  <c r="H64" i="81"/>
  <c r="H113" i="81"/>
  <c r="F70" i="81"/>
  <c r="B113" i="81"/>
  <c r="M101" i="81"/>
  <c r="K101" i="81"/>
  <c r="I101" i="81"/>
  <c r="G101" i="81"/>
  <c r="E101" i="81"/>
  <c r="C101" i="81"/>
  <c r="N101" i="81"/>
  <c r="N109" i="81" s="1"/>
  <c r="J101" i="81"/>
  <c r="F101" i="81"/>
  <c r="F109" i="81" s="1"/>
  <c r="L101" i="81"/>
  <c r="L109" i="81" s="1"/>
  <c r="H101" i="81"/>
  <c r="H109" i="81" s="1"/>
  <c r="D101" i="81"/>
  <c r="D109" i="81" s="1"/>
  <c r="C6" i="81"/>
  <c r="Z7" i="81"/>
  <c r="Z11" i="81"/>
  <c r="Z13" i="81" s="1"/>
  <c r="AB11" i="81"/>
  <c r="AB13" i="81" s="1"/>
  <c r="AD11" i="81"/>
  <c r="AD13" i="81" s="1"/>
  <c r="AF11" i="81"/>
  <c r="AF13" i="81" s="1"/>
  <c r="AH11" i="81"/>
  <c r="AH13" i="81" s="1"/>
  <c r="AJ11" i="81"/>
  <c r="AJ13" i="81" s="1"/>
  <c r="E17" i="81"/>
  <c r="H17" i="81"/>
  <c r="C16" i="81" s="1"/>
  <c r="J17" i="81"/>
  <c r="C19" i="81"/>
  <c r="O19" i="81"/>
  <c r="M20" i="81"/>
  <c r="P21" i="81"/>
  <c r="E22" i="81"/>
  <c r="G22" i="81"/>
  <c r="J22" i="81"/>
  <c r="F33" i="81"/>
  <c r="F34" i="81"/>
  <c r="F35" i="81"/>
  <c r="F36" i="81"/>
  <c r="F37" i="81"/>
  <c r="F38" i="81"/>
  <c r="F39" i="81"/>
  <c r="H63" i="81"/>
  <c r="H82" i="81"/>
  <c r="H84" i="81"/>
  <c r="H86" i="81"/>
  <c r="H87" i="81"/>
  <c r="C108" i="81"/>
  <c r="C109" i="81" s="1"/>
  <c r="C100" i="81"/>
  <c r="E108" i="81"/>
  <c r="E109" i="81" s="1"/>
  <c r="E100" i="81"/>
  <c r="G108" i="81"/>
  <c r="G109" i="81" s="1"/>
  <c r="G100" i="81"/>
  <c r="I108" i="81"/>
  <c r="I109" i="81" s="1"/>
  <c r="I100" i="81"/>
  <c r="K108" i="81"/>
  <c r="K109" i="81" s="1"/>
  <c r="K100" i="81"/>
  <c r="M108" i="81"/>
  <c r="M109" i="81" s="1"/>
  <c r="M100" i="81"/>
  <c r="D100" i="81"/>
  <c r="H100" i="81"/>
  <c r="L100" i="81"/>
  <c r="H83" i="81"/>
  <c r="H85" i="81"/>
  <c r="J109" i="81"/>
  <c r="F100" i="81"/>
  <c r="J100" i="81"/>
  <c r="N100" i="81"/>
  <c r="K120" i="79"/>
  <c r="D121" i="79"/>
  <c r="C92" i="79"/>
  <c r="C94" i="79"/>
  <c r="H108" i="79"/>
  <c r="H112" i="79"/>
  <c r="C11" i="21"/>
  <c r="D10" i="82"/>
  <c r="C36" i="82"/>
  <c r="H49" i="81" l="1"/>
  <c r="G49" i="81" s="1"/>
  <c r="H53" i="81"/>
  <c r="G53" i="81" s="1"/>
  <c r="H52" i="81"/>
  <c r="G52" i="81" s="1"/>
  <c r="H50" i="81"/>
  <c r="G50" i="81" s="1"/>
  <c r="H56" i="81"/>
  <c r="G56" i="81" s="1"/>
  <c r="H48" i="81"/>
  <c r="G48" i="81" s="1"/>
  <c r="H55" i="81"/>
  <c r="G55" i="81" s="1"/>
  <c r="H54" i="81"/>
  <c r="G54" i="81" s="1"/>
  <c r="H51" i="81"/>
  <c r="G51" i="81" s="1"/>
  <c r="D5" i="81"/>
  <c r="C10" i="82"/>
  <c r="D19" i="82"/>
  <c r="C8" i="82"/>
  <c r="K51" i="81"/>
  <c r="J51" i="81" s="1"/>
  <c r="M51" i="81"/>
  <c r="N51" i="81" s="1"/>
  <c r="K54" i="81"/>
  <c r="J54" i="81" s="1"/>
  <c r="D54" i="81" s="1"/>
  <c r="M54" i="81"/>
  <c r="N54" i="81" s="1"/>
  <c r="M55" i="81"/>
  <c r="N55" i="81" s="1"/>
  <c r="K55" i="81"/>
  <c r="J55" i="81" s="1"/>
  <c r="D55" i="81" s="1"/>
  <c r="K48" i="81"/>
  <c r="M48" i="81"/>
  <c r="N48" i="81" s="1"/>
  <c r="K56" i="81"/>
  <c r="M56" i="81"/>
  <c r="N56" i="81" s="1"/>
  <c r="D22" i="81"/>
  <c r="C21" i="81" s="1"/>
  <c r="C5" i="81"/>
  <c r="D107" i="81"/>
  <c r="D106" i="81"/>
  <c r="D105" i="81"/>
  <c r="D104" i="81"/>
  <c r="D103" i="81"/>
  <c r="D102" i="81"/>
  <c r="L107" i="81"/>
  <c r="L106" i="81"/>
  <c r="L105" i="81"/>
  <c r="L104" i="81"/>
  <c r="L103" i="81"/>
  <c r="L102" i="81"/>
  <c r="J107" i="81"/>
  <c r="J106" i="81"/>
  <c r="J105" i="81"/>
  <c r="J104" i="81"/>
  <c r="J103" i="81"/>
  <c r="J102" i="8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I116" i="81"/>
  <c r="J116" i="81" s="1"/>
  <c r="K116" i="81" s="1"/>
  <c r="L116" i="81" s="1"/>
  <c r="M116" i="81" s="1"/>
  <c r="I115" i="81"/>
  <c r="J115" i="81" s="1"/>
  <c r="K115" i="81" s="1"/>
  <c r="L115" i="81" s="1"/>
  <c r="M115"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C115" i="81" s="1"/>
  <c r="H78" i="81"/>
  <c r="G78" i="81" s="1"/>
  <c r="H76" i="81"/>
  <c r="G76" i="81" s="1"/>
  <c r="H70" i="81"/>
  <c r="G70" i="81" s="1"/>
  <c r="H77" i="81"/>
  <c r="G77" i="81" s="1"/>
  <c r="H75" i="81"/>
  <c r="G75" i="81" s="1"/>
  <c r="H74" i="81"/>
  <c r="G74" i="81" s="1"/>
  <c r="H73" i="81"/>
  <c r="G73" i="81" s="1"/>
  <c r="H72" i="81"/>
  <c r="G72" i="81" s="1"/>
  <c r="H71" i="81"/>
  <c r="G71" i="81" s="1"/>
  <c r="H107" i="81"/>
  <c r="H106" i="81"/>
  <c r="H105" i="81"/>
  <c r="H104" i="81"/>
  <c r="H103" i="81"/>
  <c r="H102" i="81"/>
  <c r="F107" i="81"/>
  <c r="F106" i="81"/>
  <c r="F105" i="81"/>
  <c r="F104" i="81"/>
  <c r="F103" i="81"/>
  <c r="F102" i="81"/>
  <c r="N107" i="81"/>
  <c r="N106" i="81"/>
  <c r="N105" i="81"/>
  <c r="N104" i="81"/>
  <c r="N103" i="81"/>
  <c r="N102" i="81"/>
  <c r="E107" i="81"/>
  <c r="E106" i="81"/>
  <c r="E105" i="81"/>
  <c r="E104" i="81"/>
  <c r="E103" i="81"/>
  <c r="E102" i="81"/>
  <c r="I107" i="81"/>
  <c r="I106" i="81"/>
  <c r="I105" i="81"/>
  <c r="I104" i="81"/>
  <c r="I103" i="81"/>
  <c r="I102" i="81"/>
  <c r="M107" i="81"/>
  <c r="M106" i="81"/>
  <c r="M105" i="81"/>
  <c r="M104" i="81"/>
  <c r="M103" i="81"/>
  <c r="M102" i="81"/>
  <c r="D113" i="81"/>
  <c r="C11" i="34"/>
  <c r="A245" i="31"/>
  <c r="B245" i="31"/>
  <c r="A246" i="31"/>
  <c r="B246" i="31"/>
  <c r="A247" i="31"/>
  <c r="B247" i="31"/>
  <c r="A248" i="31"/>
  <c r="B248" i="31"/>
  <c r="A249" i="31"/>
  <c r="B249" i="31"/>
  <c r="A250" i="31"/>
  <c r="B250" i="31"/>
  <c r="A251" i="31"/>
  <c r="B251" i="31"/>
  <c r="A252" i="31"/>
  <c r="B252"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B25" i="31"/>
  <c r="A25" i="31"/>
  <c r="B24" i="31"/>
  <c r="A24" i="31"/>
  <c r="L6" i="1"/>
  <c r="Y7" i="1"/>
  <c r="Y8" i="1"/>
  <c r="Y6" i="1"/>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S3" i="81" l="1"/>
  <c r="S6" i="81"/>
  <c r="S2" i="81"/>
  <c r="S4" i="81"/>
  <c r="S7" i="81"/>
  <c r="C23" i="81"/>
  <c r="S5" i="81"/>
  <c r="K50" i="81"/>
  <c r="J50" i="81" s="1"/>
  <c r="M50" i="81"/>
  <c r="N50" i="81" s="1"/>
  <c r="K53" i="81"/>
  <c r="J53" i="81" s="1"/>
  <c r="D53" i="81" s="1"/>
  <c r="M53" i="81"/>
  <c r="N53" i="81" s="1"/>
  <c r="K52" i="81"/>
  <c r="M52" i="81"/>
  <c r="N52" i="81" s="1"/>
  <c r="M49" i="81"/>
  <c r="N49" i="81" s="1"/>
  <c r="K49" i="81"/>
  <c r="D37" i="82"/>
  <c r="C37" i="82" s="1"/>
  <c r="C19" i="82"/>
  <c r="M72" i="81"/>
  <c r="N72" i="81" s="1"/>
  <c r="K72" i="81"/>
  <c r="M74" i="81"/>
  <c r="N74" i="81" s="1"/>
  <c r="K74" i="81"/>
  <c r="J74" i="81" s="1"/>
  <c r="D74" i="81" s="1"/>
  <c r="M77" i="81"/>
  <c r="N77" i="81" s="1"/>
  <c r="K77" i="81"/>
  <c r="K76" i="81"/>
  <c r="J76" i="81" s="1"/>
  <c r="D76" i="81" s="1"/>
  <c r="M76" i="81"/>
  <c r="N76" i="81" s="1"/>
  <c r="J56" i="81"/>
  <c r="D56" i="81"/>
  <c r="D48" i="81"/>
  <c r="J48" i="81"/>
  <c r="M71" i="81"/>
  <c r="N71" i="81" s="1"/>
  <c r="K71" i="81"/>
  <c r="M73" i="81"/>
  <c r="N73" i="81" s="1"/>
  <c r="K73" i="81"/>
  <c r="M75" i="81"/>
  <c r="N75" i="81" s="1"/>
  <c r="K75" i="81"/>
  <c r="J75" i="81" s="1"/>
  <c r="D75" i="81" s="1"/>
  <c r="K70" i="81"/>
  <c r="M70" i="81"/>
  <c r="N70" i="81" s="1"/>
  <c r="K78" i="81"/>
  <c r="J78" i="81" s="1"/>
  <c r="D78" i="81" s="1"/>
  <c r="M78" i="81"/>
  <c r="N78" i="81" s="1"/>
  <c r="D24" i="78"/>
  <c r="P61" i="78"/>
  <c r="D22" i="78"/>
  <c r="J51" i="78"/>
  <c r="Q6" i="1"/>
  <c r="L8" i="1"/>
  <c r="D49" i="81" l="1"/>
  <c r="J49" i="81"/>
  <c r="J52" i="81"/>
  <c r="D52" i="81"/>
  <c r="E48" i="81" s="1"/>
  <c r="B46" i="81" s="1"/>
  <c r="J73" i="81"/>
  <c r="D73" i="81"/>
  <c r="J71" i="81"/>
  <c r="D71" i="81"/>
  <c r="J77" i="81"/>
  <c r="D77" i="81"/>
  <c r="J72" i="81"/>
  <c r="D72" i="81"/>
  <c r="J70" i="81"/>
  <c r="D70" i="81"/>
  <c r="E70" i="81" s="1"/>
  <c r="B68" i="81" s="1"/>
  <c r="E18" i="4"/>
  <c r="C11" i="4"/>
  <c r="B7" i="4"/>
  <c r="D3" i="4"/>
  <c r="F19" i="6"/>
  <c r="F21" i="6"/>
  <c r="F20" i="6"/>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14" i="3"/>
  <c r="K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13" i="3"/>
  <c r="C231" i="3"/>
  <c r="C232" i="3"/>
  <c r="C233" i="3"/>
  <c r="C234" i="3"/>
  <c r="C235" i="3"/>
  <c r="C236" i="3"/>
  <c r="C237" i="3"/>
  <c r="C238" i="3"/>
  <c r="C239" i="3"/>
  <c r="C240" i="3"/>
  <c r="C24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 i="3"/>
  <c r="A241" i="77"/>
  <c r="I240" i="77"/>
  <c r="A240" i="77"/>
  <c r="N238" i="77"/>
  <c r="M237" i="77"/>
  <c r="M239" i="77" s="1"/>
  <c r="K237" i="77"/>
  <c r="K239" i="77" s="1"/>
  <c r="J236" i="77"/>
  <c r="N236" i="77" s="1"/>
  <c r="J235" i="77"/>
  <c r="H235" i="77"/>
  <c r="J234" i="77"/>
  <c r="H234" i="77"/>
  <c r="J233" i="77"/>
  <c r="H233" i="77"/>
  <c r="J232" i="77"/>
  <c r="H232" i="77"/>
  <c r="J231" i="77"/>
  <c r="H231" i="77"/>
  <c r="J230" i="77"/>
  <c r="H230" i="77"/>
  <c r="J229" i="77"/>
  <c r="N229" i="77" s="1"/>
  <c r="H229" i="77"/>
  <c r="N228" i="77"/>
  <c r="J228" i="77"/>
  <c r="H228" i="77"/>
  <c r="N227" i="77"/>
  <c r="J227" i="77"/>
  <c r="H227" i="77"/>
  <c r="N226" i="77"/>
  <c r="J226" i="77"/>
  <c r="H226" i="77"/>
  <c r="N225" i="77"/>
  <c r="J225" i="77"/>
  <c r="H225" i="77"/>
  <c r="N224" i="77"/>
  <c r="J224" i="77"/>
  <c r="H224" i="77"/>
  <c r="N223" i="77"/>
  <c r="J223" i="77"/>
  <c r="H223" i="77"/>
  <c r="N222" i="77"/>
  <c r="J222" i="77"/>
  <c r="H222" i="77"/>
  <c r="N221" i="77"/>
  <c r="J221" i="77"/>
  <c r="H221" i="77"/>
  <c r="N220" i="77"/>
  <c r="J220" i="77"/>
  <c r="H220" i="77"/>
  <c r="N219" i="77"/>
  <c r="J219" i="77"/>
  <c r="H219" i="77"/>
  <c r="N218" i="77"/>
  <c r="J218" i="77"/>
  <c r="H218" i="77"/>
  <c r="J217" i="77"/>
  <c r="H217" i="77"/>
  <c r="J216" i="77"/>
  <c r="H216" i="77"/>
  <c r="J215" i="77"/>
  <c r="H215" i="77"/>
  <c r="J214" i="77"/>
  <c r="H214" i="77"/>
  <c r="J213" i="77"/>
  <c r="H213" i="77"/>
  <c r="J212" i="77"/>
  <c r="H212" i="77"/>
  <c r="J211" i="77"/>
  <c r="H211" i="77"/>
  <c r="J210" i="77"/>
  <c r="H210" i="77"/>
  <c r="J209" i="77"/>
  <c r="H209" i="77"/>
  <c r="J208" i="77"/>
  <c r="H208" i="77"/>
  <c r="J207" i="77"/>
  <c r="H207" i="77"/>
  <c r="J206" i="77"/>
  <c r="H206" i="77"/>
  <c r="J205" i="77"/>
  <c r="H205" i="77"/>
  <c r="J204" i="77"/>
  <c r="H204" i="77"/>
  <c r="J203" i="77"/>
  <c r="H203" i="77"/>
  <c r="J202" i="77"/>
  <c r="H202" i="77"/>
  <c r="J201" i="77"/>
  <c r="H201" i="77"/>
  <c r="J200" i="77"/>
  <c r="H200" i="77"/>
  <c r="J199" i="77"/>
  <c r="H199" i="77"/>
  <c r="J198" i="77"/>
  <c r="H198" i="77"/>
  <c r="J197" i="77"/>
  <c r="H197" i="77"/>
  <c r="J196" i="77"/>
  <c r="H196" i="77"/>
  <c r="J195" i="77"/>
  <c r="H195" i="77"/>
  <c r="J194" i="77"/>
  <c r="H194" i="77"/>
  <c r="J193" i="77"/>
  <c r="H193" i="77"/>
  <c r="J192" i="77"/>
  <c r="H192" i="77"/>
  <c r="J191" i="77"/>
  <c r="H191" i="77"/>
  <c r="J190" i="77"/>
  <c r="H190" i="77"/>
  <c r="J189" i="77"/>
  <c r="H189" i="77"/>
  <c r="J188" i="77"/>
  <c r="H188" i="77"/>
  <c r="J187" i="77"/>
  <c r="H187" i="77"/>
  <c r="J186" i="77"/>
  <c r="H186" i="77"/>
  <c r="J185" i="77"/>
  <c r="H185" i="77"/>
  <c r="J184" i="77"/>
  <c r="H184" i="77"/>
  <c r="J183" i="77"/>
  <c r="H183" i="77"/>
  <c r="J182" i="77"/>
  <c r="H182" i="77"/>
  <c r="J181" i="77"/>
  <c r="H181" i="77"/>
  <c r="J180" i="77"/>
  <c r="H180" i="77"/>
  <c r="J179" i="77"/>
  <c r="H179" i="77"/>
  <c r="J178" i="77"/>
  <c r="H178" i="77"/>
  <c r="J177" i="77"/>
  <c r="H177" i="77"/>
  <c r="J176" i="77"/>
  <c r="H176" i="77"/>
  <c r="J175" i="77"/>
  <c r="H175" i="77"/>
  <c r="J174" i="77"/>
  <c r="H174" i="77"/>
  <c r="J173" i="77"/>
  <c r="H173" i="77"/>
  <c r="J172" i="77"/>
  <c r="H172" i="77"/>
  <c r="J171" i="77"/>
  <c r="H171" i="77"/>
  <c r="J170" i="77"/>
  <c r="H170" i="77"/>
  <c r="J169" i="77"/>
  <c r="H169" i="77"/>
  <c r="J168" i="77"/>
  <c r="H168" i="77"/>
  <c r="J167" i="77"/>
  <c r="H167" i="77"/>
  <c r="J166" i="77"/>
  <c r="H166" i="77"/>
  <c r="J165" i="77"/>
  <c r="H165" i="77"/>
  <c r="J164" i="77"/>
  <c r="H164" i="77"/>
  <c r="J163" i="77"/>
  <c r="H163" i="77"/>
  <c r="J162" i="77"/>
  <c r="H162" i="77"/>
  <c r="J161" i="77"/>
  <c r="H161" i="77"/>
  <c r="J160" i="77"/>
  <c r="H160" i="77"/>
  <c r="J159" i="77"/>
  <c r="H159" i="77"/>
  <c r="J158" i="77"/>
  <c r="H158" i="77"/>
  <c r="J157" i="77"/>
  <c r="H157" i="77"/>
  <c r="J156" i="77"/>
  <c r="H156" i="77"/>
  <c r="J155" i="77"/>
  <c r="H155" i="77"/>
  <c r="J154" i="77"/>
  <c r="H154" i="77"/>
  <c r="J153" i="77"/>
  <c r="H153" i="77"/>
  <c r="J152" i="77"/>
  <c r="H152" i="77"/>
  <c r="J151" i="77"/>
  <c r="H151" i="77"/>
  <c r="J150" i="77"/>
  <c r="H150" i="77"/>
  <c r="J149" i="77"/>
  <c r="H149" i="77"/>
  <c r="J148" i="77"/>
  <c r="H148" i="77"/>
  <c r="J147" i="77"/>
  <c r="H147" i="77"/>
  <c r="J146" i="77"/>
  <c r="H146" i="77"/>
  <c r="J145" i="77"/>
  <c r="H145" i="77"/>
  <c r="J144" i="77"/>
  <c r="H144" i="77"/>
  <c r="J143" i="77"/>
  <c r="H143" i="77"/>
  <c r="J142" i="77"/>
  <c r="H142" i="77"/>
  <c r="J141" i="77"/>
  <c r="H141" i="77"/>
  <c r="J140" i="77"/>
  <c r="H140" i="77"/>
  <c r="J139" i="77"/>
  <c r="H139" i="77"/>
  <c r="J138" i="77"/>
  <c r="H138" i="77"/>
  <c r="J137" i="77"/>
  <c r="H137" i="77"/>
  <c r="J136" i="77"/>
  <c r="H136" i="77"/>
  <c r="J135" i="77"/>
  <c r="H135" i="77"/>
  <c r="J134" i="77"/>
  <c r="H134" i="77"/>
  <c r="J133" i="77"/>
  <c r="H133" i="77"/>
  <c r="J132" i="77"/>
  <c r="H132" i="77"/>
  <c r="J131" i="77"/>
  <c r="H131" i="77"/>
  <c r="J130" i="77"/>
  <c r="H130" i="77"/>
  <c r="J129" i="77"/>
  <c r="H129" i="77"/>
  <c r="J128" i="77"/>
  <c r="H128" i="77"/>
  <c r="J127" i="77"/>
  <c r="H127" i="77"/>
  <c r="J126" i="77"/>
  <c r="H126" i="77"/>
  <c r="J125" i="77"/>
  <c r="H125" i="77"/>
  <c r="J124" i="77"/>
  <c r="H124" i="77"/>
  <c r="J123" i="77"/>
  <c r="H123" i="77"/>
  <c r="J122" i="77"/>
  <c r="H122" i="77"/>
  <c r="J121" i="77"/>
  <c r="H121" i="77"/>
  <c r="J120" i="77"/>
  <c r="H120" i="77"/>
  <c r="J119" i="77"/>
  <c r="H119" i="77"/>
  <c r="J118" i="77"/>
  <c r="H118" i="77"/>
  <c r="J117" i="77"/>
  <c r="H117" i="77"/>
  <c r="J116" i="77"/>
  <c r="H116" i="77"/>
  <c r="J115" i="77"/>
  <c r="H115" i="77"/>
  <c r="J114" i="77"/>
  <c r="H114" i="77"/>
  <c r="J113" i="77"/>
  <c r="H113" i="77"/>
  <c r="J112" i="77"/>
  <c r="H112" i="77"/>
  <c r="J111" i="77"/>
  <c r="H111" i="77"/>
  <c r="J110" i="77"/>
  <c r="H110" i="77"/>
  <c r="J109" i="77"/>
  <c r="H109" i="77"/>
  <c r="J108" i="77"/>
  <c r="H108" i="77"/>
  <c r="J107" i="77"/>
  <c r="H107" i="77"/>
  <c r="J106" i="77"/>
  <c r="H106" i="77"/>
  <c r="J105" i="77"/>
  <c r="H105" i="77"/>
  <c r="J104" i="77"/>
  <c r="H104" i="77"/>
  <c r="J103" i="77"/>
  <c r="H103" i="77"/>
  <c r="J102" i="77"/>
  <c r="H102" i="77"/>
  <c r="J101" i="77"/>
  <c r="H101" i="77"/>
  <c r="J100" i="77"/>
  <c r="H100" i="77"/>
  <c r="J99" i="77"/>
  <c r="H99" i="77"/>
  <c r="J98" i="77"/>
  <c r="H98" i="77"/>
  <c r="J97" i="77"/>
  <c r="H97" i="77"/>
  <c r="J96" i="77"/>
  <c r="H96" i="77"/>
  <c r="J95" i="77"/>
  <c r="H95" i="77"/>
  <c r="J94" i="77"/>
  <c r="H94" i="77"/>
  <c r="J93" i="77"/>
  <c r="H93" i="77"/>
  <c r="J92" i="77"/>
  <c r="H92" i="77"/>
  <c r="J91" i="77"/>
  <c r="H91" i="77"/>
  <c r="J90" i="77"/>
  <c r="H90" i="77"/>
  <c r="J89" i="77"/>
  <c r="H89" i="77"/>
  <c r="J88" i="77"/>
  <c r="H88" i="77"/>
  <c r="J87" i="77"/>
  <c r="H87" i="77"/>
  <c r="J86" i="77"/>
  <c r="H86" i="77"/>
  <c r="J85" i="77"/>
  <c r="H85" i="77"/>
  <c r="J84" i="77"/>
  <c r="H84" i="77"/>
  <c r="J83" i="77"/>
  <c r="H83" i="77"/>
  <c r="J82" i="77"/>
  <c r="H82" i="77"/>
  <c r="J81" i="77"/>
  <c r="H81" i="77"/>
  <c r="J80" i="77"/>
  <c r="H80" i="77"/>
  <c r="J79" i="77"/>
  <c r="H79" i="77"/>
  <c r="J78" i="77"/>
  <c r="H78" i="77"/>
  <c r="J77" i="77"/>
  <c r="H77" i="77"/>
  <c r="J76" i="77"/>
  <c r="H76" i="77"/>
  <c r="J75" i="77"/>
  <c r="H75" i="77"/>
  <c r="J74" i="77"/>
  <c r="H74" i="77"/>
  <c r="J73" i="77"/>
  <c r="H73" i="77"/>
  <c r="J72" i="77"/>
  <c r="H72" i="77"/>
  <c r="J71" i="77"/>
  <c r="H71" i="77"/>
  <c r="J70" i="77"/>
  <c r="H70" i="77"/>
  <c r="J69" i="77"/>
  <c r="H69" i="77"/>
  <c r="J68" i="77"/>
  <c r="H68" i="77"/>
  <c r="J67" i="77"/>
  <c r="H67" i="77"/>
  <c r="J66" i="77"/>
  <c r="H66" i="77"/>
  <c r="J65" i="77"/>
  <c r="H65" i="77"/>
  <c r="J64" i="77"/>
  <c r="H64" i="77"/>
  <c r="J63" i="77"/>
  <c r="H63" i="77"/>
  <c r="J62" i="77"/>
  <c r="H62" i="77"/>
  <c r="J61" i="77"/>
  <c r="H61" i="77"/>
  <c r="J60" i="77"/>
  <c r="H60" i="77"/>
  <c r="J59" i="77"/>
  <c r="H59" i="77"/>
  <c r="J58" i="77"/>
  <c r="H58" i="77"/>
  <c r="J57" i="77"/>
  <c r="H57" i="77"/>
  <c r="J56" i="77"/>
  <c r="H56" i="77"/>
  <c r="J55" i="77"/>
  <c r="H55" i="77"/>
  <c r="J54" i="77"/>
  <c r="H54" i="77"/>
  <c r="J53" i="77"/>
  <c r="H53" i="77"/>
  <c r="J52" i="77"/>
  <c r="H52" i="77"/>
  <c r="J51" i="77"/>
  <c r="H51" i="77"/>
  <c r="J50" i="77"/>
  <c r="H50" i="77"/>
  <c r="J49" i="77"/>
  <c r="H49" i="77"/>
  <c r="J48" i="77"/>
  <c r="H48" i="77"/>
  <c r="J47" i="77"/>
  <c r="H47" i="77"/>
  <c r="J46" i="77"/>
  <c r="H46" i="77"/>
  <c r="J45" i="77"/>
  <c r="H45" i="77"/>
  <c r="J44" i="77"/>
  <c r="H44" i="77"/>
  <c r="J43" i="77"/>
  <c r="H43" i="77"/>
  <c r="J42" i="77"/>
  <c r="H42" i="77"/>
  <c r="J41" i="77"/>
  <c r="H41" i="77"/>
  <c r="J40" i="77"/>
  <c r="H40" i="77"/>
  <c r="J39" i="77"/>
  <c r="H39" i="77"/>
  <c r="J38" i="77"/>
  <c r="H38" i="77"/>
  <c r="J37" i="77"/>
  <c r="H37" i="77"/>
  <c r="J36" i="77"/>
  <c r="H36" i="77"/>
  <c r="J35" i="77"/>
  <c r="H35" i="77"/>
  <c r="J34" i="77"/>
  <c r="H34" i="77"/>
  <c r="J33" i="77"/>
  <c r="H33" i="77"/>
  <c r="J32" i="77"/>
  <c r="H32" i="77"/>
  <c r="J31" i="77"/>
  <c r="H31" i="77"/>
  <c r="J30" i="77"/>
  <c r="H30" i="77"/>
  <c r="J29" i="77"/>
  <c r="H29" i="77"/>
  <c r="J28" i="77"/>
  <c r="H28" i="77"/>
  <c r="J27" i="77"/>
  <c r="H27" i="77"/>
  <c r="J26" i="77"/>
  <c r="H26" i="77"/>
  <c r="J25" i="77"/>
  <c r="H25" i="77"/>
  <c r="J24" i="77"/>
  <c r="H24" i="77"/>
  <c r="J23" i="77"/>
  <c r="H23" i="77"/>
  <c r="J22" i="77"/>
  <c r="H22" i="77"/>
  <c r="J21" i="77"/>
  <c r="H21" i="77"/>
  <c r="J20" i="77"/>
  <c r="H20" i="77"/>
  <c r="J19" i="77"/>
  <c r="H19" i="77"/>
  <c r="J18" i="77"/>
  <c r="H18" i="77"/>
  <c r="J17" i="77"/>
  <c r="H17" i="77"/>
  <c r="J16" i="77"/>
  <c r="H16" i="77"/>
  <c r="J15" i="77"/>
  <c r="H15" i="77"/>
  <c r="J14" i="77"/>
  <c r="H14" i="77"/>
  <c r="J13" i="77"/>
  <c r="H13" i="77"/>
  <c r="J12" i="77"/>
  <c r="H12" i="77"/>
  <c r="J11" i="77"/>
  <c r="H11" i="77"/>
  <c r="J10" i="77"/>
  <c r="H10" i="77"/>
  <c r="J9" i="77"/>
  <c r="H9" i="77"/>
  <c r="J8" i="77"/>
  <c r="N8" i="77" s="1"/>
  <c r="H8" i="77"/>
  <c r="A8" i="77"/>
  <c r="A9" i="77" s="1"/>
  <c r="A10" i="77" s="1"/>
  <c r="A11" i="77" s="1"/>
  <c r="A12" i="77" s="1"/>
  <c r="A13" i="77" s="1"/>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A73" i="77" s="1"/>
  <c r="A74" i="77" s="1"/>
  <c r="A75" i="77" s="1"/>
  <c r="A76" i="77" s="1"/>
  <c r="A77" i="77" s="1"/>
  <c r="A78" i="77" s="1"/>
  <c r="A79" i="77" s="1"/>
  <c r="A80" i="77" s="1"/>
  <c r="A81" i="77" s="1"/>
  <c r="A82" i="77" s="1"/>
  <c r="A83" i="77" s="1"/>
  <c r="A84" i="77" s="1"/>
  <c r="A85" i="77" s="1"/>
  <c r="A86" i="77" s="1"/>
  <c r="A87" i="77" s="1"/>
  <c r="A88" i="77" s="1"/>
  <c r="A89" i="77" s="1"/>
  <c r="A90" i="77" s="1"/>
  <c r="A91" i="77" s="1"/>
  <c r="A92" i="77" s="1"/>
  <c r="A93" i="77" s="1"/>
  <c r="A94" i="77" s="1"/>
  <c r="A95" i="77" s="1"/>
  <c r="A96" i="77" s="1"/>
  <c r="A97" i="77" s="1"/>
  <c r="A98" i="77" s="1"/>
  <c r="A99" i="77" s="1"/>
  <c r="A100" i="77" s="1"/>
  <c r="A101" i="77" s="1"/>
  <c r="A102" i="77" s="1"/>
  <c r="A103" i="77" s="1"/>
  <c r="A104" i="77" s="1"/>
  <c r="A105" i="77" s="1"/>
  <c r="A106" i="77" s="1"/>
  <c r="A107" i="77" s="1"/>
  <c r="A108" i="77" s="1"/>
  <c r="A109" i="77" s="1"/>
  <c r="A110" i="77" s="1"/>
  <c r="A111" i="77" s="1"/>
  <c r="A112" i="77" s="1"/>
  <c r="A113" i="77" s="1"/>
  <c r="A114" i="77" s="1"/>
  <c r="A115" i="77" s="1"/>
  <c r="A116" i="77" s="1"/>
  <c r="A117" i="77" s="1"/>
  <c r="A118" i="77" s="1"/>
  <c r="A119" i="77" s="1"/>
  <c r="A120" i="77" s="1"/>
  <c r="A121" i="77" s="1"/>
  <c r="A122" i="77" s="1"/>
  <c r="A123" i="77" s="1"/>
  <c r="A124" i="77" s="1"/>
  <c r="A125" i="77" s="1"/>
  <c r="A126" i="77" s="1"/>
  <c r="A127" i="77" s="1"/>
  <c r="A128" i="77" s="1"/>
  <c r="A129" i="77" s="1"/>
  <c r="A130" i="77" s="1"/>
  <c r="A131" i="77" s="1"/>
  <c r="A132" i="77" s="1"/>
  <c r="A133" i="77" s="1"/>
  <c r="A134" i="77" s="1"/>
  <c r="A135" i="77" s="1"/>
  <c r="A136" i="77" s="1"/>
  <c r="A137" i="77" s="1"/>
  <c r="A138" i="77" s="1"/>
  <c r="A139" i="77" s="1"/>
  <c r="A140" i="77" s="1"/>
  <c r="A141" i="77" s="1"/>
  <c r="A142" i="77" s="1"/>
  <c r="A143" i="77" s="1"/>
  <c r="A144" i="77" s="1"/>
  <c r="A145" i="77" s="1"/>
  <c r="A146" i="77" s="1"/>
  <c r="A147" i="77" s="1"/>
  <c r="A148" i="77" s="1"/>
  <c r="A149" i="77" s="1"/>
  <c r="A150" i="77" s="1"/>
  <c r="A151" i="77" s="1"/>
  <c r="A152" i="77" s="1"/>
  <c r="A153" i="77" s="1"/>
  <c r="A154" i="77" s="1"/>
  <c r="A155" i="77" s="1"/>
  <c r="A156" i="77" s="1"/>
  <c r="A157" i="77" s="1"/>
  <c r="A158" i="77" s="1"/>
  <c r="A159" i="77" s="1"/>
  <c r="A160" i="77" s="1"/>
  <c r="A161" i="77" s="1"/>
  <c r="A162" i="77" s="1"/>
  <c r="A163" i="77" s="1"/>
  <c r="A164" i="77" s="1"/>
  <c r="A165" i="77" s="1"/>
  <c r="A166" i="77" s="1"/>
  <c r="A167" i="77" s="1"/>
  <c r="A168" i="77" s="1"/>
  <c r="A169" i="77" s="1"/>
  <c r="A170" i="77" s="1"/>
  <c r="A171" i="77" s="1"/>
  <c r="A172" i="77" s="1"/>
  <c r="A173" i="77" s="1"/>
  <c r="A174" i="77" s="1"/>
  <c r="A175" i="77" s="1"/>
  <c r="A176" i="77" s="1"/>
  <c r="A177" i="77" s="1"/>
  <c r="A178" i="77" s="1"/>
  <c r="A179" i="77" s="1"/>
  <c r="A180" i="77" s="1"/>
  <c r="A181" i="77" s="1"/>
  <c r="A182" i="77" s="1"/>
  <c r="A183" i="77" s="1"/>
  <c r="A184" i="77" s="1"/>
  <c r="A185" i="77" s="1"/>
  <c r="A186" i="77" s="1"/>
  <c r="A187" i="77" s="1"/>
  <c r="A188" i="77" s="1"/>
  <c r="A189" i="77" s="1"/>
  <c r="A190" i="77" s="1"/>
  <c r="A191" i="77" s="1"/>
  <c r="A192" i="77" s="1"/>
  <c r="A193" i="77" s="1"/>
  <c r="A194" i="77" s="1"/>
  <c r="A195" i="77" s="1"/>
  <c r="A196" i="77" s="1"/>
  <c r="A197" i="77" s="1"/>
  <c r="A198" i="77" s="1"/>
  <c r="A199" i="77" s="1"/>
  <c r="A200" i="77" s="1"/>
  <c r="A201" i="77" s="1"/>
  <c r="A202" i="77" s="1"/>
  <c r="A203" i="77" s="1"/>
  <c r="A204" i="77" s="1"/>
  <c r="A205" i="77" s="1"/>
  <c r="A206" i="77" s="1"/>
  <c r="A207" i="77" s="1"/>
  <c r="A208" i="77" s="1"/>
  <c r="A209" i="77" s="1"/>
  <c r="A210" i="77" s="1"/>
  <c r="A211" i="77" s="1"/>
  <c r="A212" i="77" s="1"/>
  <c r="A213" i="77" s="1"/>
  <c r="A214" i="77" s="1"/>
  <c r="A215" i="77" s="1"/>
  <c r="A216" i="77" s="1"/>
  <c r="A217" i="77" s="1"/>
  <c r="A218" i="77" s="1"/>
  <c r="A219" i="77" s="1"/>
  <c r="A220" i="77" s="1"/>
  <c r="A221" i="77" s="1"/>
  <c r="A222" i="77" s="1"/>
  <c r="A223" i="77" s="1"/>
  <c r="A224" i="77" s="1"/>
  <c r="A225" i="77" s="1"/>
  <c r="A226" i="77" s="1"/>
  <c r="A227" i="77" s="1"/>
  <c r="A228" i="77" s="1"/>
  <c r="A229" i="77" s="1"/>
  <c r="A230" i="77" s="1"/>
  <c r="A231" i="77" s="1"/>
  <c r="A232" i="77" s="1"/>
  <c r="A233" i="77" s="1"/>
  <c r="A234" i="77" s="1"/>
  <c r="A235" i="77" s="1"/>
  <c r="I7" i="77"/>
  <c r="I237" i="77" s="1"/>
  <c r="I239" i="77" s="1"/>
  <c r="A4" i="77"/>
  <c r="A2" i="77"/>
  <c r="C24" i="81" l="1"/>
  <c r="H7" i="77"/>
  <c r="J7" i="77"/>
  <c r="J237" i="77" l="1"/>
  <c r="N7" i="77"/>
  <c r="J239" i="77" l="1"/>
  <c r="N239" i="77" s="1"/>
  <c r="N237" i="77"/>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E11" i="76"/>
  <c r="B8" i="76"/>
  <c r="E8" i="76"/>
  <c r="B9" i="76"/>
  <c r="E12" i="76"/>
  <c r="E10" i="76"/>
  <c r="B11" i="76"/>
  <c r="B7" i="76"/>
  <c r="B10" i="76"/>
  <c r="E7" i="76"/>
  <c r="E13" i="76"/>
  <c r="E9" i="76"/>
  <c r="B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3" i="73"/>
  <c r="D5" i="73"/>
  <c r="F5" i="73"/>
  <c r="D6" i="73"/>
  <c r="F4" i="73"/>
  <c r="F3" i="73"/>
  <c r="I1" i="73" l="1"/>
  <c r="B39" i="1" s="1"/>
  <c r="D4" i="73"/>
  <c r="D7" i="73"/>
  <c r="E20" i="81" l="1"/>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81" l="1"/>
  <c r="N17" i="81"/>
  <c r="O17" i="81"/>
  <c r="M17" i="81"/>
  <c r="C53" i="78"/>
  <c r="AA10" i="43"/>
  <c r="AC10" i="43"/>
  <c r="AE10" i="43"/>
  <c r="AG10" i="43"/>
  <c r="AI10" i="43"/>
  <c r="Z10" i="43"/>
  <c r="AB10" i="43"/>
  <c r="AD10" i="43"/>
  <c r="AF10" i="43"/>
  <c r="AH10" i="43"/>
  <c r="AJ10" i="43"/>
  <c r="G20" i="81" l="1"/>
  <c r="C20" i="81" s="1"/>
  <c r="C33" i="81" s="1"/>
  <c r="K49" i="9"/>
  <c r="E107" i="9"/>
  <c r="A122" i="9" s="1"/>
  <c r="A8" i="52" s="1"/>
  <c r="E111" i="9"/>
  <c r="A126" i="9" s="1"/>
  <c r="E109" i="9"/>
  <c r="A124" i="9" s="1"/>
  <c r="T4" i="81" l="1"/>
  <c r="V4" i="81" s="1"/>
  <c r="T16" i="81"/>
  <c r="V16" i="81" s="1"/>
  <c r="T6" i="81"/>
  <c r="V6" i="81" s="1"/>
  <c r="T13" i="81"/>
  <c r="V13" i="81" s="1"/>
  <c r="C38" i="81"/>
  <c r="E38" i="81" s="1"/>
  <c r="T10" i="81"/>
  <c r="V10" i="81" s="1"/>
  <c r="T5" i="81"/>
  <c r="V5" i="81" s="1"/>
  <c r="T12" i="81"/>
  <c r="V12" i="81" s="1"/>
  <c r="C37" i="81"/>
  <c r="E37" i="81" s="1"/>
  <c r="C36" i="81"/>
  <c r="G36" i="81" s="1"/>
  <c r="I36" i="81" s="1"/>
  <c r="C34" i="81"/>
  <c r="G34" i="81" s="1"/>
  <c r="I34" i="81" s="1"/>
  <c r="T2" i="81"/>
  <c r="V2" i="81" s="1"/>
  <c r="T11" i="81"/>
  <c r="V11" i="81" s="1"/>
  <c r="T3" i="81"/>
  <c r="V3" i="81" s="1"/>
  <c r="T9" i="81"/>
  <c r="V9" i="81" s="1"/>
  <c r="T15" i="81"/>
  <c r="V15" i="81" s="1"/>
  <c r="T7" i="81"/>
  <c r="V7" i="81" s="1"/>
  <c r="C29" i="81"/>
  <c r="C30" i="81" s="1"/>
  <c r="E30" i="81" s="1"/>
  <c r="T8" i="81"/>
  <c r="V8" i="81" s="1"/>
  <c r="T14" i="81"/>
  <c r="V14" i="81" s="1"/>
  <c r="C39" i="81"/>
  <c r="G39" i="81" s="1"/>
  <c r="I39" i="81" s="1"/>
  <c r="C35" i="81"/>
  <c r="E35" i="81" s="1"/>
  <c r="E39" i="81"/>
  <c r="E36" i="81"/>
  <c r="E33" i="81"/>
  <c r="G33" i="81"/>
  <c r="I33" i="81" s="1"/>
  <c r="B44" i="72"/>
  <c r="B42" i="72"/>
  <c r="B69" i="72"/>
  <c r="B68" i="72"/>
  <c r="B63" i="72"/>
  <c r="B62" i="72"/>
  <c r="B16" i="72"/>
  <c r="E29" i="81" l="1"/>
  <c r="C6" i="82" s="1"/>
  <c r="E34" i="81"/>
  <c r="G37" i="81"/>
  <c r="I37" i="81" s="1"/>
  <c r="G38" i="81"/>
  <c r="I38" i="81" s="1"/>
  <c r="G35" i="81"/>
  <c r="I35" i="81" s="1"/>
  <c r="C26" i="81"/>
  <c r="B2" i="81" s="1"/>
  <c r="B3" i="81" s="1"/>
  <c r="B65" i="72"/>
  <c r="B60" i="72"/>
  <c r="B59" i="72"/>
  <c r="B58" i="72"/>
  <c r="B67" i="72"/>
  <c r="B66" i="72"/>
  <c r="C27" i="81" l="1"/>
  <c r="B12" i="72"/>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9" i="1"/>
  <c r="AP10" i="1"/>
  <c r="AP11" i="1"/>
  <c r="AP12" i="1"/>
  <c r="AP13" i="1"/>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G1" i="78" s="1"/>
  <c r="A8" i="1"/>
  <c r="B8" i="1" s="1"/>
  <c r="E8" i="1" s="1"/>
  <c r="A9" i="1"/>
  <c r="A10" i="1"/>
  <c r="A11" i="1"/>
  <c r="A12" i="1"/>
  <c r="A13" i="1"/>
  <c r="A6" i="1"/>
  <c r="F3" i="35" s="1"/>
  <c r="B11" i="1"/>
  <c r="E11" i="1" s="1"/>
  <c r="B7" i="1"/>
  <c r="E7"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AZ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R151" i="31" s="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R253" i="31" s="1"/>
  <c r="S253" i="31" s="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8" i="1" s="1"/>
  <c r="G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429" i="31"/>
  <c r="S428" i="31"/>
  <c r="S427" i="31"/>
  <c r="S426" i="31"/>
  <c r="S425" i="31"/>
  <c r="S151"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J31" i="33" s="1"/>
  <c r="W31" i="33" s="1"/>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C25"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H37" i="33" s="1"/>
  <c r="AB37" i="33" s="1"/>
  <c r="J19" i="33"/>
  <c r="AC19"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F29" i="33"/>
  <c r="S29" i="33" s="1"/>
  <c r="H31" i="33"/>
  <c r="U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s="1"/>
  <c r="G105" i="37"/>
  <c r="AB11" i="36"/>
  <c r="AB11" i="35"/>
  <c r="J10" i="36"/>
  <c r="AC10" i="36" s="1"/>
  <c r="AB30" i="21"/>
  <c r="AA14" i="37"/>
  <c r="W31" i="34"/>
  <c r="AC13" i="36"/>
  <c r="W13" i="36"/>
  <c r="S11" i="36"/>
  <c r="W11" i="36"/>
  <c r="W11" i="35"/>
  <c r="AB46" i="34"/>
  <c r="AC30" i="34"/>
  <c r="AA14" i="34"/>
  <c r="S45" i="33"/>
  <c r="AB45" i="33"/>
  <c r="AB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14" i="40"/>
  <c r="AC32" i="36"/>
  <c r="AC33" i="36"/>
  <c r="U35" i="35"/>
  <c r="AA12" i="35"/>
  <c r="W23" i="35"/>
  <c r="W14" i="37"/>
  <c r="AB28" i="37"/>
  <c r="U33" i="37"/>
  <c r="U39" i="37"/>
  <c r="W26" i="37"/>
  <c r="AC8" i="37"/>
  <c r="U26" i="37"/>
  <c r="W47" i="34"/>
  <c r="AB13" i="34"/>
  <c r="W37" i="34"/>
  <c r="AB37" i="34"/>
  <c r="AC36" i="34"/>
  <c r="AA13" i="33"/>
  <c r="AC45" i="33"/>
  <c r="W44" i="33"/>
  <c r="U19" i="21"/>
  <c r="W44" i="21"/>
  <c r="AC46"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G117" i="3"/>
  <c r="BA119" i="3"/>
  <c r="AZ119" i="3" s="1"/>
  <c r="BL120" i="3"/>
  <c r="G121" i="3"/>
  <c r="BA123" i="3"/>
  <c r="AZ123" i="3" s="1"/>
  <c r="BL124" i="3"/>
  <c r="AZ124" i="3" s="1"/>
  <c r="G125" i="3"/>
  <c r="BA127" i="3"/>
  <c r="AZ127" i="3" s="1"/>
  <c r="BL128" i="3"/>
  <c r="G129" i="3"/>
  <c r="BA131" i="3"/>
  <c r="BL132" i="3"/>
  <c r="G133" i="3"/>
  <c r="BA135" i="3"/>
  <c r="BL136" i="3"/>
  <c r="G137" i="3"/>
  <c r="BA139" i="3"/>
  <c r="BL140" i="3"/>
  <c r="G141" i="3"/>
  <c r="BA143" i="3"/>
  <c r="BL144" i="3"/>
  <c r="G145" i="3"/>
  <c r="BA147" i="3"/>
  <c r="AZ147" i="3" s="1"/>
  <c r="BL148" i="3"/>
  <c r="AZ148" i="3" s="1"/>
  <c r="G149" i="3"/>
  <c r="BA151" i="3"/>
  <c r="BL152" i="3"/>
  <c r="G153" i="3"/>
  <c r="BA155" i="3"/>
  <c r="AZ155" i="3" s="1"/>
  <c r="BL156" i="3"/>
  <c r="G157" i="3"/>
  <c r="BA159" i="3"/>
  <c r="AZ159" i="3" s="1"/>
  <c r="BL160" i="3"/>
  <c r="G161" i="3"/>
  <c r="BA163" i="3"/>
  <c r="AZ163" i="3" s="1"/>
  <c r="BL164" i="3"/>
  <c r="G165" i="3"/>
  <c r="BA167" i="3"/>
  <c r="BL168" i="3"/>
  <c r="G169" i="3"/>
  <c r="BA171" i="3"/>
  <c r="AZ171" i="3" s="1"/>
  <c r="BL172" i="3"/>
  <c r="AZ172" i="3" s="1"/>
  <c r="G173" i="3"/>
  <c r="BA175" i="3"/>
  <c r="AZ175" i="3" s="1"/>
  <c r="BL176" i="3"/>
  <c r="G177" i="3"/>
  <c r="BA179" i="3"/>
  <c r="AZ179" i="3" s="1"/>
  <c r="BL180" i="3"/>
  <c r="G181" i="3"/>
  <c r="BA183" i="3"/>
  <c r="BL184" i="3"/>
  <c r="G185" i="3"/>
  <c r="BA187" i="3"/>
  <c r="AZ187" i="3" s="1"/>
  <c r="BL188" i="3"/>
  <c r="G189" i="3"/>
  <c r="BA191" i="3"/>
  <c r="AZ191" i="3" s="1"/>
  <c r="BL192" i="3"/>
  <c r="G193" i="3"/>
  <c r="BA195" i="3"/>
  <c r="AZ195" i="3" s="1"/>
  <c r="BL196" i="3"/>
  <c r="G197" i="3"/>
  <c r="BA199" i="3"/>
  <c r="BL200" i="3"/>
  <c r="G201" i="3"/>
  <c r="BA203" i="3"/>
  <c r="AZ203" i="3" s="1"/>
  <c r="BL204" i="3"/>
  <c r="AZ204" i="3" s="1"/>
  <c r="AZ55" i="3"/>
  <c r="AZ79" i="3"/>
  <c r="AZ160" i="3"/>
  <c r="AZ192" i="3"/>
  <c r="AZ85" i="3"/>
  <c r="AZ89" i="3"/>
  <c r="AZ97" i="3"/>
  <c r="AZ10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500" i="3"/>
  <c r="BA16" i="3"/>
  <c r="BL303" i="3"/>
  <c r="G304" i="3"/>
  <c r="BA306" i="3"/>
  <c r="AZ306" i="3" s="1"/>
  <c r="BL307" i="3"/>
  <c r="G308" i="3"/>
  <c r="BA310" i="3"/>
  <c r="AZ310" i="3" s="1"/>
  <c r="BL311" i="3"/>
  <c r="AZ311" i="3" s="1"/>
  <c r="G312" i="3"/>
  <c r="BA314" i="3"/>
  <c r="AZ314" i="3" s="1"/>
  <c r="BL315" i="3"/>
  <c r="AZ315" i="3" s="1"/>
  <c r="G316" i="3"/>
  <c r="BA318" i="3"/>
  <c r="AZ318" i="3"/>
  <c r="BL319" i="3"/>
  <c r="G320" i="3"/>
  <c r="BA322" i="3"/>
  <c r="AZ322" i="3"/>
  <c r="BL323" i="3"/>
  <c r="G324" i="3"/>
  <c r="BA326" i="3"/>
  <c r="BL327" i="3"/>
  <c r="AZ327" i="3" s="1"/>
  <c r="G328" i="3"/>
  <c r="BA330" i="3"/>
  <c r="BL331" i="3"/>
  <c r="AZ331" i="3" s="1"/>
  <c r="G332" i="3"/>
  <c r="BA334" i="3"/>
  <c r="AZ334" i="3" s="1"/>
  <c r="BL335" i="3"/>
  <c r="G336" i="3"/>
  <c r="BA338" i="3"/>
  <c r="AZ338" i="3" s="1"/>
  <c r="BL339" i="3"/>
  <c r="G340" i="3"/>
  <c r="BL343" i="3"/>
  <c r="G344" i="3"/>
  <c r="G348" i="3"/>
  <c r="G355" i="3"/>
  <c r="AZ222" i="3"/>
  <c r="G342" i="3"/>
  <c r="BL345" i="3"/>
  <c r="G346" i="3"/>
  <c r="AZ348" i="3"/>
  <c r="BL349" i="3"/>
  <c r="AZ349" i="3"/>
  <c r="BL352" i="3"/>
  <c r="G353" i="3"/>
  <c r="BA357" i="3"/>
  <c r="AZ357" i="3" s="1"/>
  <c r="BL358" i="3"/>
  <c r="G359" i="3"/>
  <c r="BA361" i="3"/>
  <c r="AZ361" i="3" s="1"/>
  <c r="BL362" i="3"/>
  <c r="G363" i="3"/>
  <c r="BA365" i="3"/>
  <c r="AZ365" i="3" s="1"/>
  <c r="BL366" i="3"/>
  <c r="AZ366" i="3" s="1"/>
  <c r="G367" i="3"/>
  <c r="BA369" i="3"/>
  <c r="AZ369" i="3"/>
  <c r="BL370" i="3"/>
  <c r="G371" i="3"/>
  <c r="BA373" i="3"/>
  <c r="AZ373" i="3"/>
  <c r="BL374" i="3"/>
  <c r="AZ374" i="3"/>
  <c r="G375" i="3"/>
  <c r="BA377" i="3"/>
  <c r="AZ377" i="3" s="1"/>
  <c r="AZ233"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79" i="3"/>
  <c r="AZ283" i="3"/>
  <c r="AZ295" i="3"/>
  <c r="AZ299" i="3"/>
  <c r="BO5" i="3"/>
  <c r="BM5" i="3"/>
  <c r="BJ5" i="3"/>
  <c r="BH5" i="3"/>
  <c r="BF5" i="3"/>
  <c r="BD5" i="3"/>
  <c r="AZ309"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6"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U43" i="21"/>
  <c r="AC35" i="21"/>
  <c r="U10" i="2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48" i="3"/>
  <c r="AZ256" i="3"/>
  <c r="AZ268" i="3"/>
  <c r="AZ280" i="3"/>
  <c r="AZ296" i="3"/>
  <c r="AZ133" i="3"/>
  <c r="AZ69" i="3"/>
  <c r="AZ102" i="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7" i="43"/>
  <c r="K9" i="1"/>
  <c r="M9" i="1" s="1"/>
  <c r="O9" i="1" s="1"/>
  <c r="P9" i="1" s="1"/>
  <c r="AE9" i="1"/>
  <c r="M6" i="78"/>
  <c r="M27" i="78"/>
  <c r="F37" i="78"/>
  <c r="F9" i="78"/>
  <c r="M22" i="78"/>
  <c r="M28" i="78"/>
  <c r="M23" i="78"/>
  <c r="F43" i="78"/>
  <c r="M26" i="78"/>
  <c r="F16" i="78"/>
  <c r="M24" i="78"/>
  <c r="J15" i="78"/>
  <c r="C76" i="78"/>
  <c r="F6" i="78"/>
  <c r="F40" i="78"/>
  <c r="F13" i="78"/>
  <c r="F8" i="78"/>
  <c r="M29" i="78"/>
  <c r="F42" i="78"/>
  <c r="M9" i="78"/>
  <c r="F26" i="78"/>
  <c r="F7" i="78"/>
  <c r="M8" i="78"/>
  <c r="F36" i="78"/>
  <c r="F38" i="78"/>
  <c r="L47" i="78"/>
  <c r="G49" i="43" l="1"/>
  <c r="K49" i="43" s="1"/>
  <c r="J49" i="43" s="1"/>
  <c r="D49" i="43" s="1"/>
  <c r="G52" i="43"/>
  <c r="K52" i="43" s="1"/>
  <c r="J52" i="43" s="1"/>
  <c r="D52" i="43" s="1"/>
  <c r="U43" i="33"/>
  <c r="F31" i="33"/>
  <c r="S8" i="33"/>
  <c r="S41" i="33"/>
  <c r="U40" i="33"/>
  <c r="S38" i="33"/>
  <c r="U35" i="33"/>
  <c r="S26" i="33"/>
  <c r="U11" i="33"/>
  <c r="U46" i="33"/>
  <c r="AC31" i="33"/>
  <c r="AB26" i="33"/>
  <c r="M49" i="43"/>
  <c r="N49" i="43" s="1"/>
  <c r="M52" i="43"/>
  <c r="N52" i="43" s="1"/>
  <c r="H82" i="43"/>
  <c r="H48" i="43"/>
  <c r="G48" i="43" s="1"/>
  <c r="H50" i="43"/>
  <c r="G50" i="43" s="1"/>
  <c r="G20" i="43"/>
  <c r="C20" i="43" s="1"/>
  <c r="Q71" i="78"/>
  <c r="F66" i="78"/>
  <c r="F64" i="78"/>
  <c r="F50" i="78"/>
  <c r="M7" i="78"/>
  <c r="J6" i="78" s="1"/>
  <c r="C27" i="78"/>
  <c r="F71" i="78"/>
  <c r="F51" i="78"/>
  <c r="C49" i="78" s="1"/>
  <c r="C48" i="78" s="1"/>
  <c r="F65" i="78"/>
  <c r="F68" i="78"/>
  <c r="C6" i="78"/>
  <c r="C10" i="78"/>
  <c r="J10" i="78"/>
  <c r="J5" i="78" s="1"/>
  <c r="M8" i="1"/>
  <c r="AP8" i="1"/>
  <c r="AB41" i="21"/>
  <c r="AC28" i="21"/>
  <c r="U26" i="21"/>
  <c r="U12" i="21"/>
  <c r="S42" i="21"/>
  <c r="U35" i="21"/>
  <c r="AB38" i="21"/>
  <c r="U34" i="21"/>
  <c r="S34" i="21"/>
  <c r="S12" i="21"/>
  <c r="AA12" i="21"/>
  <c r="H14" i="21"/>
  <c r="U14" i="21" s="1"/>
  <c r="J12" i="21"/>
  <c r="AC12" i="21" s="1"/>
  <c r="N59" i="78"/>
  <c r="M59" i="78"/>
  <c r="L59" i="78"/>
  <c r="C27" i="39"/>
  <c r="G11" i="1"/>
  <c r="A15" i="62"/>
  <c r="B61" i="72" s="1"/>
  <c r="F7" i="1"/>
  <c r="AZ326" i="3"/>
  <c r="AZ16" i="3"/>
  <c r="AZ305" i="3"/>
  <c r="AZ303" i="3"/>
  <c r="AZ307" i="3"/>
  <c r="G311" i="3"/>
  <c r="G315" i="3"/>
  <c r="AZ316" i="3"/>
  <c r="G323" i="3"/>
  <c r="G329" i="3"/>
  <c r="G208" i="3"/>
  <c r="BL209" i="3"/>
  <c r="AZ209" i="3" s="1"/>
  <c r="G210" i="3"/>
  <c r="G211" i="3"/>
  <c r="BL212" i="3"/>
  <c r="G213" i="3"/>
  <c r="G215" i="3"/>
  <c r="AZ216" i="3"/>
  <c r="AZ330" i="3"/>
  <c r="AZ324" i="3"/>
  <c r="AZ319" i="3"/>
  <c r="AZ323" i="3"/>
  <c r="BL300" i="3"/>
  <c r="AZ300" i="3" s="1"/>
  <c r="AZ301" i="3"/>
  <c r="AZ302" i="3"/>
  <c r="G116" i="3"/>
  <c r="BL117" i="3"/>
  <c r="AZ117" i="3" s="1"/>
  <c r="G118" i="3"/>
  <c r="G119" i="3"/>
  <c r="AZ120" i="3"/>
  <c r="AZ122" i="3"/>
  <c r="BL122" i="3"/>
  <c r="G123" i="3"/>
  <c r="G124" i="3"/>
  <c r="BL125" i="3"/>
  <c r="G126" i="3"/>
  <c r="G127" i="3"/>
  <c r="BL130" i="3"/>
  <c r="G131" i="3"/>
  <c r="BL135" i="3"/>
  <c r="AZ135" i="3" s="1"/>
  <c r="G136" i="3"/>
  <c r="BL139" i="3"/>
  <c r="AZ139" i="3" s="1"/>
  <c r="G140" i="3"/>
  <c r="AZ141" i="3"/>
  <c r="BL143" i="3"/>
  <c r="AZ143" i="3" s="1"/>
  <c r="G144" i="3"/>
  <c r="AZ145" i="3"/>
  <c r="BL150" i="3"/>
  <c r="AZ150" i="3" s="1"/>
  <c r="G151" i="3"/>
  <c r="BL154" i="3"/>
  <c r="AZ154" i="3" s="1"/>
  <c r="G155" i="3"/>
  <c r="G156" i="3"/>
  <c r="BL157" i="3"/>
  <c r="G158" i="3"/>
  <c r="BL162" i="3"/>
  <c r="AZ162" i="3" s="1"/>
  <c r="G163" i="3"/>
  <c r="G164" i="3"/>
  <c r="BL165" i="3"/>
  <c r="G166" i="3"/>
  <c r="BL167" i="3"/>
  <c r="G168" i="3"/>
  <c r="G170" i="3"/>
  <c r="BL174" i="3"/>
  <c r="AZ174" i="3" s="1"/>
  <c r="G175" i="3"/>
  <c r="BL178" i="3"/>
  <c r="AZ178" i="3" s="1"/>
  <c r="G179" i="3"/>
  <c r="G180" i="3"/>
  <c r="BL181" i="3"/>
  <c r="AZ182" i="3"/>
  <c r="BL182" i="3"/>
  <c r="BL183" i="3"/>
  <c r="G184" i="3"/>
  <c r="BL186" i="3"/>
  <c r="AZ186" i="3" s="1"/>
  <c r="G187" i="3"/>
  <c r="G188" i="3"/>
  <c r="BL189" i="3"/>
  <c r="BL190" i="3"/>
  <c r="AZ190" i="3" s="1"/>
  <c r="BL194" i="3"/>
  <c r="AZ194" i="3" s="1"/>
  <c r="G195" i="3"/>
  <c r="G196" i="3"/>
  <c r="BL197" i="3"/>
  <c r="G198" i="3"/>
  <c r="BL199" i="3"/>
  <c r="G200" i="3"/>
  <c r="G202" i="3"/>
  <c r="G205" i="3"/>
  <c r="G206" i="3"/>
  <c r="G207" i="3"/>
  <c r="AZ18" i="3"/>
  <c r="G217" i="3"/>
  <c r="G219" i="3"/>
  <c r="BL220" i="3"/>
  <c r="G221" i="3"/>
  <c r="G222" i="3"/>
  <c r="G223" i="3"/>
  <c r="G224" i="3"/>
  <c r="BL225" i="3"/>
  <c r="G226" i="3"/>
  <c r="G228" i="3"/>
  <c r="BL229" i="3"/>
  <c r="G230" i="3"/>
  <c r="AZ231" i="3"/>
  <c r="BL234" i="3"/>
  <c r="G235" i="3"/>
  <c r="BL236" i="3"/>
  <c r="G237" i="3"/>
  <c r="BL238" i="3"/>
  <c r="G239" i="3"/>
  <c r="G240" i="3"/>
  <c r="G241" i="3"/>
  <c r="G242" i="3"/>
  <c r="BL242" i="3"/>
  <c r="AZ242" i="3" s="1"/>
  <c r="G243" i="3"/>
  <c r="G245" i="3"/>
  <c r="G246" i="3"/>
  <c r="BL246" i="3"/>
  <c r="AZ246" i="3" s="1"/>
  <c r="G247" i="3"/>
  <c r="G248" i="3"/>
  <c r="G249" i="3"/>
  <c r="G250" i="3"/>
  <c r="BL251" i="3"/>
  <c r="AZ251" i="3" s="1"/>
  <c r="G252" i="3"/>
  <c r="G253" i="3"/>
  <c r="G254" i="3"/>
  <c r="G256" i="3"/>
  <c r="G257" i="3"/>
  <c r="G258" i="3"/>
  <c r="BL258" i="3"/>
  <c r="AZ258" i="3" s="1"/>
  <c r="G259" i="3"/>
  <c r="G261" i="3"/>
  <c r="G262" i="3"/>
  <c r="BL262" i="3"/>
  <c r="AZ262" i="3" s="1"/>
  <c r="G263" i="3"/>
  <c r="G265" i="3"/>
  <c r="G266" i="3"/>
  <c r="BL266" i="3"/>
  <c r="G267" i="3"/>
  <c r="G268" i="3"/>
  <c r="G269" i="3"/>
  <c r="G270" i="3"/>
  <c r="BL271" i="3"/>
  <c r="AZ271" i="3" s="1"/>
  <c r="G272" i="3"/>
  <c r="G273" i="3"/>
  <c r="G274" i="3"/>
  <c r="BL275" i="3"/>
  <c r="AZ275" i="3" s="1"/>
  <c r="G276" i="3"/>
  <c r="G277" i="3"/>
  <c r="G279" i="3"/>
  <c r="G280" i="3"/>
  <c r="G281" i="3"/>
  <c r="BL281" i="3"/>
  <c r="G282" i="3"/>
  <c r="G283" i="3"/>
  <c r="G284" i="3"/>
  <c r="G286" i="3"/>
  <c r="BL286" i="3"/>
  <c r="G287" i="3"/>
  <c r="BL288" i="3"/>
  <c r="AZ288" i="3" s="1"/>
  <c r="G289" i="3"/>
  <c r="G290" i="3"/>
  <c r="BL291" i="3"/>
  <c r="AZ291" i="3" s="1"/>
  <c r="G292" i="3"/>
  <c r="G293" i="3"/>
  <c r="G295" i="3"/>
  <c r="G296" i="3"/>
  <c r="G297" i="3"/>
  <c r="BL297" i="3"/>
  <c r="G298" i="3"/>
  <c r="G299" i="3"/>
  <c r="G300" i="3"/>
  <c r="AZ136" i="3"/>
  <c r="BL20" i="3"/>
  <c r="AZ20" i="3" s="1"/>
  <c r="G21" i="3"/>
  <c r="BL22" i="3"/>
  <c r="G23" i="3"/>
  <c r="G25" i="3"/>
  <c r="BL26" i="3"/>
  <c r="G27" i="3"/>
  <c r="G28" i="3"/>
  <c r="G29" i="3"/>
  <c r="BL30" i="3"/>
  <c r="AZ30" i="3" s="1"/>
  <c r="G31" i="3"/>
  <c r="BL32" i="3"/>
  <c r="AZ32" i="3" s="1"/>
  <c r="G33" i="3"/>
  <c r="AZ34" i="3"/>
  <c r="G36" i="3"/>
  <c r="G37" i="3"/>
  <c r="G38" i="3"/>
  <c r="BL39" i="3"/>
  <c r="AZ39" i="3" s="1"/>
  <c r="G40" i="3"/>
  <c r="G41" i="3"/>
  <c r="BL42" i="3"/>
  <c r="G43" i="3"/>
  <c r="G44" i="3"/>
  <c r="BL45" i="3"/>
  <c r="G46" i="3"/>
  <c r="G48" i="3"/>
  <c r="BL49" i="3"/>
  <c r="AZ49" i="3" s="1"/>
  <c r="G50" i="3"/>
  <c r="BL51" i="3"/>
  <c r="AZ51" i="3" s="1"/>
  <c r="G52" i="3"/>
  <c r="G53" i="3"/>
  <c r="G54" i="3"/>
  <c r="G55" i="3"/>
  <c r="AZ56" i="3"/>
  <c r="G58" i="3"/>
  <c r="G60" i="3"/>
  <c r="BL61" i="3"/>
  <c r="G62" i="3"/>
  <c r="G64" i="3"/>
  <c r="BL65" i="3"/>
  <c r="AZ65" i="3" s="1"/>
  <c r="G66" i="3"/>
  <c r="BL67" i="3"/>
  <c r="AZ67" i="3" s="1"/>
  <c r="G68" i="3"/>
  <c r="G69" i="3"/>
  <c r="G70" i="3"/>
  <c r="BL71" i="3"/>
  <c r="G72" i="3"/>
  <c r="BL73" i="3"/>
  <c r="G74" i="3"/>
  <c r="BL75" i="3"/>
  <c r="G76" i="3"/>
  <c r="G78" i="3"/>
  <c r="G79" i="3"/>
  <c r="G80" i="3"/>
  <c r="G85" i="3"/>
  <c r="G87" i="3"/>
  <c r="G88" i="3"/>
  <c r="G91" i="3"/>
  <c r="G92" i="3"/>
  <c r="BL93" i="3"/>
  <c r="G94" i="3"/>
  <c r="BL95" i="3"/>
  <c r="G96" i="3"/>
  <c r="G97" i="3"/>
  <c r="G98" i="3"/>
  <c r="BL99" i="3"/>
  <c r="G100" i="3"/>
  <c r="G102" i="3"/>
  <c r="G105" i="3"/>
  <c r="BL106" i="3"/>
  <c r="G107" i="3"/>
  <c r="BL108" i="3"/>
  <c r="G109" i="3"/>
  <c r="BL110" i="3"/>
  <c r="G111" i="3"/>
  <c r="BA208" i="3"/>
  <c r="BA210" i="3"/>
  <c r="AZ210" i="3" s="1"/>
  <c r="BA211" i="3"/>
  <c r="BA213" i="3"/>
  <c r="BA215" i="3"/>
  <c r="AZ215" i="3" s="1"/>
  <c r="BA218" i="3"/>
  <c r="BA220" i="3"/>
  <c r="AZ220" i="3" s="1"/>
  <c r="BA227" i="3"/>
  <c r="BA125" i="3"/>
  <c r="AZ125" i="3" s="1"/>
  <c r="BA128" i="3"/>
  <c r="AZ128" i="3" s="1"/>
  <c r="BA132" i="3"/>
  <c r="AZ132" i="3" s="1"/>
  <c r="BA134" i="3"/>
  <c r="AZ134" i="3" s="1"/>
  <c r="BA137" i="3"/>
  <c r="AZ137" i="3" s="1"/>
  <c r="BA71" i="3"/>
  <c r="AZ71" i="3" s="1"/>
  <c r="BA77" i="3"/>
  <c r="BA81" i="3"/>
  <c r="AZ81" i="3" s="1"/>
  <c r="BA82" i="3"/>
  <c r="AZ82" i="3" s="1"/>
  <c r="BA83" i="3"/>
  <c r="AZ83" i="3" s="1"/>
  <c r="BA95" i="3"/>
  <c r="AZ95" i="3" s="1"/>
  <c r="BA103" i="3"/>
  <c r="AZ103" i="3" s="1"/>
  <c r="BA104" i="3"/>
  <c r="BA235" i="3"/>
  <c r="BA239" i="3"/>
  <c r="AZ239" i="3" s="1"/>
  <c r="BA240" i="3"/>
  <c r="AZ240" i="3" s="1"/>
  <c r="BA241" i="3"/>
  <c r="AZ241" i="3" s="1"/>
  <c r="BA113" i="3"/>
  <c r="AZ113" i="3" s="1"/>
  <c r="BA114" i="3"/>
  <c r="AZ114" i="3" s="1"/>
  <c r="BA116" i="3"/>
  <c r="AZ116" i="3" s="1"/>
  <c r="BA118" i="3"/>
  <c r="AZ118" i="3" s="1"/>
  <c r="BA140" i="3"/>
  <c r="BA144" i="3"/>
  <c r="AZ144" i="3" s="1"/>
  <c r="BA149" i="3"/>
  <c r="BA153" i="3"/>
  <c r="BA156" i="3"/>
  <c r="AZ156" i="3" s="1"/>
  <c r="BA158" i="3"/>
  <c r="AZ158" i="3" s="1"/>
  <c r="BA161" i="3"/>
  <c r="AZ161" i="3" s="1"/>
  <c r="BA164" i="3"/>
  <c r="AZ164" i="3" s="1"/>
  <c r="BA166" i="3"/>
  <c r="AZ166" i="3" s="1"/>
  <c r="BA170" i="3"/>
  <c r="AZ170" i="3" s="1"/>
  <c r="BA173" i="3"/>
  <c r="BA177" i="3"/>
  <c r="BA180" i="3"/>
  <c r="AZ180" i="3" s="1"/>
  <c r="BA188" i="3"/>
  <c r="AZ188" i="3" s="1"/>
  <c r="BA193" i="3"/>
  <c r="BA196" i="3"/>
  <c r="AZ196" i="3" s="1"/>
  <c r="BA198" i="3"/>
  <c r="BA202" i="3"/>
  <c r="AZ202" i="3" s="1"/>
  <c r="BA205" i="3"/>
  <c r="AZ205" i="3" s="1"/>
  <c r="BA206" i="3"/>
  <c r="AZ206" i="3" s="1"/>
  <c r="BA207" i="3"/>
  <c r="AZ207" i="3" s="1"/>
  <c r="BA21" i="3"/>
  <c r="BA23" i="3"/>
  <c r="AZ23" i="3" s="1"/>
  <c r="BA27" i="3"/>
  <c r="AZ27" i="3" s="1"/>
  <c r="BA28" i="3"/>
  <c r="AZ28" i="3" s="1"/>
  <c r="BA31" i="3"/>
  <c r="BA33" i="3"/>
  <c r="BA36" i="3"/>
  <c r="AZ36" i="3" s="1"/>
  <c r="BA37" i="3"/>
  <c r="AZ37" i="3" s="1"/>
  <c r="BA38" i="3"/>
  <c r="BA40" i="3"/>
  <c r="AZ40" i="3" s="1"/>
  <c r="BA41" i="3"/>
  <c r="BA42" i="3"/>
  <c r="AZ42" i="3" s="1"/>
  <c r="BA46" i="3"/>
  <c r="AZ46" i="3" s="1"/>
  <c r="BA50" i="3"/>
  <c r="BA52" i="3"/>
  <c r="AZ52" i="3" s="1"/>
  <c r="BA53" i="3"/>
  <c r="AZ53" i="3" s="1"/>
  <c r="BA58" i="3"/>
  <c r="AZ58" i="3" s="1"/>
  <c r="BA62" i="3"/>
  <c r="AZ62" i="3" s="1"/>
  <c r="BA66" i="3"/>
  <c r="BA68" i="3"/>
  <c r="AZ68" i="3" s="1"/>
  <c r="AZ345" i="3"/>
  <c r="AZ329" i="3"/>
  <c r="AZ140" i="3"/>
  <c r="G14" i="3"/>
  <c r="AZ199" i="3"/>
  <c r="AZ167" i="3"/>
  <c r="BL15" i="3"/>
  <c r="AZ15" i="3" s="1"/>
  <c r="BL208" i="3"/>
  <c r="BL211" i="3"/>
  <c r="BA212" i="3"/>
  <c r="AZ212" i="3" s="1"/>
  <c r="BL214" i="3"/>
  <c r="AZ214" i="3" s="1"/>
  <c r="BL235" i="3"/>
  <c r="AZ235" i="3" s="1"/>
  <c r="BA236" i="3"/>
  <c r="AZ236" i="3" s="1"/>
  <c r="BA237" i="3"/>
  <c r="AZ237" i="3" s="1"/>
  <c r="BA121" i="3"/>
  <c r="AZ121" i="3" s="1"/>
  <c r="BL19" i="3"/>
  <c r="BL21" i="3"/>
  <c r="AZ21" i="3" s="1"/>
  <c r="BA22" i="3"/>
  <c r="AZ22" i="3" s="1"/>
  <c r="BL24" i="3"/>
  <c r="AZ24" i="3" s="1"/>
  <c r="BA25" i="3"/>
  <c r="AZ25" i="3" s="1"/>
  <c r="AZ183" i="3"/>
  <c r="AZ151" i="3"/>
  <c r="AZ208" i="3"/>
  <c r="AZ211" i="3"/>
  <c r="BL218" i="3"/>
  <c r="AZ218" i="3" s="1"/>
  <c r="BA219" i="3"/>
  <c r="AZ219" i="3" s="1"/>
  <c r="BA225" i="3"/>
  <c r="AZ225" i="3" s="1"/>
  <c r="BL227" i="3"/>
  <c r="AZ227" i="3" s="1"/>
  <c r="BA228" i="3"/>
  <c r="AZ228" i="3" s="1"/>
  <c r="BA229" i="3"/>
  <c r="AZ229" i="3" s="1"/>
  <c r="BL115" i="3"/>
  <c r="AZ115" i="3" s="1"/>
  <c r="BA129" i="3"/>
  <c r="AZ129" i="3" s="1"/>
  <c r="BA130" i="3"/>
  <c r="AZ130" i="3" s="1"/>
  <c r="BL131" i="3"/>
  <c r="AZ131" i="3" s="1"/>
  <c r="BA152" i="3"/>
  <c r="AZ152" i="3" s="1"/>
  <c r="BL153" i="3"/>
  <c r="AZ153" i="3" s="1"/>
  <c r="BA168" i="3"/>
  <c r="AZ168" i="3" s="1"/>
  <c r="BL169" i="3"/>
  <c r="AZ169" i="3" s="1"/>
  <c r="BA176" i="3"/>
  <c r="AZ176" i="3" s="1"/>
  <c r="BL177" i="3"/>
  <c r="AZ177" i="3" s="1"/>
  <c r="BA184" i="3"/>
  <c r="AZ184" i="3" s="1"/>
  <c r="BL185" i="3"/>
  <c r="AZ185" i="3" s="1"/>
  <c r="BL193" i="3"/>
  <c r="AZ193" i="3" s="1"/>
  <c r="BL198" i="3"/>
  <c r="AZ198" i="3" s="1"/>
  <c r="BA200" i="3"/>
  <c r="AZ200" i="3" s="1"/>
  <c r="BL201" i="3"/>
  <c r="AZ201" i="3" s="1"/>
  <c r="BA29" i="3"/>
  <c r="AZ29" i="3" s="1"/>
  <c r="BL31" i="3"/>
  <c r="AZ31" i="3" s="1"/>
  <c r="BL33" i="3"/>
  <c r="AZ33" i="3" s="1"/>
  <c r="BL35" i="3"/>
  <c r="BL38" i="3"/>
  <c r="AZ38" i="3" s="1"/>
  <c r="BL41" i="3"/>
  <c r="BL43" i="3"/>
  <c r="AZ43" i="3" s="1"/>
  <c r="BA44" i="3"/>
  <c r="AZ44" i="3" s="1"/>
  <c r="BA45" i="3"/>
  <c r="AZ45" i="3" s="1"/>
  <c r="BL47" i="3"/>
  <c r="AZ47" i="3" s="1"/>
  <c r="BA48" i="3"/>
  <c r="AZ48" i="3" s="1"/>
  <c r="BL50" i="3"/>
  <c r="AZ50" i="3" s="1"/>
  <c r="BL54" i="3"/>
  <c r="BL57" i="3"/>
  <c r="BL59" i="3"/>
  <c r="AZ59" i="3" s="1"/>
  <c r="BA60" i="3"/>
  <c r="AZ60" i="3" s="1"/>
  <c r="BA61" i="3"/>
  <c r="AZ61" i="3" s="1"/>
  <c r="BL63" i="3"/>
  <c r="AZ63" i="3" s="1"/>
  <c r="BA64" i="3"/>
  <c r="AZ64" i="3" s="1"/>
  <c r="BL66" i="3"/>
  <c r="AZ66" i="3" s="1"/>
  <c r="BL70" i="3"/>
  <c r="BL72" i="3"/>
  <c r="AZ72" i="3" s="1"/>
  <c r="BA73" i="3"/>
  <c r="AZ73" i="3" s="1"/>
  <c r="BA74" i="3"/>
  <c r="AZ74" i="3" s="1"/>
  <c r="BA75" i="3"/>
  <c r="AZ75" i="3" s="1"/>
  <c r="BL77" i="3"/>
  <c r="AZ77" i="3" s="1"/>
  <c r="BL80" i="3"/>
  <c r="BL84" i="3"/>
  <c r="BL86" i="3"/>
  <c r="AZ86" i="3" s="1"/>
  <c r="BL88" i="3"/>
  <c r="BL91" i="3"/>
  <c r="BA92" i="3"/>
  <c r="AZ92" i="3" s="1"/>
  <c r="BA93" i="3"/>
  <c r="AZ93" i="3" s="1"/>
  <c r="BA94" i="3"/>
  <c r="AZ94" i="3" s="1"/>
  <c r="BL98" i="3"/>
  <c r="BA99" i="3"/>
  <c r="AZ99" i="3" s="1"/>
  <c r="BL101" i="3"/>
  <c r="AZ101" i="3" s="1"/>
  <c r="BL104" i="3"/>
  <c r="AZ104" i="3" s="1"/>
  <c r="BA106" i="3"/>
  <c r="AZ106" i="3" s="1"/>
  <c r="BA108" i="3"/>
  <c r="AZ108" i="3" s="1"/>
  <c r="BA109" i="3"/>
  <c r="AZ109" i="3" s="1"/>
  <c r="BA110" i="3"/>
  <c r="AZ110" i="3" s="1"/>
  <c r="BA112" i="3"/>
  <c r="AZ112" i="3" s="1"/>
  <c r="AZ54" i="3"/>
  <c r="AZ57" i="3"/>
  <c r="AZ70" i="3"/>
  <c r="AZ91" i="3"/>
  <c r="AZ98" i="3"/>
  <c r="F29" i="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G109" i="43"/>
  <c r="N109" i="43"/>
  <c r="F100" i="43"/>
  <c r="H17" i="43"/>
  <c r="D9" i="53"/>
  <c r="B25" i="72" s="1"/>
  <c r="B24" i="72"/>
  <c r="G6" i="1"/>
  <c r="H85" i="43"/>
  <c r="H81" i="43"/>
  <c r="H84" i="43"/>
  <c r="H88" i="43"/>
  <c r="H53" i="43"/>
  <c r="G53" i="43" s="1"/>
  <c r="H54" i="43"/>
  <c r="G54" i="43" s="1"/>
  <c r="C17" i="43"/>
  <c r="F33" i="43"/>
  <c r="G17" i="43"/>
  <c r="F34" i="43"/>
  <c r="M7" i="43"/>
  <c r="N6" i="43"/>
  <c r="M2" i="43"/>
  <c r="C6" i="43" s="1"/>
  <c r="M10" i="43"/>
  <c r="N3" i="43"/>
  <c r="F70" i="43" s="1"/>
  <c r="H76" i="43" s="1"/>
  <c r="G76" i="43" s="1"/>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G55" i="43" s="1"/>
  <c r="H51" i="43"/>
  <c r="G51" i="43" s="1"/>
  <c r="H56" i="43"/>
  <c r="G56" i="43" s="1"/>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C17" i="78"/>
  <c r="L48" i="78"/>
  <c r="M23" i="67"/>
  <c r="F26" i="67"/>
  <c r="F38" i="15"/>
  <c r="F42" i="67"/>
  <c r="M29" i="15"/>
  <c r="M8" i="67"/>
  <c r="F6" i="67"/>
  <c r="F38" i="67"/>
  <c r="M9" i="15"/>
  <c r="F16" i="15"/>
  <c r="J15" i="67"/>
  <c r="F13" i="15"/>
  <c r="F36" i="15"/>
  <c r="M28" i="15"/>
  <c r="L48" i="15"/>
  <c r="L48" i="67"/>
  <c r="M22" i="15"/>
  <c r="F37" i="67"/>
  <c r="F9" i="67"/>
  <c r="M6" i="67"/>
  <c r="F9" i="15"/>
  <c r="M8" i="15"/>
  <c r="F40" i="15"/>
  <c r="F8" i="15"/>
  <c r="M9" i="67"/>
  <c r="M22" i="67"/>
  <c r="F42" i="15"/>
  <c r="M29" i="67"/>
  <c r="F43" i="15"/>
  <c r="C76" i="15"/>
  <c r="M28" i="67"/>
  <c r="L47" i="15"/>
  <c r="F43" i="67"/>
  <c r="M23" i="15"/>
  <c r="M6" i="15"/>
  <c r="M24" i="67"/>
  <c r="J15" i="15"/>
  <c r="F37" i="15"/>
  <c r="F16" i="67"/>
  <c r="F7" i="67"/>
  <c r="C76" i="67"/>
  <c r="F40" i="67"/>
  <c r="M24" i="15"/>
  <c r="F26" i="15"/>
  <c r="M26" i="67"/>
  <c r="F13" i="67"/>
  <c r="M26" i="15"/>
  <c r="F36" i="67"/>
  <c r="L47" i="67"/>
  <c r="F7" i="15"/>
  <c r="F8" i="67"/>
  <c r="F6" i="15"/>
  <c r="G1" i="73"/>
  <c r="G101" i="33" l="1"/>
  <c r="H101" i="33" s="1"/>
  <c r="I101" i="33" s="1"/>
  <c r="J101" i="33" s="1"/>
  <c r="K101" i="33" s="1"/>
  <c r="L101" i="33" s="1"/>
  <c r="M101" i="33" s="1"/>
  <c r="H32" i="33"/>
  <c r="F32" i="33"/>
  <c r="J32" i="33"/>
  <c r="AC32" i="33" s="1"/>
  <c r="K54" i="43"/>
  <c r="J54" i="43" s="1"/>
  <c r="D54" i="43" s="1"/>
  <c r="M54" i="43"/>
  <c r="N54" i="43" s="1"/>
  <c r="K48" i="43"/>
  <c r="J48" i="43" s="1"/>
  <c r="D48" i="43" s="1"/>
  <c r="M48" i="43"/>
  <c r="N48" i="43" s="1"/>
  <c r="K51" i="43"/>
  <c r="J51" i="43" s="1"/>
  <c r="D51" i="43" s="1"/>
  <c r="M51" i="43"/>
  <c r="N51" i="43" s="1"/>
  <c r="K56" i="43"/>
  <c r="J56" i="43" s="1"/>
  <c r="D56" i="43" s="1"/>
  <c r="M56" i="43"/>
  <c r="N56" i="43" s="1"/>
  <c r="K55" i="43"/>
  <c r="J55" i="43" s="1"/>
  <c r="D55" i="43" s="1"/>
  <c r="M55" i="43"/>
  <c r="N55" i="43" s="1"/>
  <c r="M76" i="43"/>
  <c r="N76" i="43" s="1"/>
  <c r="K76" i="43"/>
  <c r="J76" i="43" s="1"/>
  <c r="D76" i="43" s="1"/>
  <c r="K53" i="43"/>
  <c r="J53" i="43" s="1"/>
  <c r="D53" i="43" s="1"/>
  <c r="M53" i="43"/>
  <c r="N53" i="43" s="1"/>
  <c r="K50" i="43"/>
  <c r="J50" i="43" s="1"/>
  <c r="D50" i="43" s="1"/>
  <c r="M50" i="43"/>
  <c r="N50" i="43" s="1"/>
  <c r="H72" i="43"/>
  <c r="G72" i="43" s="1"/>
  <c r="H77" i="43"/>
  <c r="G77" i="43" s="1"/>
  <c r="H73" i="43"/>
  <c r="G73" i="43" s="1"/>
  <c r="H74" i="43"/>
  <c r="G74" i="43" s="1"/>
  <c r="H70" i="43"/>
  <c r="G70" i="43" s="1"/>
  <c r="H75" i="43"/>
  <c r="G75" i="43" s="1"/>
  <c r="H71" i="43"/>
  <c r="G71" i="43" s="1"/>
  <c r="H78" i="43"/>
  <c r="G78" i="43" s="1"/>
  <c r="C5" i="78"/>
  <c r="C32" i="78" s="1"/>
  <c r="L19" i="6"/>
  <c r="L21" i="6"/>
  <c r="C66" i="78"/>
  <c r="C60" i="78"/>
  <c r="J24" i="78"/>
  <c r="J26" i="78"/>
  <c r="J18" i="78"/>
  <c r="J53" i="78"/>
  <c r="L56" i="78" s="1"/>
  <c r="L58" i="78"/>
  <c r="Q60" i="78" s="1"/>
  <c r="I54" i="78"/>
  <c r="J57" i="78"/>
  <c r="J55" i="78" s="1"/>
  <c r="J58" i="78" s="1"/>
  <c r="Q50" i="78" s="1"/>
  <c r="G7" i="1"/>
  <c r="Q74" i="78"/>
  <c r="Q61" i="78"/>
  <c r="AA11" i="34"/>
  <c r="D22" i="43"/>
  <c r="C4" i="4"/>
  <c r="K4" i="4" s="1"/>
  <c r="B46" i="48" s="1"/>
  <c r="B4" i="72" s="1"/>
  <c r="T10" i="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2" i="82"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H16" i="1"/>
  <c r="AB45" i="21"/>
  <c r="AC33" i="21"/>
  <c r="W33" i="21"/>
  <c r="S33" i="21"/>
  <c r="AA33" i="21"/>
  <c r="W32" i="21"/>
  <c r="AC32" i="21"/>
  <c r="AB9" i="21"/>
  <c r="U9" i="21"/>
  <c r="AA32" i="21"/>
  <c r="S32" i="21"/>
  <c r="W9" i="21"/>
  <c r="AC9" i="21"/>
  <c r="AB32" i="21"/>
  <c r="U32" i="21"/>
  <c r="AA10" i="21"/>
  <c r="S10" i="21"/>
  <c r="M17" i="67"/>
  <c r="M17" i="15"/>
  <c r="F31" i="15"/>
  <c r="F59" i="67"/>
  <c r="F31" i="67"/>
  <c r="F59" i="15"/>
  <c r="C34" i="82"/>
  <c r="C36" i="69"/>
  <c r="C17" i="15"/>
  <c r="C14" i="78"/>
  <c r="C16" i="78"/>
  <c r="F27" i="69"/>
  <c r="C16" i="15"/>
  <c r="D9" i="69"/>
  <c r="C16" i="67"/>
  <c r="C35" i="82" l="1"/>
  <c r="C38" i="82"/>
  <c r="O6" i="1"/>
  <c r="P6" i="1" s="1"/>
  <c r="O7" i="1"/>
  <c r="C44" i="82"/>
  <c r="D41" i="82" s="1"/>
  <c r="C26" i="82"/>
  <c r="D22" i="82" s="1"/>
  <c r="C24" i="82"/>
  <c r="W32" i="33"/>
  <c r="AB32" i="33"/>
  <c r="U32" i="33"/>
  <c r="AA32" i="33"/>
  <c r="S32" i="33"/>
  <c r="E48" i="43"/>
  <c r="B46" i="43" s="1"/>
  <c r="K78" i="43"/>
  <c r="J78" i="43" s="1"/>
  <c r="D78" i="43" s="1"/>
  <c r="M78" i="43"/>
  <c r="N78" i="43" s="1"/>
  <c r="K75" i="43"/>
  <c r="J75" i="43" s="1"/>
  <c r="D75" i="43" s="1"/>
  <c r="M75" i="43"/>
  <c r="N75" i="43" s="1"/>
  <c r="M74" i="43"/>
  <c r="N74" i="43" s="1"/>
  <c r="K74" i="43"/>
  <c r="J74" i="43" s="1"/>
  <c r="D74" i="43" s="1"/>
  <c r="K77" i="43"/>
  <c r="J77" i="43" s="1"/>
  <c r="D77" i="43" s="1"/>
  <c r="M77" i="43"/>
  <c r="N77" i="43" s="1"/>
  <c r="K71" i="43"/>
  <c r="J71" i="43" s="1"/>
  <c r="D71" i="43" s="1"/>
  <c r="M71" i="43"/>
  <c r="N71" i="43" s="1"/>
  <c r="K70" i="43"/>
  <c r="J70" i="43" s="1"/>
  <c r="D70" i="43" s="1"/>
  <c r="M70" i="43"/>
  <c r="N70" i="43" s="1"/>
  <c r="K73" i="43"/>
  <c r="J73" i="43" s="1"/>
  <c r="D73" i="43" s="1"/>
  <c r="M73" i="43"/>
  <c r="N73" i="43" s="1"/>
  <c r="K72" i="43"/>
  <c r="J72" i="43" s="1"/>
  <c r="D72" i="43" s="1"/>
  <c r="M72" i="43"/>
  <c r="N72" i="43" s="1"/>
  <c r="C9" i="69"/>
  <c r="C9" i="68"/>
  <c r="C38" i="78"/>
  <c r="Q52" i="78"/>
  <c r="Q73" i="78"/>
  <c r="F1" i="78"/>
  <c r="C15" i="78"/>
  <c r="C18" i="78"/>
  <c r="B4" i="62"/>
  <c r="B71" i="72" s="1"/>
  <c r="F24" i="78"/>
  <c r="K16" i="1"/>
  <c r="M21" i="6"/>
  <c r="I21" i="6" s="1"/>
  <c r="S21" i="6" s="1"/>
  <c r="S8" i="1"/>
  <c r="M19" i="6"/>
  <c r="AQ7" i="1"/>
  <c r="AR6" i="1"/>
  <c r="T7" i="1"/>
  <c r="AR7"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F50" i="82" s="1"/>
  <c r="Q60" i="67"/>
  <c r="Q73" i="67"/>
  <c r="F27" i="11"/>
  <c r="Q61" i="67"/>
  <c r="Q74" i="67"/>
  <c r="C49" i="67"/>
  <c r="F1" i="67"/>
  <c r="Q52" i="67"/>
  <c r="F27" i="68"/>
  <c r="M19" i="79" l="1"/>
  <c r="C118" i="79" s="1"/>
  <c r="L19" i="79"/>
  <c r="C33" i="82"/>
  <c r="C39" i="82" s="1"/>
  <c r="E70" i="43"/>
  <c r="B68" i="43" s="1"/>
  <c r="C24" i="43" s="1"/>
  <c r="C29" i="68"/>
  <c r="D27" i="68" s="1"/>
  <c r="C19" i="78"/>
  <c r="C20" i="78" s="1"/>
  <c r="C26" i="78" s="1"/>
  <c r="C24" i="78"/>
  <c r="AQ8" i="1"/>
  <c r="AR8" i="1"/>
  <c r="T8" i="1"/>
  <c r="Q61" i="15"/>
  <c r="AA7" i="36"/>
  <c r="R36" i="36" s="1"/>
  <c r="E36" i="36" s="1"/>
  <c r="E40" i="36" s="1"/>
  <c r="F40" i="36" s="1"/>
  <c r="AC11" i="37"/>
  <c r="W11" i="37"/>
  <c r="AB7" i="37"/>
  <c r="T42" i="37" s="1"/>
  <c r="G42" i="37" s="1"/>
  <c r="G46" i="37" s="1"/>
  <c r="H46" i="37" s="1"/>
  <c r="W11" i="34"/>
  <c r="AC11" i="34"/>
  <c r="J5" i="67"/>
  <c r="J5" i="15"/>
  <c r="H20" i="6"/>
  <c r="AB7" i="36"/>
  <c r="T36" i="36" s="1"/>
  <c r="C38" i="15"/>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34" i="68"/>
  <c r="C36" i="68"/>
  <c r="D10" i="68"/>
  <c r="C42" i="82" l="1"/>
  <c r="C46" i="82"/>
  <c r="C45" i="82" s="1"/>
  <c r="C43" i="82"/>
  <c r="C33" i="43"/>
  <c r="C34" i="43"/>
  <c r="T11" i="43"/>
  <c r="V11" i="43" s="1"/>
  <c r="T7" i="43"/>
  <c r="V7" i="43" s="1"/>
  <c r="T8" i="43"/>
  <c r="V8" i="43" s="1"/>
  <c r="T5" i="43"/>
  <c r="V5" i="43" s="1"/>
  <c r="C37" i="43"/>
  <c r="C36" i="43"/>
  <c r="C35" i="43"/>
  <c r="C29" i="43"/>
  <c r="T16" i="43"/>
  <c r="V16" i="43" s="1"/>
  <c r="T12" i="43"/>
  <c r="V12" i="43" s="1"/>
  <c r="T3" i="43"/>
  <c r="V3" i="43" s="1"/>
  <c r="T2" i="43"/>
  <c r="V2" i="43" s="1"/>
  <c r="T15" i="43"/>
  <c r="V15" i="43" s="1"/>
  <c r="T10" i="43"/>
  <c r="V10" i="43" s="1"/>
  <c r="T6" i="43"/>
  <c r="V6" i="43" s="1"/>
  <c r="C39" i="43"/>
  <c r="E39" i="43" s="1"/>
  <c r="C38" i="43"/>
  <c r="T14" i="43"/>
  <c r="V14" i="43" s="1"/>
  <c r="T9" i="43"/>
  <c r="V9" i="43" s="1"/>
  <c r="T13" i="43"/>
  <c r="V13" i="43" s="1"/>
  <c r="T4" i="43"/>
  <c r="V4" i="43" s="1"/>
  <c r="C34" i="11"/>
  <c r="R20" i="6"/>
  <c r="R7" i="1" s="1"/>
  <c r="C23" i="78"/>
  <c r="C29"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M21" i="78"/>
  <c r="F35" i="78"/>
  <c r="C41" i="82" l="1"/>
  <c r="C49" i="82" s="1"/>
  <c r="C51" i="82" s="1"/>
  <c r="G38" i="43"/>
  <c r="I38" i="43" s="1"/>
  <c r="E38" i="43"/>
  <c r="G35" i="43"/>
  <c r="I35" i="43" s="1"/>
  <c r="E35" i="43"/>
  <c r="G37" i="43"/>
  <c r="I37" i="43" s="1"/>
  <c r="E37" i="43"/>
  <c r="G33" i="43"/>
  <c r="I33" i="43" s="1"/>
  <c r="E33" i="43"/>
  <c r="C6" i="69"/>
  <c r="C7" i="69" s="1"/>
  <c r="C30" i="43"/>
  <c r="E30" i="43" s="1"/>
  <c r="E29" i="43"/>
  <c r="E36" i="43"/>
  <c r="G36" i="43"/>
  <c r="I36" i="43" s="1"/>
  <c r="E34" i="43"/>
  <c r="G34" i="43"/>
  <c r="I34" i="43" s="1"/>
  <c r="J20" i="78"/>
  <c r="F63" i="78"/>
  <c r="C62" i="78" s="1"/>
  <c r="C34" i="78"/>
  <c r="J59" i="78"/>
  <c r="J60" i="78" s="1"/>
  <c r="Q48" i="78" s="1"/>
  <c r="C57" i="78"/>
  <c r="C64" i="78" s="1"/>
  <c r="C13" i="78"/>
  <c r="C75" i="78" s="1"/>
  <c r="C33" i="78"/>
  <c r="J14" i="78"/>
  <c r="C36" i="78"/>
  <c r="J19" i="78"/>
  <c r="Q49" i="78"/>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M21" i="67"/>
  <c r="C7" i="82" l="1"/>
  <c r="C5" i="82" s="1"/>
  <c r="C31" i="78"/>
  <c r="C27" i="43"/>
  <c r="C6" i="68"/>
  <c r="C26" i="43"/>
  <c r="J17" i="78"/>
  <c r="C61" i="78"/>
  <c r="C59" i="78" s="1"/>
  <c r="C37" i="78"/>
  <c r="C30" i="78" s="1"/>
  <c r="C39" i="78" s="1"/>
  <c r="Q69" i="78" s="1"/>
  <c r="Q70" i="78"/>
  <c r="C56" i="78"/>
  <c r="C65" i="78" s="1"/>
  <c r="J13" i="78"/>
  <c r="J23" i="78" s="1"/>
  <c r="J22" i="78"/>
  <c r="I5" i="6"/>
  <c r="C49" i="21"/>
  <c r="F63" i="67"/>
  <c r="C62" i="67" s="1"/>
  <c r="C34" i="67"/>
  <c r="J20" i="67"/>
  <c r="C24" i="68"/>
  <c r="J20" i="15"/>
  <c r="F63" i="15"/>
  <c r="C62" i="15" s="1"/>
  <c r="C34" i="15"/>
  <c r="R16" i="1"/>
  <c r="C22" i="12"/>
  <c r="C30" i="12" s="1"/>
  <c r="C28" i="12" s="1"/>
  <c r="C33" i="68"/>
  <c r="I63" i="40"/>
  <c r="H65" i="40"/>
  <c r="C39" i="11"/>
  <c r="C43" i="11" s="1"/>
  <c r="C41" i="11" s="1"/>
  <c r="I70" i="39"/>
  <c r="L51" i="78"/>
  <c r="E6" i="76"/>
  <c r="C23" i="82" l="1"/>
  <c r="C20" i="82"/>
  <c r="C25" i="82" s="1"/>
  <c r="E2" i="76"/>
  <c r="C7" i="68"/>
  <c r="C5" i="68" s="1"/>
  <c r="B2" i="43"/>
  <c r="C58" i="78"/>
  <c r="C67" i="78" s="1"/>
  <c r="Q68" i="78"/>
  <c r="L57" i="78"/>
  <c r="L60" i="78" s="1"/>
  <c r="Q67" i="78"/>
  <c r="C80" i="78"/>
  <c r="C79" i="78" s="1"/>
  <c r="J16" i="78"/>
  <c r="J25" i="78" s="1"/>
  <c r="C27" i="12"/>
  <c r="C25" i="12" s="1"/>
  <c r="C32" i="12" s="1"/>
  <c r="B2" i="12" s="1"/>
  <c r="B3" i="12" s="1"/>
  <c r="C39" i="68"/>
  <c r="C43" i="68" s="1"/>
  <c r="C42" i="68"/>
  <c r="J63" i="40"/>
  <c r="I65" i="40"/>
  <c r="C46" i="11"/>
  <c r="C45" i="11" s="1"/>
  <c r="C49" i="11" s="1"/>
  <c r="C51" i="11" s="1"/>
  <c r="C52" i="11" s="1"/>
  <c r="B2" i="11" s="1"/>
  <c r="B3" i="11" s="1"/>
  <c r="J70" i="39"/>
  <c r="B6" i="76"/>
  <c r="C28" i="82" l="1"/>
  <c r="C27" i="82" s="1"/>
  <c r="C22" i="82"/>
  <c r="B2" i="76"/>
  <c r="B3" i="76" s="1"/>
  <c r="B3" i="43"/>
  <c r="C23" i="68"/>
  <c r="C20" i="68"/>
  <c r="Q57" i="78"/>
  <c r="L46" i="78"/>
  <c r="Q66" i="78"/>
  <c r="C41" i="68"/>
  <c r="C46" i="68"/>
  <c r="C45" i="68" s="1"/>
  <c r="K63" i="40"/>
  <c r="J65" i="40"/>
  <c r="K70" i="39"/>
  <c r="C56" i="11"/>
  <c r="C57" i="11" s="1"/>
  <c r="C31" i="82" l="1"/>
  <c r="C52" i="82" s="1"/>
  <c r="B2" i="82" s="1"/>
  <c r="B3" i="82" s="1"/>
  <c r="C28" i="68"/>
  <c r="C27" i="68" s="1"/>
  <c r="C25" i="68"/>
  <c r="C22" i="68" s="1"/>
  <c r="C49" i="68"/>
  <c r="C51" i="68" s="1"/>
  <c r="L63" i="40"/>
  <c r="K65" i="40"/>
  <c r="L70" i="39"/>
  <c r="E2" i="70"/>
  <c r="C17" i="67"/>
  <c r="C34" i="69"/>
  <c r="C57" i="82" l="1"/>
  <c r="C56" i="82" s="1"/>
  <c r="C31" i="68"/>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8"/>
  <c r="J29" i="78" l="1"/>
  <c r="F69" i="78"/>
  <c r="C68" i="78" s="1"/>
  <c r="C40" i="78"/>
  <c r="Q47" i="78" s="1"/>
  <c r="Q53" i="78" s="1"/>
  <c r="C71" i="78"/>
  <c r="Q66" i="67"/>
  <c r="Q57" i="67"/>
  <c r="C58" i="67"/>
  <c r="C67" i="67" s="1"/>
  <c r="C19" i="15"/>
  <c r="Q56" i="78" l="1"/>
  <c r="Q62" i="78" s="1"/>
  <c r="C46" i="78"/>
  <c r="Q65" i="78"/>
  <c r="Q75" i="78" s="1"/>
  <c r="C83" i="78"/>
  <c r="C82" i="78" s="1"/>
  <c r="B2" i="78"/>
  <c r="C43" i="78"/>
  <c r="B3" i="78"/>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D19" i="79"/>
  <c r="AO6" i="1"/>
  <c r="AO8" i="1"/>
  <c r="E2" i="69"/>
  <c r="AO7" i="1"/>
  <c r="D21" i="79" l="1"/>
  <c r="D102" i="79"/>
  <c r="B3" i="15"/>
  <c r="E9" i="80" s="1"/>
  <c r="B8" i="70"/>
  <c r="B7" i="70"/>
  <c r="B6" i="70"/>
  <c r="C46" i="15"/>
  <c r="B2" i="69"/>
  <c r="B2" i="68"/>
  <c r="B3" i="68" s="1"/>
  <c r="B3" i="67"/>
  <c r="D20" i="79"/>
  <c r="E2" i="68"/>
  <c r="D2" i="37"/>
  <c r="D2" i="36"/>
  <c r="D2" i="34"/>
  <c r="B3" i="69"/>
  <c r="D2" i="33"/>
  <c r="D2" i="35"/>
  <c r="D2" i="21"/>
  <c r="F20" i="31"/>
  <c r="F8" i="80" l="1"/>
  <c r="G8" i="80" s="1"/>
  <c r="D15" i="74" s="1"/>
  <c r="D103" i="79"/>
  <c r="B2" i="36"/>
  <c r="B3" i="36" s="1"/>
  <c r="B2" i="35"/>
  <c r="B3" i="35" s="1"/>
  <c r="B2" i="37"/>
  <c r="B3" i="37" s="1"/>
  <c r="B2" i="34"/>
  <c r="B3" i="34" s="1"/>
  <c r="B2" i="21"/>
  <c r="B2" i="70"/>
  <c r="B3" i="70" s="1"/>
  <c r="D19" i="9"/>
  <c r="C19" i="9"/>
  <c r="D20" i="9"/>
  <c r="H15" i="74" l="1"/>
  <c r="F15" i="74"/>
  <c r="E15" i="74"/>
  <c r="E6" i="80"/>
  <c r="F5" i="80" s="1"/>
  <c r="C21" i="9"/>
  <c r="C102" i="9"/>
  <c r="B3" i="21"/>
  <c r="R24" i="31" s="1"/>
  <c r="G19" i="9"/>
  <c r="D102" i="9"/>
  <c r="D22" i="9"/>
  <c r="D21" i="9"/>
  <c r="D103" i="9"/>
  <c r="C20" i="9"/>
  <c r="C103" i="9" l="1"/>
  <c r="G20" i="9"/>
  <c r="C32" i="9"/>
  <c r="G21" i="9"/>
  <c r="D34" i="9"/>
  <c r="S24" i="31" l="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203" i="31"/>
  <c r="S203" i="31" s="1"/>
  <c r="R199" i="31"/>
  <c r="S199" i="31" s="1"/>
  <c r="R195" i="31"/>
  <c r="S195"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49" i="31"/>
  <c r="S149" i="31" s="1"/>
  <c r="R145" i="31"/>
  <c r="S145" i="31" s="1"/>
  <c r="R141" i="31"/>
  <c r="S141" i="31" s="1"/>
  <c r="R137" i="31"/>
  <c r="S137"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7" i="31"/>
  <c r="S147" i="31" s="1"/>
  <c r="R143" i="31"/>
  <c r="S143" i="31" s="1"/>
  <c r="R139" i="31"/>
  <c r="S139" i="31" s="1"/>
  <c r="R135" i="31"/>
  <c r="S135"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6" i="31"/>
  <c r="S26"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28" i="31"/>
  <c r="S28"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J7" i="33"/>
  <c r="W7" i="33" s="1"/>
  <c r="F7" i="33"/>
  <c r="S7" i="33" s="1"/>
  <c r="H7" i="33"/>
  <c r="AB7" i="33" s="1"/>
  <c r="T48" i="33" s="1"/>
  <c r="G48" i="33" s="1"/>
  <c r="S22" i="31" l="1"/>
  <c r="G52" i="33"/>
  <c r="H52" i="33" s="1"/>
  <c r="AA7" i="33"/>
  <c r="R48" i="33" s="1"/>
  <c r="U7" i="33"/>
  <c r="AC7" i="33"/>
  <c r="V48" i="33" s="1"/>
  <c r="I48" i="33" s="1"/>
  <c r="R22" i="31" l="1"/>
  <c r="B20" i="31"/>
  <c r="I52" i="33"/>
  <c r="J52" i="33" s="1"/>
  <c r="R49" i="33"/>
  <c r="E48" i="33"/>
  <c r="G53" i="33"/>
  <c r="H53" i="33" s="1"/>
  <c r="B21" i="31" l="1"/>
  <c r="D6" i="80"/>
  <c r="E53" i="33"/>
  <c r="F53" i="33" s="1"/>
  <c r="E52" i="33"/>
  <c r="F52" i="33" s="1"/>
  <c r="I53" i="33"/>
  <c r="J53" i="33" s="1"/>
  <c r="C48" i="33"/>
  <c r="C49" i="33"/>
  <c r="B2" i="33" s="1"/>
  <c r="J7" i="39"/>
  <c r="AC7" i="39" s="1"/>
  <c r="V47" i="39" s="1"/>
  <c r="I47" i="39" s="1"/>
  <c r="F7" i="39"/>
  <c r="S7" i="39" s="1"/>
  <c r="H7" i="39"/>
  <c r="AB7" i="39" s="1"/>
  <c r="T47" i="39" s="1"/>
  <c r="G47" i="39" s="1"/>
  <c r="C19" i="79"/>
  <c r="G5" i="80" l="1"/>
  <c r="D14" i="74" s="1"/>
  <c r="H14" i="74" s="1"/>
  <c r="C102" i="79"/>
  <c r="C21" i="79"/>
  <c r="D22" i="79"/>
  <c r="G19" i="79"/>
  <c r="B3" i="33"/>
  <c r="G52" i="39"/>
  <c r="H52" i="39" s="1"/>
  <c r="G51" i="39"/>
  <c r="H51" i="39" s="1"/>
  <c r="I51" i="39"/>
  <c r="J51" i="39" s="1"/>
  <c r="W7" i="39"/>
  <c r="U7" i="39"/>
  <c r="AA7" i="39"/>
  <c r="R47" i="39" s="1"/>
  <c r="C20" i="79"/>
  <c r="H5" i="80" l="1"/>
  <c r="C103" i="79"/>
  <c r="G20" i="79"/>
  <c r="G22" i="79" s="1"/>
  <c r="C32" i="79"/>
  <c r="G21" i="79"/>
  <c r="R48" i="39"/>
  <c r="E47" i="39"/>
  <c r="C35" i="79" l="1"/>
  <c r="F118" i="79" s="1"/>
  <c r="H118" i="79"/>
  <c r="C48" i="39"/>
  <c r="C47" i="39"/>
  <c r="E51" i="39"/>
  <c r="F51" i="39" s="1"/>
  <c r="E52" i="39"/>
  <c r="F52" i="39" s="1"/>
  <c r="I52" i="39"/>
  <c r="J52" i="39" s="1"/>
  <c r="C34" i="79" l="1"/>
  <c r="D118" i="79" s="1"/>
  <c r="D119" i="79" s="1"/>
  <c r="C104" i="79"/>
  <c r="H101" i="79"/>
  <c r="I118" i="79"/>
  <c r="H119" i="79"/>
  <c r="G118" i="79"/>
  <c r="F119" i="79"/>
  <c r="B61" i="39"/>
  <c r="F61" i="39" s="1"/>
  <c r="B60" i="39"/>
  <c r="F60" i="39" s="1"/>
  <c r="B56" i="39"/>
  <c r="F56" i="39" s="1"/>
  <c r="B58" i="39"/>
  <c r="F58" i="39" s="1"/>
  <c r="B59" i="39"/>
  <c r="F59" i="39" s="1"/>
  <c r="B64" i="39"/>
  <c r="F64" i="39" s="1"/>
  <c r="B65" i="39"/>
  <c r="F65" i="39" s="1"/>
  <c r="B57" i="39"/>
  <c r="F57" i="39" s="1"/>
  <c r="B63" i="39"/>
  <c r="F63" i="39" s="1"/>
  <c r="B62" i="39"/>
  <c r="F62" i="39" s="1"/>
  <c r="M48" i="79" l="1"/>
  <c r="D45" i="79"/>
  <c r="H109" i="79"/>
  <c r="E118" i="79"/>
  <c r="H102" i="79"/>
  <c r="C105" i="79"/>
  <c r="F66" i="39"/>
  <c r="B2" i="39" s="1"/>
  <c r="B3" i="39" s="1"/>
  <c r="D35" i="9"/>
  <c r="D52" i="79" l="1"/>
  <c r="C85" i="79"/>
  <c r="C64" i="79"/>
  <c r="C63" i="79" s="1"/>
  <c r="C67" i="79" s="1"/>
  <c r="C68" i="79" s="1"/>
  <c r="D54" i="79" s="1"/>
  <c r="D53" i="79"/>
  <c r="C78" i="79"/>
  <c r="C73" i="79" s="1"/>
  <c r="C93" i="79"/>
  <c r="C86" i="79" s="1"/>
  <c r="C72" i="79"/>
  <c r="C79" i="79" s="1"/>
  <c r="D55" i="79"/>
  <c r="M53" i="79" s="1"/>
  <c r="D124" i="79"/>
  <c r="D125" i="79" s="1"/>
  <c r="M49" i="79"/>
  <c r="H110" i="79"/>
  <c r="C35" i="9"/>
  <c r="L66" i="79" l="1"/>
  <c r="M66" i="79" s="1"/>
  <c r="L64" i="79"/>
  <c r="M64" i="79" s="1"/>
  <c r="L67" i="79"/>
  <c r="M67" i="79" s="1"/>
  <c r="L65" i="79"/>
  <c r="M65" i="79" s="1"/>
  <c r="L68" i="79"/>
  <c r="M68" i="79" s="1"/>
  <c r="L63" i="79"/>
  <c r="M63" i="79" s="1"/>
  <c r="C95" i="79"/>
  <c r="C80" i="79"/>
  <c r="E80" i="79" s="1"/>
  <c r="E81" i="79" s="1"/>
  <c r="C34" i="9"/>
  <c r="C81" i="79" l="1"/>
  <c r="M69" i="79"/>
  <c r="N69" i="79" s="1"/>
  <c r="C96" i="79"/>
  <c r="E96" i="79" s="1"/>
  <c r="E97" i="79" s="1"/>
  <c r="H112" i="9"/>
  <c r="D21" i="53" s="1"/>
  <c r="B39" i="72" s="1"/>
  <c r="H111" i="9"/>
  <c r="D126" i="9" s="1"/>
  <c r="D19" i="53"/>
  <c r="D59" i="9"/>
  <c r="M55" i="9"/>
  <c r="C97" i="79" l="1"/>
  <c r="D58" i="79" s="1"/>
  <c r="D56" i="79" s="1"/>
  <c r="M54" i="79" s="1"/>
  <c r="N57" i="79" s="1"/>
  <c r="N58" i="79" s="1"/>
  <c r="B38" i="72"/>
  <c r="D20" i="53"/>
  <c r="B40" i="72" s="1"/>
  <c r="I14" i="74"/>
  <c r="B8" i="74" s="1"/>
  <c r="D127" i="9"/>
  <c r="D13" i="52" s="1"/>
  <c r="D12" i="52"/>
  <c r="F118" i="9"/>
  <c r="G118" i="9" s="1"/>
  <c r="G4" i="52" s="1"/>
  <c r="B52" i="72" s="1"/>
  <c r="D118" i="9"/>
  <c r="D119" i="9" s="1"/>
  <c r="D5" i="52" s="1"/>
  <c r="B49" i="72" s="1"/>
  <c r="H118" i="9"/>
  <c r="C104" i="9" s="1"/>
  <c r="P57" i="79" l="1"/>
  <c r="N59" i="79"/>
  <c r="N61" i="79" s="1"/>
  <c r="D8" i="74"/>
  <c r="C8" i="74"/>
  <c r="H101" i="9"/>
  <c r="I118" i="9"/>
  <c r="C105" i="9" s="1"/>
  <c r="H119" i="9"/>
  <c r="H5" i="52" s="1"/>
  <c r="F4" i="52"/>
  <c r="B51" i="72" s="1"/>
  <c r="F119" i="9"/>
  <c r="F5" i="52" s="1"/>
  <c r="B53" i="72" s="1"/>
  <c r="H4" i="52"/>
  <c r="D4" i="52"/>
  <c r="B47" i="72" s="1"/>
  <c r="H107" i="9"/>
  <c r="N60" i="79" l="1"/>
  <c r="M48" i="9"/>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B7" i="74"/>
  <c r="D125" i="9"/>
  <c r="D11" i="52" s="1"/>
  <c r="C95" i="9"/>
  <c r="C67" i="9"/>
  <c r="C68" i="9" s="1"/>
  <c r="D54" i="9" s="1"/>
  <c r="C79" i="9"/>
  <c r="D6" i="74"/>
  <c r="C6" i="74"/>
  <c r="M69" i="9" l="1"/>
  <c r="N69" i="9" s="1"/>
  <c r="D7" i="74"/>
  <c r="C7" i="74"/>
  <c r="C96" i="9"/>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chenjie</author>
  </authors>
  <commentList>
    <comment ref="B7" authorId="0">
      <text>
        <r>
          <rPr>
            <sz val="9"/>
            <rFont val="宋体"/>
            <family val="3"/>
            <charset val="134"/>
          </rPr>
          <t>chenjie:
填写房产证编号,无证不填</t>
        </r>
      </text>
    </comment>
    <comment ref="P7" authorId="0">
      <text>
        <r>
          <rPr>
            <sz val="9"/>
            <rFont val="宋体"/>
            <family val="3"/>
            <charset val="134"/>
          </rPr>
          <t>chenjie: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<sst xmlns="http://schemas.openxmlformats.org/spreadsheetml/2006/main" count="9898" uniqueCount="3688">
  <si>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</si>
  <si>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</si>
  <si>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</si>
  <si>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</si>
  <si>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</si>
  <si>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</si>
  <si>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</si>
  <si>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</si>
  <si>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</si>
  <si>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</si>
  <si>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</si>
  <si>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</si>
  <si>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</si>
  <si>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</si>
  <si>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</si>
  <si>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</si>
  <si>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</si>
  <si>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</si>
  <si>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</si>
  <si>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</si>
  <si>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</si>
  <si>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</si>
  <si>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</si>
  <si>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</si>
  <si>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</si>
  <si>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</si>
  <si>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</si>
  <si>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</si>
  <si>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</si>
  <si>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</si>
  <si>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</si>
  <si>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</si>
  <si>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</si>
  <si>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</si>
  <si>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</si>
  <si>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</si>
  <si>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</si>
  <si>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</si>
  <si>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</si>
  <si>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</si>
  <si>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</si>
  <si>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</si>
  <si>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</si>
  <si>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</si>
  <si>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</si>
  <si>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</si>
  <si>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</si>
  <si>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</si>
  <si>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</si>
  <si>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</si>
  <si>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</si>
  <si>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</si>
  <si>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</si>
  <si>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</si>
  <si>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</si>
  <si>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</si>
  <si>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</si>
  <si>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</si>
  <si>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</si>
  <si>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</si>
  <si>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</si>
  <si>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</si>
  <si>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</si>
  <si>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</si>
  <si>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</si>
  <si>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</si>
  <si>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</si>
  <si>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</si>
  <si>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</si>
  <si>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</si>
  <si>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</si>
  <si>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</si>
  <si>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</si>
  <si>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</si>
  <si>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</si>
  <si>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</si>
  <si>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</si>
  <si>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</si>
  <si>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</si>
  <si>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</si>
  <si>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</si>
  <si>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</si>
  <si>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</si>
  <si>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</si>
  <si>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</si>
  <si>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</si>
  <si>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</si>
  <si>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</si>
  <si>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</si>
  <si>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</si>
  <si>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</si>
  <si>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</si>
  <si>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</si>
  <si>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</si>
  <si>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</si>
  <si>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</si>
  <si>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</si>
  <si>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</si>
  <si>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</si>
  <si>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</si>
  <si>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</si>
  <si>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</si>
  <si>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</si>
  <si>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</si>
  <si>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</si>
  <si>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</si>
  <si>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</si>
  <si>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</si>
  <si>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</si>
  <si>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</si>
  <si>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</si>
  <si>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</si>
  <si>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</si>
  <si>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</si>
  <si>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</si>
  <si>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</si>
  <si>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</si>
  <si>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</si>
  <si>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</si>
  <si>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</si>
  <si>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</si>
  <si>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</si>
  <si>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</si>
  <si>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</si>
  <si>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</si>
  <si>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</si>
  <si>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</si>
  <si>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</si>
  <si>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</si>
  <si>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</si>
  <si>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</si>
  <si>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</si>
  <si>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</si>
  <si>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</si>
  <si>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</si>
  <si>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</si>
  <si>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</si>
  <si>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</si>
  <si>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</si>
  <si>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</si>
  <si>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</si>
  <si>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</si>
  <si>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</si>
  <si>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</si>
  <si>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</si>
  <si>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</si>
  <si>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</si>
  <si>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</si>
  <si>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</si>
  <si>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</si>
  <si>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</si>
  <si>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</si>
  <si>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</si>
  <si>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</si>
  <si>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</si>
  <si>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</si>
  <si>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</si>
  <si>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</si>
  <si>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</si>
  <si>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</si>
  <si>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</si>
  <si>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</si>
  <si>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</si>
  <si>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</si>
  <si>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</si>
  <si>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</si>
  <si>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</si>
  <si>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</si>
  <si>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</si>
  <si>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</si>
  <si>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</si>
  <si>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</si>
  <si>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</si>
  <si>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</si>
  <si>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</si>
  <si>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</si>
  <si>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</si>
  <si>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</si>
  <si>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</si>
  <si>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</si>
  <si>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</si>
  <si>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</si>
  <si>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</si>
  <si>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</si>
  <si>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</si>
  <si>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</si>
  <si>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</si>
  <si>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</si>
  <si>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</si>
  <si>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</si>
  <si>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</si>
  <si>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</si>
  <si>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</si>
  <si>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</si>
  <si>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</si>
  <si>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</si>
  <si>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</si>
  <si>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</si>
  <si>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</si>
  <si>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</si>
  <si>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</si>
  <si>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</si>
  <si>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</si>
  <si>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</si>
  <si>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</si>
  <si>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</si>
  <si>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</si>
  <si>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</si>
  <si>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</si>
  <si>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</si>
  <si>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</si>
  <si>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</si>
  <si>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</si>
  <si>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</si>
  <si>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</si>
  <si>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</si>
  <si>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</si>
  <si>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</si>
  <si>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</si>
  <si>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</si>
  <si>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</si>
  <si>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</si>
  <si>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</si>
  <si>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</si>
  <si>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</si>
  <si>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</si>
  <si>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</si>
  <si>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</si>
  <si>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</si>
  <si>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</si>
  <si>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</si>
  <si>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</si>
  <si>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</si>
  <si>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</si>
  <si>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</si>
  <si>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</si>
  <si>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</si>
  <si>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</si>
  <si>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</si>
  <si>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</si>
  <si>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</si>
  <si>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</si>
  <si>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</si>
  <si>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</si>
  <si>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</si>
  <si>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</si>
  <si>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</si>
  <si>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</si>
  <si>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</si>
  <si>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</si>
  <si>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</si>
  <si>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</si>
  <si>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</si>
  <si>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</si>
  <si>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</si>
  <si>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</si>
  <si>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</si>
  <si>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</si>
  <si>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</si>
  <si>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</si>
  <si>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</si>
  <si>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</si>
  <si>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</si>
  <si>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</si>
  <si>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</si>
  <si>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</si>
  <si>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</si>
  <si>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</si>
  <si>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</si>
  <si>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</si>
  <si>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</si>
  <si>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</si>
  <si>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</si>
  <si>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</si>
  <si>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</si>
  <si>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</si>
  <si>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</si>
  <si>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</si>
  <si>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</si>
  <si>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</si>
  <si>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</si>
  <si>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</si>
  <si>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</si>
  <si>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</si>
  <si>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</si>
  <si>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</si>
  <si>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</si>
  <si>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</si>
  <si>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</si>
  <si>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</si>
  <si>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</si>
  <si>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</si>
  <si>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</si>
  <si>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</si>
  <si>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</si>
  <si>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</si>
  <si>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</si>
  <si>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</si>
  <si>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</si>
  <si>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</si>
  <si>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</si>
  <si>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</si>
  <si>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</si>
  <si>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</si>
  <si>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</si>
  <si>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</si>
  <si>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</si>
  <si>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</si>
  <si>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</si>
  <si>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</si>
  <si>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</si>
  <si>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</si>
  <si>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</si>
  <si>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</si>
  <si>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</si>
  <si>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</si>
  <si>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</si>
  <si>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</si>
  <si>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</si>
  <si>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</si>
  <si>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</si>
  <si>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</si>
  <si>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</si>
  <si>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</si>
  <si>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</si>
  <si>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</si>
  <si>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</si>
  <si>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</si>
  <si>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</si>
  <si>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</si>
  <si>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</si>
  <si>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</si>
  <si>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</si>
  <si>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</si>
  <si>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</si>
  <si>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</si>
  <si>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</si>
  <si>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</si>
  <si>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</si>
  <si>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</si>
  <si>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</si>
  <si>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</si>
  <si>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</si>
  <si>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</si>
  <si>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</si>
  <si>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</si>
  <si>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</si>
  <si>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</si>
  <si>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</si>
  <si>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</si>
  <si>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</si>
  <si>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</si>
  <si>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</si>
  <si>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</si>
  <si>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</si>
  <si>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</si>
  <si>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</si>
  <si>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</si>
  <si>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</si>
  <si>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</si>
  <si>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</si>
  <si>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</si>
  <si>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</si>
  <si>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</si>
  <si>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</si>
  <si>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</si>
  <si>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</si>
  <si>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</si>
  <si>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</si>
  <si>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</si>
  <si>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</si>
  <si>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</si>
  <si>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</si>
  <si>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</si>
  <si>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</si>
  <si>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</si>
  <si>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</si>
  <si>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</si>
  <si>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</si>
  <si>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</si>
  <si>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</si>
  <si>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</si>
  <si>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</si>
  <si>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</si>
  <si>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</si>
  <si>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</si>
  <si>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</si>
  <si>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</si>
  <si>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</si>
  <si>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</si>
  <si>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</si>
  <si>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</si>
  <si>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</si>
  <si>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</si>
  <si>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</si>
  <si>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</si>
  <si>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</si>
  <si>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</si>
  <si>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</si>
  <si>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</si>
  <si>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</si>
  <si>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</si>
  <si>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</si>
  <si>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</si>
  <si>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</si>
  <si>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</si>
  <si>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</si>
  <si>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</si>
  <si>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</si>
  <si>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</si>
  <si>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</si>
  <si>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</si>
  <si>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</si>
  <si>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</si>
  <si>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</si>
  <si>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</si>
  <si>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</si>
  <si>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</si>
  <si>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</si>
  <si>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</si>
  <si>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</si>
  <si>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</si>
  <si>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</si>
  <si>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</si>
  <si>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</si>
  <si>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</si>
  <si>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</si>
  <si>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</si>
  <si>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</si>
  <si>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</si>
  <si>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</si>
  <si>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</si>
  <si>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</si>
  <si>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</si>
  <si>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</si>
  <si>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</si>
  <si>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</si>
  <si>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</si>
  <si>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</si>
  <si>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</si>
  <si>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</si>
  <si>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</si>
  <si>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</si>
  <si>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</si>
  <si>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</si>
  <si>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</si>
  <si>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</si>
  <si>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</si>
  <si>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</si>
  <si>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</si>
  <si>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</si>
  <si>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</si>
  <si>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</si>
  <si>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</si>
  <si>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</si>
  <si>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</si>
  <si>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</si>
  <si>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</si>
  <si>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</si>
  <si>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</si>
  <si>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</si>
  <si>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</si>
  <si>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</si>
  <si>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</si>
  <si>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</si>
  <si>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</si>
  <si>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</si>
  <si>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</si>
  <si>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</si>
  <si>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</si>
  <si>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</si>
  <si>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</si>
  <si>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</si>
  <si>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</si>
  <si>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</si>
  <si>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</si>
  <si>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</si>
  <si>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</si>
  <si>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</si>
  <si>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</si>
  <si>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</si>
  <si>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</si>
  <si>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</si>
  <si>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</si>
  <si>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</si>
  <si>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</si>
  <si>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</si>
  <si>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</si>
  <si>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</si>
  <si>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</si>
  <si>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</si>
  <si>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</si>
  <si>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</si>
  <si>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</si>
  <si>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</si>
  <si>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</si>
  <si>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</si>
  <si>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</si>
  <si>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</si>
  <si>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</si>
  <si>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</si>
  <si>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</si>
  <si>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</si>
  <si>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</si>
  <si>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</si>
  <si>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</si>
  <si>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</si>
  <si>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</si>
  <si>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</si>
  <si>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</si>
  <si>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</si>
  <si>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</si>
  <si>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</si>
  <si>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</si>
  <si>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</si>
  <si>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</si>
  <si>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</si>
  <si>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</si>
  <si>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</si>
  <si>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</si>
  <si>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</si>
  <si>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</si>
  <si>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</si>
  <si>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</si>
  <si>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</si>
  <si>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</si>
  <si>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</si>
  <si>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</si>
  <si>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</si>
  <si>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</si>
  <si>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</si>
  <si>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</si>
  <si>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</si>
  <si>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</si>
  <si>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</si>
  <si>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</si>
  <si>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</si>
  <si>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</si>
  <si>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</si>
  <si>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</si>
  <si>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</si>
  <si>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</si>
  <si>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</si>
  <si>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</si>
  <si>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</si>
  <si>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</si>
  <si>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</si>
  <si>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</si>
  <si>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</si>
  <si>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</si>
  <si>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</si>
  <si>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</si>
  <si>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</si>
  <si>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</si>
  <si>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</si>
  <si>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</si>
  <si>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</si>
  <si>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</si>
  <si>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</si>
  <si>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</si>
  <si>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</si>
  <si>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</si>
  <si>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</si>
  <si>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</si>
  <si>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</si>
  <si>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</si>
  <si>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</si>
  <si>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</si>
  <si>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</si>
  <si>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</si>
  <si>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</si>
  <si>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</si>
  <si>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</si>
  <si>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</si>
  <si>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</si>
  <si>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</si>
  <si>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</si>
  <si>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</si>
  <si>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</si>
  <si>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</si>
  <si>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</si>
  <si>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</si>
  <si>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</si>
  <si>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</si>
  <si>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</si>
  <si>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</si>
  <si>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</si>
  <si>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</si>
  <si>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</si>
  <si>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</si>
  <si>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</si>
  <si>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</si>
  <si>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</si>
  <si>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</si>
  <si>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</si>
  <si>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</si>
  <si>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</si>
  <si>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</si>
  <si>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</si>
  <si>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</si>
  <si>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</si>
  <si>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</si>
  <si>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</si>
  <si>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</si>
  <si>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</si>
  <si>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</si>
  <si>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</si>
  <si>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</si>
  <si>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</si>
  <si>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</si>
  <si>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</si>
  <si>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</si>
  <si>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</si>
  <si>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</si>
  <si>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</si>
  <si>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</si>
  <si>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</si>
  <si>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</si>
  <si>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</si>
  <si>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</si>
  <si>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</si>
  <si>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</si>
  <si>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</si>
  <si>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</si>
  <si>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</si>
  <si>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</si>
  <si>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</si>
  <si>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</si>
  <si>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</si>
  <si>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</si>
  <si>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</si>
  <si>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</si>
  <si>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</si>
  <si>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</si>
  <si>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</si>
  <si>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</si>
  <si>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</si>
  <si>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</si>
  <si>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</si>
  <si>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</si>
  <si>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</si>
  <si>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</si>
  <si>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</si>
  <si>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</si>
  <si>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</si>
  <si>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</si>
  <si>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</si>
  <si>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</si>
  <si>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</si>
  <si>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</si>
  <si>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</si>
  <si>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</si>
  <si>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</si>
  <si>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</si>
  <si>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</si>
  <si>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</si>
  <si>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</si>
  <si>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</si>
  <si>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</si>
  <si>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</si>
  <si>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</si>
  <si>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</si>
  <si>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</si>
  <si>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</si>
  <si>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</si>
  <si>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</si>
  <si>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</si>
  <si>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</si>
  <si>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</si>
  <si>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</si>
  <si>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</si>
  <si>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</si>
  <si>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</si>
  <si>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</si>
  <si>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</si>
  <si>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</si>
  <si>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</si>
  <si>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</si>
  <si>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</si>
  <si>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</si>
  <si>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</si>
  <si>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</si>
  <si>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</si>
  <si>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</si>
  <si>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</si>
  <si>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</si>
  <si>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</si>
  <si>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</si>
  <si>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</si>
  <si>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</si>
  <si>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</si>
  <si>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</si>
  <si>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</si>
  <si>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</si>
  <si>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</si>
  <si>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</si>
  <si>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</si>
  <si>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</si>
  <si>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</si>
  <si>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</si>
  <si>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</si>
  <si>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</si>
  <si>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</si>
  <si>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</si>
  <si>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</si>
  <si>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</si>
  <si>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</si>
  <si>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</si>
  <si>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</si>
  <si>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</si>
  <si>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</si>
  <si>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</si>
  <si>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</si>
  <si>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</si>
  <si>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</si>
  <si>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</si>
  <si>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</si>
  <si>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</si>
  <si>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</si>
  <si>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</si>
  <si>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</si>
  <si>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</si>
  <si>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</si>
  <si>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</si>
  <si>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</si>
  <si>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</si>
  <si>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</si>
  <si>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</si>
  <si>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</si>
  <si>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</si>
  <si>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</si>
  <si>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</si>
  <si>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</si>
  <si>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</si>
  <si>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</si>
  <si>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</si>
  <si>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</si>
  <si>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</si>
  <si>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</si>
  <si>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</si>
  <si>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</si>
  <si>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</si>
  <si>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</si>
  <si>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</si>
  <si>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</si>
  <si>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</si>
  <si>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</si>
  <si>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</si>
  <si>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</si>
  <si>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</si>
  <si>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</si>
  <si>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</si>
  <si>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</si>
  <si>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</si>
  <si>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</si>
  <si>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</si>
  <si>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</si>
  <si>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</si>
  <si>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</si>
  <si>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</si>
  <si>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</si>
  <si>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</si>
  <si>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</si>
  <si>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</si>
  <si>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</si>
  <si>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</si>
  <si>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</si>
  <si>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</si>
  <si>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</si>
  <si>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</si>
  <si>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</si>
  <si>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</si>
  <si>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</si>
  <si>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</si>
  <si>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</si>
  <si>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</si>
  <si>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</si>
  <si>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</si>
  <si>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</si>
  <si>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</si>
  <si>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</si>
  <si>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</si>
  <si>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</si>
  <si>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</si>
  <si>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</si>
  <si>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</si>
  <si>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</si>
  <si>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</si>
  <si>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</si>
  <si>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</si>
  <si>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</si>
  <si>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</si>
  <si>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</si>
  <si>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</si>
  <si>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</si>
  <si>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</si>
  <si>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</si>
  <si>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</si>
  <si>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</si>
  <si>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</si>
  <si>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</si>
  <si>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</si>
  <si>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</si>
  <si>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</si>
  <si>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</si>
  <si>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</si>
  <si>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</si>
  <si>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</si>
  <si>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</si>
  <si>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</si>
  <si>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</si>
  <si>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</si>
  <si>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</si>
  <si>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</si>
  <si>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</si>
  <si>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</si>
  <si>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</si>
  <si>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</si>
  <si>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</si>
  <si>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</si>
  <si>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</si>
  <si>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</si>
  <si>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</si>
  <si>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</si>
  <si>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</si>
  <si>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</si>
  <si>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</si>
  <si>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</si>
  <si>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</si>
  <si>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</si>
  <si>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</si>
  <si>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</si>
  <si>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</si>
  <si>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</si>
  <si>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</si>
  <si>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</si>
  <si>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</si>
  <si>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</si>
  <si>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</si>
  <si>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</si>
  <si>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</si>
  <si>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</si>
  <si>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</si>
  <si>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</si>
  <si>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</si>
  <si>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</si>
  <si>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</si>
  <si>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</si>
  <si>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</si>
  <si>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</si>
  <si>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</si>
  <si>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</si>
  <si>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</si>
  <si>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</si>
  <si>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</si>
  <si>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</si>
  <si>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</si>
  <si>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</si>
  <si>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</si>
  <si>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</si>
  <si>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</si>
  <si>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</si>
  <si>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</si>
  <si>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</si>
  <si>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</si>
  <si>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</si>
  <si>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</si>
  <si>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</si>
  <si>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</si>
  <si>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</si>
  <si>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</si>
  <si>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</si>
  <si>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</si>
  <si>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</si>
  <si>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</si>
  <si>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</si>
  <si>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</si>
  <si>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</si>
  <si>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</si>
  <si>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</si>
  <si>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</si>
  <si>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</si>
  <si>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</si>
  <si>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</si>
  <si>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</si>
  <si>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</si>
  <si>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</si>
  <si>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</si>
  <si>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</si>
  <si>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</si>
  <si>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</si>
  <si>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</si>
  <si>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</si>
  <si>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</si>
  <si>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</si>
  <si>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</si>
  <si>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</si>
  <si>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</si>
  <si>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</si>
  <si>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</si>
  <si>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</si>
  <si>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</si>
  <si>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</si>
  <si>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</si>
  <si>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</si>
  <si>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</si>
  <si>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</si>
  <si>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</si>
  <si>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</si>
  <si>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</si>
  <si>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</si>
  <si>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</si>
  <si>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</si>
  <si>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</si>
  <si>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</si>
  <si>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</si>
  <si>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</si>
  <si>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</si>
  <si>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</si>
  <si>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</si>
  <si>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</si>
  <si>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</si>
  <si>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</si>
  <si>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</si>
  <si>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</si>
  <si>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</si>
  <si>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</si>
  <si>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</si>
  <si>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</si>
  <si>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</si>
  <si>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</si>
  <si>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</si>
  <si>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</si>
  <si>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</si>
  <si>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</si>
  <si>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</si>
  <si>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</si>
  <si>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</si>
  <si>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</si>
  <si>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</si>
  <si>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</si>
  <si>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</si>
  <si>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</si>
  <si>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</si>
  <si>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</si>
  <si>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</si>
  <si>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</si>
  <si>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</si>
  <si>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</si>
  <si>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</si>
  <si>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</si>
  <si>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</si>
  <si>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</si>
  <si>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</si>
  <si>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</si>
  <si>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</si>
  <si>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</si>
  <si>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</si>
  <si>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</si>
  <si>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</si>
  <si>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</si>
  <si>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</si>
  <si>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</si>
  <si>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</si>
  <si>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</si>
  <si>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</si>
  <si>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</si>
  <si>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</si>
  <si>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</si>
  <si>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</si>
  <si>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</si>
  <si>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</si>
  <si>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</si>
  <si>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</si>
  <si>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</si>
  <si>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</si>
  <si>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</si>
  <si>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</si>
  <si>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</si>
  <si>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</si>
  <si>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</si>
  <si>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</si>
  <si>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</si>
  <si>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</si>
  <si>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</si>
  <si>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</si>
  <si>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</si>
  <si>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</si>
  <si>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</si>
  <si>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</si>
  <si>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</si>
  <si>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</si>
  <si>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</si>
  <si>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</si>
  <si>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</si>
  <si>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</si>
  <si>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</si>
  <si>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</si>
  <si>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</si>
  <si>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</si>
  <si>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</si>
  <si>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</si>
  <si>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</si>
  <si>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</si>
  <si>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</si>
  <si>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</si>
  <si>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</si>
  <si>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</si>
  <si>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</si>
  <si>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</si>
  <si>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</si>
  <si>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</si>
  <si>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</si>
  <si>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</si>
  <si>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</si>
  <si>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</si>
  <si>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</si>
  <si>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</si>
  <si>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</si>
  <si>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</si>
  <si>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</si>
  <si>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</si>
  <si>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</si>
  <si>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</si>
  <si>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</si>
  <si>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</si>
  <si>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</si>
  <si>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</si>
  <si>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</si>
  <si>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</si>
  <si>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</si>
  <si>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</si>
  <si>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</si>
  <si>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</si>
  <si>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</si>
  <si>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</si>
  <si>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</si>
  <si>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</si>
  <si>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</si>
  <si>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</si>
  <si>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</si>
  <si>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</si>
  <si>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</si>
  <si>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</si>
  <si>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</si>
  <si>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</si>
  <si>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</si>
  <si>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</si>
  <si>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</si>
  <si>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</si>
  <si>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</si>
  <si>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</si>
  <si>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</si>
  <si>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</si>
  <si>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</si>
  <si>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</si>
  <si>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</si>
  <si>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</si>
  <si>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</si>
  <si>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</si>
  <si>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</si>
  <si>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</si>
  <si>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</si>
  <si>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</si>
  <si>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</si>
  <si>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</si>
  <si>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</si>
  <si>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</si>
  <si>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</si>
  <si>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</si>
  <si>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</si>
  <si>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</si>
  <si>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</si>
  <si>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</si>
  <si>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</si>
  <si>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</si>
  <si>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</si>
  <si>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</si>
  <si>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</si>
  <si>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</si>
  <si>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</si>
  <si>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</si>
  <si>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</si>
  <si>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</si>
  <si>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</si>
  <si>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</si>
  <si>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</si>
  <si>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</si>
  <si>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</si>
  <si>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</si>
  <si>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</si>
  <si>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</si>
  <si>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</si>
  <si>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</si>
  <si>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</si>
  <si>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</si>
  <si>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</si>
  <si>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</si>
  <si>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</si>
  <si>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</si>
  <si>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</si>
  <si>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</si>
  <si>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</si>
  <si>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</si>
  <si>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</si>
  <si>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</si>
  <si>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</si>
  <si>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</si>
  <si>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</si>
  <si>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</si>
  <si>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</si>
  <si>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</si>
  <si>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</si>
  <si>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</si>
  <si>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</si>
  <si>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</si>
  <si>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</si>
  <si>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</si>
  <si>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</si>
  <si>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</si>
  <si>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</si>
  <si>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</si>
  <si>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</si>
  <si>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</si>
  <si>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</si>
  <si>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</si>
  <si>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</si>
  <si>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</si>
  <si>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</si>
  <si>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</si>
  <si>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</si>
  <si>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</si>
  <si>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</si>
  <si>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</si>
  <si>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</si>
  <si>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</si>
  <si>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</si>
  <si>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</si>
  <si>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</si>
  <si>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</si>
  <si>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</si>
  <si>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</si>
  <si>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</si>
  <si>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</si>
  <si>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</si>
  <si>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</si>
  <si>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</si>
  <si>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</si>
  <si>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</si>
  <si>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</si>
  <si>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</si>
  <si>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</si>
  <si>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</si>
  <si>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</si>
  <si>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</si>
  <si>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</si>
  <si>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</si>
  <si>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</si>
  <si>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</si>
  <si>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</si>
  <si>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</si>
  <si>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</si>
  <si>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</si>
  <si>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</si>
  <si>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</si>
  <si>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</si>
  <si>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</si>
  <si>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</si>
  <si>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</si>
  <si>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</si>
  <si>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</si>
  <si>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</si>
  <si>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</si>
  <si>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</si>
  <si>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</si>
  <si>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</si>
  <si>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</si>
  <si>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</si>
  <si>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</si>
  <si>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</si>
  <si>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</si>
  <si>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</si>
  <si>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</si>
  <si>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</si>
  <si>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</si>
  <si>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</si>
  <si>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</si>
  <si>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</si>
  <si>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</si>
  <si>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</si>
  <si>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</si>
  <si>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</si>
  <si>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</si>
  <si>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</si>
  <si>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</si>
  <si>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</si>
  <si>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</si>
  <si>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</si>
  <si>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</si>
  <si>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</si>
  <si>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</si>
  <si>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</si>
  <si>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</si>
  <si>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</si>
  <si>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</si>
  <si>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</si>
  <si>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</si>
  <si>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</si>
  <si>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</si>
  <si>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</si>
  <si>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</si>
  <si>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</si>
  <si>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</si>
  <si>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</si>
  <si>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</si>
  <si>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</si>
  <si>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</si>
  <si>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</si>
  <si>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</si>
  <si>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</si>
  <si>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</si>
  <si>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</si>
  <si>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</si>
  <si>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</si>
  <si>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</si>
  <si>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</si>
  <si>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</si>
  <si>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</si>
  <si>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</si>
  <si>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</si>
  <si>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</si>
  <si>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</si>
  <si>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</si>
  <si>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</si>
  <si>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</si>
  <si>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</si>
  <si>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</si>
  <si>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</si>
  <si>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</si>
  <si>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</si>
  <si>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</si>
  <si>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</si>
  <si>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</si>
  <si>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</si>
  <si>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</si>
  <si>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</si>
  <si>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</si>
  <si>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</si>
  <si>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</si>
  <si>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</si>
  <si>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</si>
  <si>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</si>
  <si>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</si>
  <si>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</si>
  <si>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</si>
  <si>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</si>
  <si>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</si>
  <si>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</si>
  <si>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</si>
  <si>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</si>
  <si>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</si>
  <si>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</si>
  <si>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</si>
  <si>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</si>
  <si>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</si>
  <si>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</si>
  <si>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</si>
  <si>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</si>
  <si>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</si>
  <si>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</si>
  <si>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</si>
  <si>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</si>
  <si>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</si>
  <si>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</si>
  <si>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</si>
  <si>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</si>
  <si>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</si>
  <si>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</si>
  <si>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</si>
  <si>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</si>
  <si>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</si>
  <si>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</si>
  <si>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</si>
  <si>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</si>
  <si>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</si>
  <si>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</si>
  <si>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</si>
  <si>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</si>
  <si>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</si>
  <si>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</si>
  <si>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</si>
  <si>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</si>
  <si>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</si>
  <si>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</si>
  <si>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</si>
  <si>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</si>
  <si>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</si>
  <si>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</si>
  <si>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</si>
  <si>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</si>
  <si>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</si>
  <si>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</si>
  <si>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</si>
  <si>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</si>
  <si>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</si>
  <si>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</si>
  <si>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</si>
  <si>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</si>
  <si>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</si>
  <si>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</si>
  <si>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</si>
  <si>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</si>
  <si>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</si>
  <si>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</si>
  <si>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</si>
  <si>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</si>
  <si>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</si>
  <si>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</si>
  <si>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</si>
  <si>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</si>
  <si>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</si>
  <si>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</si>
  <si>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</si>
  <si>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</si>
  <si>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</si>
  <si>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</si>
  <si>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</si>
  <si>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</si>
  <si>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</si>
  <si>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</si>
  <si>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</si>
  <si>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</si>
  <si>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</si>
  <si>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</si>
  <si>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</si>
  <si>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</si>
  <si>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</si>
  <si>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</si>
  <si>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</si>
  <si>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</si>
  <si>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</si>
  <si>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</si>
  <si>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</si>
  <si>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</si>
  <si>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</si>
  <si>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</si>
  <si>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</si>
  <si>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</si>
  <si>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</si>
  <si>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</si>
  <si>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</si>
  <si>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</si>
  <si>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</si>
  <si>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</si>
  <si>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</si>
  <si>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</si>
  <si>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</si>
  <si>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</si>
  <si>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</si>
  <si>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</si>
  <si>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</si>
  <si>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</si>
  <si>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</si>
  <si>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</si>
  <si>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</si>
  <si>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</si>
  <si>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</si>
  <si>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</si>
  <si>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</si>
  <si>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</si>
  <si>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</si>
  <si>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</si>
  <si>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</si>
  <si>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</si>
  <si>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</si>
  <si>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</si>
  <si>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</si>
  <si>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</si>
  <si>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</si>
  <si>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</si>
  <si>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</si>
  <si>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</si>
  <si>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</si>
  <si>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</si>
  <si>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</si>
  <si>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</si>
  <si>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</si>
  <si>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</si>
  <si>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</si>
  <si>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</si>
  <si>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</si>
  <si>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</si>
  <si>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</si>
  <si>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</si>
  <si>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</si>
  <si>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</si>
  <si>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</si>
  <si>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</si>
  <si>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</si>
  <si>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</si>
  <si>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</si>
  <si>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</si>
  <si>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</si>
  <si>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</si>
  <si>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</si>
  <si>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</si>
  <si>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</si>
  <si>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</si>
  <si>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</si>
  <si>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</si>
  <si>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</si>
  <si>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</si>
  <si>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</si>
  <si>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</si>
  <si>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</si>
  <si>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</si>
  <si>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</si>
  <si>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</si>
  <si>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</si>
  <si>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</si>
  <si>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</si>
  <si>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</si>
  <si>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</si>
  <si>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</si>
  <si>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</si>
  <si>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</si>
  <si>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</si>
  <si>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</si>
  <si>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</si>
  <si>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</si>
  <si>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</si>
  <si>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</si>
  <si>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</si>
  <si>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</si>
  <si>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</si>
  <si>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</si>
  <si>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</si>
  <si>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</si>
  <si>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</si>
  <si>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</si>
  <si>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</si>
  <si>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</si>
  <si>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</si>
  <si>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</si>
  <si>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</si>
  <si>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</si>
  <si>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</si>
  <si>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</si>
  <si>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</si>
  <si>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</si>
  <si>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</si>
  <si>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</si>
  <si>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</si>
  <si>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</si>
  <si>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</si>
  <si>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</si>
  <si>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</si>
  <si>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</si>
  <si>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</si>
  <si>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</si>
  <si>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</si>
  <si>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</si>
  <si>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</si>
  <si>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</si>
  <si>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</si>
  <si>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</si>
  <si>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</si>
  <si>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</si>
  <si>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</si>
  <si>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</si>
  <si>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</si>
  <si>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</si>
  <si>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</si>
  <si>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</si>
  <si>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</si>
  <si>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</si>
  <si>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</si>
  <si>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</si>
  <si>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</si>
  <si>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</si>
  <si>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</si>
  <si>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</si>
  <si>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</si>
  <si>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</si>
  <si>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</si>
  <si>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</si>
  <si>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</si>
  <si>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</si>
  <si>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</si>
  <si>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</si>
  <si>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</si>
  <si>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</si>
  <si>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</si>
  <si>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</si>
  <si>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</si>
  <si>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</si>
  <si>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</si>
  <si>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</si>
  <si>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</si>
  <si>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</si>
  <si>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</si>
  <si>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</si>
  <si>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</si>
  <si>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</si>
  <si>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</si>
  <si>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</si>
  <si>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</si>
  <si>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</si>
  <si>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</si>
  <si>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</si>
  <si>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</si>
  <si>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</si>
  <si>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</si>
  <si>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</si>
  <si>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</si>
  <si>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</si>
  <si>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</si>
  <si>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</si>
  <si>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</si>
  <si>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</si>
  <si>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</si>
  <si>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</si>
  <si>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</si>
  <si>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</si>
  <si>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</si>
  <si>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</si>
  <si>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</si>
  <si>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</si>
  <si>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</si>
  <si>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</si>
  <si>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</si>
  <si>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</si>
  <si>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</si>
  <si>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</si>
  <si>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</si>
  <si>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</si>
  <si>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</si>
  <si>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</si>
  <si>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</si>
  <si>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</si>
  <si>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</si>
  <si>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</si>
  <si>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</si>
  <si>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</si>
  <si>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</si>
  <si>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</si>
  <si>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</si>
  <si>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</si>
  <si>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</si>
  <si>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</si>
  <si>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</si>
  <si>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</si>
  <si>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</si>
  <si>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</si>
  <si>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</si>
  <si>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</si>
  <si>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</si>
  <si>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</si>
  <si>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</si>
  <si>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</si>
  <si>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</si>
  <si>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</si>
  <si>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</si>
  <si>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</si>
  <si>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</si>
  <si>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</si>
  <si>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</si>
  <si>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</si>
  <si>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</si>
  <si>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</si>
  <si>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</si>
  <si>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</si>
  <si>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</si>
  <si>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</si>
  <si>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</si>
  <si>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</si>
  <si>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</si>
  <si>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</si>
  <si>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</si>
  <si>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</si>
  <si>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</si>
  <si>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</si>
  <si>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</si>
  <si>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</si>
  <si>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</si>
  <si>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</si>
  <si>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</si>
  <si>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</si>
  <si>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</si>
  <si>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</si>
  <si>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</si>
  <si>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</si>
  <si>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</si>
  <si>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</si>
  <si>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</si>
  <si>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</si>
  <si>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</si>
  <si>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</si>
  <si>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</si>
  <si>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</si>
  <si>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</si>
  <si>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</si>
  <si>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</si>
  <si>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</si>
  <si>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</si>
  <si>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</si>
  <si>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</si>
  <si>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</si>
  <si>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</si>
  <si>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</si>
  <si>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</si>
  <si>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</si>
  <si>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</si>
  <si>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</si>
  <si>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</si>
  <si>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</si>
  <si>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</si>
  <si>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</si>
  <si>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</si>
  <si>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</si>
  <si>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</si>
  <si>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</si>
  <si>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</si>
  <si>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</si>
  <si>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</si>
  <si>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</si>
  <si>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</si>
  <si>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</si>
  <si>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</si>
  <si>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</si>
  <si>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</si>
  <si>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</si>
  <si>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</si>
  <si>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</si>
  <si>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</si>
  <si>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</si>
  <si>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</si>
  <si>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</si>
  <si>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</si>
  <si>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</si>
  <si>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</si>
  <si>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</si>
  <si>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</si>
  <si>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</si>
  <si>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</si>
  <si>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</si>
  <si>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</si>
  <si>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</si>
  <si>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</si>
  <si>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</si>
  <si>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</si>
  <si>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</si>
  <si>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</si>
  <si>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</si>
  <si>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</si>
  <si>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</si>
  <si>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</si>
  <si>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</si>
  <si>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</si>
  <si>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</si>
  <si>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</si>
  <si>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</si>
  <si>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</si>
  <si>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</si>
  <si>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</si>
  <si>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</si>
  <si>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</si>
  <si>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</si>
  <si>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</si>
  <si>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</si>
  <si>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</si>
  <si>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</si>
  <si>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</si>
  <si>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</si>
  <si>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</si>
  <si>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</si>
  <si>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</si>
  <si>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</si>
  <si>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</si>
  <si>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</si>
  <si>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</si>
  <si>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</si>
  <si>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</si>
  <si>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</si>
  <si>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</si>
  <si>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</si>
  <si>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</si>
  <si>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</si>
  <si>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</si>
  <si>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</si>
  <si>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</si>
  <si>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</si>
  <si>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</si>
  <si>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</si>
  <si>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</si>
  <si>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</si>
  <si>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</si>
  <si>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</si>
  <si>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</si>
  <si>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</si>
  <si>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</si>
  <si>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</si>
  <si>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</si>
  <si>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</si>
  <si>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</si>
  <si>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</si>
  <si>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</si>
  <si>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</si>
  <si>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</si>
  <si>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</si>
  <si>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</si>
  <si>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</si>
  <si>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</si>
  <si>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</si>
  <si>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</si>
  <si>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</si>
  <si>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</si>
  <si>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</si>
  <si>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</si>
  <si>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</si>
  <si>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</si>
  <si>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</si>
  <si>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</si>
  <si>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</si>
  <si>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</si>
  <si>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</si>
  <si>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</si>
  <si>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</si>
  <si>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</si>
  <si>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</si>
  <si>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</si>
  <si>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</si>
  <si>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</si>
  <si>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</si>
  <si>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</si>
  <si>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</si>
  <si>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</si>
  <si>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</si>
  <si>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</si>
  <si>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</si>
  <si>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</si>
  <si>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</si>
  <si>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</si>
  <si>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</si>
  <si>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</si>
  <si>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</si>
  <si>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</si>
  <si>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</si>
  <si>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</si>
  <si>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</si>
  <si>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</si>
  <si>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</si>
  <si>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</si>
  <si>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</si>
  <si>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</si>
  <si>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</si>
  <si>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</si>
  <si>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</si>
  <si>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</si>
  <si>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</si>
  <si>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</si>
  <si>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</si>
  <si>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</si>
  <si>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</si>
  <si>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</si>
  <si>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</si>
  <si>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</si>
  <si>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</si>
  <si>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</si>
  <si>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</si>
  <si>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</si>
  <si>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</si>
  <si>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</si>
  <si>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</si>
  <si>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</si>
  <si>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</si>
  <si>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</si>
  <si>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</si>
  <si>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</si>
  <si>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</si>
  <si>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</si>
  <si>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</si>
  <si>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</si>
  <si>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</si>
  <si>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</si>
  <si>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</si>
  <si>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</si>
  <si>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</si>
  <si>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</si>
  <si>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</si>
  <si>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</si>
  <si>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</si>
  <si>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</si>
  <si>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</si>
  <si>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</si>
  <si>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</si>
  <si>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</si>
  <si>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</si>
  <si>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</si>
  <si>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</si>
  <si>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</si>
  <si>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</si>
  <si>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</si>
  <si>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</si>
  <si>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</si>
  <si>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</si>
  <si>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</si>
  <si>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</si>
  <si>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</si>
  <si>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</si>
  <si>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</si>
  <si>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</si>
  <si>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</si>
  <si>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</si>
  <si>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</si>
  <si>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</si>
  <si>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</si>
  <si>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</si>
  <si>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</si>
  <si>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</si>
  <si>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</si>
  <si>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</si>
  <si>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</si>
  <si>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</si>
  <si>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</si>
  <si>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</si>
  <si>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</si>
  <si>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</si>
  <si>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</si>
  <si>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</si>
  <si>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</si>
  <si>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</si>
  <si>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</si>
  <si>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</si>
  <si>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</si>
  <si>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</si>
  <si>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</si>
  <si>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</si>
  <si>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</si>
  <si>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</si>
  <si>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</si>
  <si>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</si>
  <si>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</si>
  <si>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</si>
  <si>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</si>
  <si>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</si>
  <si>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</si>
  <si>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</si>
  <si>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</si>
  <si>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</si>
  <si>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</si>
  <si>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</si>
  <si>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</si>
  <si>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</si>
  <si>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</si>
  <si>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</si>
  <si>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</si>
  <si>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</si>
  <si>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</si>
  <si>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</si>
  <si>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</si>
  <si>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</si>
  <si>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</si>
  <si>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</si>
  <si>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</si>
  <si>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</si>
  <si>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</si>
  <si>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</si>
  <si>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</si>
  <si>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</si>
  <si>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</si>
  <si>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</si>
  <si>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</si>
  <si>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</si>
  <si>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</si>
  <si>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</si>
  <si>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</si>
  <si>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</si>
  <si>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</si>
  <si>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</si>
  <si>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</si>
  <si>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</si>
  <si>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</si>
  <si>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</si>
  <si>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</si>
  <si>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</si>
  <si>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</si>
  <si>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</si>
  <si>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</si>
  <si>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</si>
  <si>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</si>
  <si>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</si>
  <si>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</si>
  <si>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</si>
  <si>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</si>
  <si>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</si>
  <si>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</si>
  <si>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</si>
  <si>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</si>
  <si>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</si>
  <si>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</si>
  <si>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</si>
  <si>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</si>
  <si>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</si>
  <si>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</si>
  <si>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</si>
  <si>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</si>
  <si>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</si>
  <si>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</si>
  <si>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</si>
  <si>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</si>
  <si>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</si>
  <si>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</si>
  <si>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</si>
  <si>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</si>
  <si>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</si>
  <si>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</si>
  <si>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</si>
  <si>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</si>
  <si>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</si>
  <si>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</si>
  <si>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</si>
  <si>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</si>
  <si>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</si>
  <si>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</si>
  <si>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</si>
  <si>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</si>
  <si>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</si>
  <si>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</si>
  <si>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</si>
  <si>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</si>
  <si>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</si>
  <si>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</si>
  <si>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</si>
  <si>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</si>
  <si>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</si>
  <si>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</si>
  <si>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</si>
  <si>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</si>
  <si>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</si>
  <si>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</si>
  <si>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</si>
  <si>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</si>
  <si>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</si>
  <si>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</si>
  <si>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</si>
  <si>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</si>
  <si>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</si>
  <si>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</si>
  <si>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</si>
  <si>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</si>
  <si>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</si>
  <si>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</si>
  <si>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</si>
  <si>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</si>
  <si>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</si>
  <si>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</si>
  <si>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</si>
  <si>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</si>
  <si>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</si>
  <si>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</si>
  <si>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</si>
  <si>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</si>
  <si>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</si>
  <si>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</si>
  <si>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</si>
  <si>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</si>
  <si>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</si>
  <si>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</si>
  <si>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</si>
  <si>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</si>
  <si>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</si>
  <si>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</si>
  <si>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</si>
  <si>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</si>
  <si>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</si>
  <si>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</si>
  <si>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</si>
  <si>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</si>
  <si>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</si>
  <si>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</si>
  <si>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</si>
  <si>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</si>
  <si>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</si>
  <si>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</si>
  <si>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</si>
  <si>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</si>
  <si>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</si>
  <si>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</si>
  <si>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</si>
  <si>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</si>
  <si>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</si>
  <si>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</si>
  <si>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</si>
  <si>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</si>
  <si>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</si>
  <si>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</si>
  <si>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</si>
  <si>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</si>
  <si>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</si>
  <si>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</si>
  <si>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</si>
  <si>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</si>
  <si>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</si>
  <si>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</si>
  <si>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</si>
  <si>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</si>
  <si>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</si>
  <si>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</si>
  <si>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</si>
  <si>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</si>
  <si>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</si>
  <si>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</si>
  <si>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</si>
  <si>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</si>
  <si>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</si>
  <si>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</si>
  <si>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</si>
  <si>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</si>
  <si>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</si>
  <si>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</si>
  <si>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</si>
  <si>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</si>
  <si>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</si>
  <si>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</si>
  <si>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</si>
  <si>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</si>
  <si>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</si>
  <si>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</si>
  <si>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</si>
  <si>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</si>
  <si>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</si>
  <si>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</si>
  <si>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</si>
  <si>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</si>
  <si>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</si>
  <si>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</si>
  <si>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</si>
  <si>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</si>
  <si>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</si>
  <si>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</si>
  <si>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</si>
  <si>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</si>
  <si>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</si>
  <si>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</si>
  <si>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</si>
  <si>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</si>
  <si>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</si>
  <si>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</si>
  <si>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</si>
  <si>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</si>
  <si>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</si>
  <si>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</si>
  <si>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</si>
  <si>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</si>
  <si>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</si>
  <si>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</si>
  <si>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</si>
  <si>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</si>
  <si>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</si>
  <si>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</si>
  <si>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</si>
  <si>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</si>
  <si>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</si>
  <si>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</si>
  <si>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</si>
  <si>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</si>
  <si>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</si>
  <si>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</si>
  <si>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</si>
  <si>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</si>
  <si>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</si>
  <si>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</si>
  <si>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</si>
  <si>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</si>
  <si>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</si>
  <si>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</si>
  <si>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</si>
  <si>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</si>
  <si>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</si>
  <si>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</si>
  <si>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</si>
  <si>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</si>
  <si>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</si>
  <si>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</si>
  <si>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</si>
  <si>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</si>
  <si>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</si>
  <si>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</si>
  <si>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</si>
  <si>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</si>
  <si>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</si>
  <si>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</si>
  <si>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</si>
  <si>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</si>
  <si>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</si>
  <si>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</si>
  <si>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</si>
  <si>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</si>
  <si>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</si>
  <si>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</si>
  <si>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</si>
  <si>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</si>
  <si>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</si>
  <si>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</si>
  <si>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</si>
  <si>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</si>
  <si>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</si>
  <si>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</si>
  <si>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</si>
  <si>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</si>
  <si>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</si>
  <si>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</si>
  <si>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</si>
  <si>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</si>
  <si>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</si>
  <si>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</si>
  <si>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</si>
  <si>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</si>
  <si>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</si>
  <si>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</si>
  <si>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</si>
  <si>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</si>
  <si>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</si>
  <si>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</si>
  <si>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</si>
  <si>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</si>
  <si>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</si>
  <si>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</si>
  <si>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</si>
  <si>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</si>
  <si>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</si>
  <si>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</si>
  <si>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</si>
  <si>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</si>
  <si>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</si>
  <si>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</si>
  <si>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</si>
  <si>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</si>
  <si>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</si>
  <si>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</si>
  <si>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</si>
  <si>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</si>
  <si>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</si>
  <si>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</si>
  <si>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</si>
  <si>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</si>
  <si>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</si>
  <si>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</si>
  <si>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</si>
  <si>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</si>
  <si>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</si>
  <si>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</si>
  <si>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</si>
  <si>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</si>
  <si>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</si>
  <si>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</si>
  <si>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</si>
  <si>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</si>
  <si>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</si>
  <si>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</si>
  <si>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</si>
  <si>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</si>
  <si>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</si>
  <si>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</si>
  <si>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</si>
  <si>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</si>
  <si>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</si>
  <si>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</si>
  <si>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</si>
  <si>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</si>
  <si>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</si>
  <si>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</si>
  <si>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</si>
  <si>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</si>
  <si>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</si>
  <si>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</si>
  <si>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</si>
  <si>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</si>
  <si>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</si>
  <si>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</si>
  <si>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</si>
  <si>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</si>
  <si>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</si>
  <si>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</si>
  <si>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</si>
  <si>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</si>
  <si>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</si>
  <si>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</si>
  <si>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</si>
  <si>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</si>
  <si>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</si>
  <si>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</si>
  <si>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</si>
  <si>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</si>
  <si>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</si>
  <si>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</si>
  <si>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</si>
  <si>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</si>
  <si>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</si>
  <si>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</si>
  <si>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</si>
  <si>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</si>
  <si>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</si>
  <si>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</si>
  <si>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</si>
  <si>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</si>
  <si>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</si>
  <si>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</si>
  <si>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</si>
  <si>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</si>
  <si>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</si>
  <si>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</si>
  <si>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</si>
  <si>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</si>
  <si>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</si>
  <si>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</si>
  <si>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</si>
  <si>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</si>
  <si>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</si>
  <si>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</si>
  <si>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</si>
  <si>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</si>
  <si>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</si>
  <si>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</si>
  <si>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</si>
  <si>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</si>
  <si>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</si>
  <si>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</si>
  <si>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</si>
  <si>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</si>
  <si>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</si>
  <si>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</si>
  <si>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</si>
  <si>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</si>
  <si>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</si>
  <si>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</si>
  <si>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</si>
  <si>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</si>
  <si>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</si>
  <si>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</si>
  <si>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</si>
  <si>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</si>
  <si>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</si>
  <si>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</si>
  <si>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</si>
  <si>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</si>
  <si>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</si>
  <si>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</si>
  <si>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</si>
  <si>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</si>
  <si>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</si>
  <si>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</si>
  <si>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</si>
  <si>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</si>
  <si>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</si>
  <si>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</si>
  <si>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</si>
  <si>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</si>
  <si>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</si>
  <si>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</si>
  <si>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</si>
  <si>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</si>
  <si>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</si>
  <si>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</si>
  <si>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</si>
  <si>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</si>
  <si>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</si>
  <si>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</si>
  <si>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</si>
  <si>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</si>
  <si>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</si>
  <si>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</si>
  <si>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</si>
  <si>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</si>
  <si>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</si>
  <si>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</si>
  <si>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</si>
  <si>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</si>
  <si>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</si>
  <si>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</si>
  <si>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</si>
  <si>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</si>
  <si>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</si>
  <si>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</si>
  <si>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</si>
  <si>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</si>
  <si>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</si>
  <si>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</si>
  <si>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</si>
  <si>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</si>
  <si>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</si>
  <si>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</si>
  <si>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</si>
  <si>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</si>
  <si>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</si>
  <si>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</si>
  <si>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</si>
  <si>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</si>
  <si>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</si>
  <si>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</si>
  <si>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</si>
  <si>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</si>
  <si>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</si>
  <si>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</si>
  <si>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</si>
  <si>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</si>
  <si>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</si>
  <si>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</si>
  <si>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</si>
  <si>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</si>
  <si>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</si>
  <si>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</si>
  <si>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</si>
  <si>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</si>
  <si>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</si>
  <si>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</si>
  <si>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</si>
  <si>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</si>
  <si>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</si>
  <si>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</si>
  <si>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</si>
  <si>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</si>
  <si>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</si>
  <si>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</si>
  <si>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</si>
  <si>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</si>
  <si>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</si>
  <si>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</si>
  <si>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</si>
  <si>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</si>
  <si>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</si>
  <si>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</si>
  <si>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</si>
  <si>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</si>
  <si>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</si>
  <si>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</si>
  <si>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</si>
  <si>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</si>
  <si>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</si>
  <si>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</si>
  <si>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</si>
  <si>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</si>
  <si>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</si>
  <si>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</si>
  <si>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</si>
  <si>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</si>
  <si>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</si>
  <si>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</si>
  <si>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</si>
  <si>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</si>
  <si>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</si>
  <si>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</si>
  <si>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</si>
  <si>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</si>
  <si>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</si>
  <si>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</si>
  <si>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</si>
  <si>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</si>
  <si>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</si>
  <si>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</si>
  <si>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</si>
  <si>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</si>
  <si>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</si>
  <si>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</si>
  <si>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</si>
  <si>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</si>
  <si>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</si>
  <si>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</si>
  <si>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</si>
  <si>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</si>
  <si>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</si>
  <si>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</si>
  <si>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</si>
  <si>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</si>
  <si>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</si>
  <si>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</si>
  <si>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</si>
  <si>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</si>
  <si>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</si>
  <si>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</si>
  <si>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</si>
  <si>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</si>
  <si>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</si>
  <si>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</si>
  <si>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</si>
  <si>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</si>
  <si>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</si>
  <si>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</si>
  <si>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</si>
  <si>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</si>
  <si>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</si>
  <si>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</si>
  <si>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</si>
  <si>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</si>
  <si>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</si>
  <si>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</si>
  <si>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</si>
  <si>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</si>
  <si>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</si>
  <si>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</si>
  <si>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</si>
  <si>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</si>
  <si>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</si>
  <si>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</si>
  <si>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</si>
  <si>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</si>
  <si>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</si>
  <si>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</si>
  <si>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</si>
  <si>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</si>
  <si>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</si>
  <si>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</si>
  <si>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</si>
  <si>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</si>
  <si>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</si>
  <si>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</si>
  <si>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</si>
  <si>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</si>
  <si>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</si>
  <si>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</si>
  <si>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</si>
  <si>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</si>
  <si>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</si>
  <si>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</si>
  <si>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</si>
  <si>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</si>
  <si>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</si>
  <si>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</si>
  <si>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</si>
  <si>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</si>
  <si>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</si>
  <si>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</si>
  <si>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</si>
  <si>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</si>
  <si>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</si>
  <si>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</si>
  <si>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</si>
  <si>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</si>
  <si>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</si>
  <si>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</si>
  <si>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</si>
  <si>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</si>
  <si>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</si>
  <si>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</si>
  <si>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</si>
  <si>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</si>
  <si>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</si>
  <si>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</si>
  <si>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</si>
  <si>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</si>
  <si>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</si>
  <si>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</si>
  <si>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</si>
  <si>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</si>
  <si>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</si>
  <si>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</si>
  <si>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</si>
  <si>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</si>
  <si>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</si>
  <si>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</si>
  <si>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</si>
  <si>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</si>
  <si>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</si>
  <si>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</si>
  <si>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</si>
  <si>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</si>
  <si>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</si>
  <si>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</si>
  <si>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</si>
  <si>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</si>
  <si>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</si>
  <si>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</si>
  <si>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</si>
  <si>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</si>
  <si>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</si>
  <si>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</si>
  <si>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</si>
  <si>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</si>
  <si>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</si>
  <si>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</si>
  <si>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</si>
  <si>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</si>
  <si>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</si>
  <si>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</si>
  <si>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</si>
  <si>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</si>
  <si>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</si>
  <si>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</si>
  <si>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</si>
  <si>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</si>
  <si>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</si>
  <si>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</si>
  <si>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</si>
  <si>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</si>
  <si>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</si>
  <si>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</si>
  <si>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</si>
  <si>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</si>
  <si>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</si>
  <si>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</si>
  <si>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</si>
  <si>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</si>
  <si>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</si>
  <si>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</si>
  <si>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</si>
  <si>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</si>
  <si>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</si>
  <si>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</si>
  <si>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</si>
  <si>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</si>
  <si>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</si>
  <si>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</si>
  <si>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</si>
  <si>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</si>
  <si>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</si>
  <si>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</si>
  <si>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</si>
  <si>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</si>
  <si>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</si>
  <si>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</si>
  <si>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</si>
  <si>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</si>
  <si>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</si>
  <si>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</si>
  <si>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</si>
  <si>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</si>
  <si>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</si>
  <si>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</si>
  <si>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</si>
  <si>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</si>
  <si>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</si>
  <si>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</si>
  <si>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</si>
  <si>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</si>
  <si>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</si>
  <si>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</si>
  <si>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</si>
  <si>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</si>
  <si>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</si>
  <si>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</si>
  <si>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</si>
  <si>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</si>
  <si>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</si>
  <si>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</si>
  <si>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</si>
  <si>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</si>
  <si>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</si>
  <si>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</si>
  <si>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</si>
  <si>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</si>
  <si>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</si>
  <si>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</si>
  <si>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</si>
  <si>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</si>
  <si>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</si>
  <si>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</si>
  <si>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</si>
  <si>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</si>
  <si>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</si>
  <si>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</si>
  <si>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</si>
  <si>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</si>
  <si>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</si>
  <si>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</si>
  <si>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</si>
  <si>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</si>
  <si>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</si>
  <si>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</si>
  <si>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</si>
  <si>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</si>
  <si>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</si>
  <si>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</si>
  <si>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</si>
  <si>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</si>
  <si>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</si>
  <si>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</si>
  <si>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</si>
  <si>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</si>
  <si>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</si>
  <si>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</si>
  <si>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</si>
  <si>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</si>
  <si>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</si>
  <si>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</si>
  <si>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</si>
  <si>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</si>
  <si>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</si>
  <si>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</si>
  <si>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</si>
  <si>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</si>
  <si>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</si>
  <si>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</si>
  <si>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</si>
  <si>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</si>
  <si>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</si>
  <si>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</si>
  <si>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</si>
  <si>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</si>
  <si>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</si>
  <si>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</si>
  <si>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</si>
  <si>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</si>
  <si>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</si>
  <si>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</si>
  <si>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</si>
  <si>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</si>
  <si>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</si>
  <si>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</si>
  <si>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</si>
  <si>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</si>
  <si>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</si>
  <si>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</si>
  <si>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</si>
  <si>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</si>
  <si>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</si>
  <si>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</si>
  <si>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</si>
  <si>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</si>
  <si>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</si>
  <si>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</si>
  <si>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</si>
  <si>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</si>
  <si>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</si>
  <si>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</si>
  <si>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</si>
  <si>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</si>
  <si>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</si>
  <si>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</si>
  <si>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</si>
  <si>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</si>
  <si>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</si>
  <si>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</si>
  <si>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</si>
  <si>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</si>
  <si>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</si>
  <si>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</si>
  <si>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</si>
  <si>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</si>
  <si>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</si>
  <si>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</si>
  <si>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</si>
  <si>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</si>
  <si>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</si>
  <si>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</si>
  <si>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</si>
  <si>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</si>
  <si>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</si>
  <si>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</si>
  <si>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</si>
  <si>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</si>
  <si>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</si>
  <si>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</si>
  <si>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</si>
  <si>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</si>
  <si>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</si>
  <si>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</si>
  <si>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</si>
  <si>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</si>
  <si>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</si>
  <si>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</si>
  <si>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</si>
  <si>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</si>
  <si>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</si>
  <si>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</si>
  <si>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</si>
  <si>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</si>
  <si>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</si>
  <si>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</si>
  <si>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</si>
  <si>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</si>
  <si>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</si>
  <si>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</si>
  <si>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</si>
  <si>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</si>
  <si>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</si>
  <si>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</si>
  <si>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</si>
  <si>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</si>
  <si>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</si>
  <si>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</si>
  <si>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</si>
  <si>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</si>
  <si>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</si>
  <si>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</si>
  <si>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</si>
  <si>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</si>
  <si>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</si>
  <si>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</si>
  <si>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</si>
  <si>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</si>
  <si>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</si>
  <si>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</si>
  <si>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</si>
  <si>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</si>
  <si>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</si>
  <si>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</si>
  <si>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</si>
  <si>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</si>
  <si>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</si>
  <si>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</si>
  <si>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</si>
  <si>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</si>
  <si>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</si>
  <si>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</si>
  <si>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</si>
  <si>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</si>
  <si>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</si>
  <si>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</si>
  <si>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</si>
  <si>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</si>
  <si>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</si>
  <si>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</si>
  <si>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</si>
  <si>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</si>
  <si>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</si>
  <si>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</si>
  <si>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</si>
  <si>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</si>
  <si>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</si>
  <si>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</si>
  <si>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</si>
  <si>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</si>
  <si>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</si>
  <si>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</si>
  <si>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</si>
  <si>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</si>
  <si>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</si>
  <si>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</si>
  <si>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</si>
  <si>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</si>
  <si>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</si>
  <si>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</si>
  <si>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</si>
  <si>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</si>
  <si>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</si>
  <si>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</si>
  <si>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</si>
  <si>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</si>
  <si>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</si>
  <si>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</si>
  <si>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</si>
  <si>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</si>
  <si>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</si>
  <si>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</si>
  <si>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</si>
  <si>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</si>
  <si>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</si>
  <si>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</si>
  <si>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</si>
  <si>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</si>
  <si>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</si>
  <si>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</si>
  <si>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</si>
  <si>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</si>
  <si>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</si>
  <si>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</si>
  <si>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</si>
  <si>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</si>
  <si>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</si>
  <si>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</si>
  <si>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</si>
  <si>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</si>
  <si>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</si>
  <si>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</si>
  <si>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</si>
  <si>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</si>
  <si>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</si>
  <si>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</si>
  <si>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</si>
  <si>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</si>
  <si>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</si>
  <si>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</si>
  <si>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</si>
  <si>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</si>
  <si>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</si>
  <si>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</si>
  <si>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</si>
  <si>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</si>
  <si>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</si>
  <si>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</si>
  <si>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</si>
  <si>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</si>
  <si>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</si>
  <si>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</si>
  <si>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</si>
  <si>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</si>
  <si>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</si>
  <si>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</si>
  <si>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</si>
  <si>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</si>
  <si>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</si>
  <si>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</si>
  <si>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</si>
  <si>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</si>
  <si>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</si>
  <si>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</si>
  <si>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</si>
  <si>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</si>
  <si>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</si>
  <si>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</si>
  <si>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</si>
  <si>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</si>
  <si>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</si>
  <si>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</si>
  <si>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</si>
  <si>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</si>
  <si>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</si>
  <si>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</si>
  <si>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</si>
  <si>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</si>
  <si>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</si>
  <si>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</si>
  <si>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</si>
  <si>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</si>
  <si>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</si>
  <si>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</si>
  <si>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</si>
  <si>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</si>
  <si>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</si>
  <si>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</si>
  <si>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</si>
  <si>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</si>
  <si>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</si>
  <si>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</si>
  <si>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</si>
  <si>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</si>
  <si>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</si>
  <si>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</si>
  <si>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</si>
  <si>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</si>
  <si>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</si>
  <si>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</si>
  <si>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</si>
  <si>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</si>
  <si>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</si>
  <si>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</si>
  <si>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</si>
  <si>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</si>
  <si>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</si>
  <si>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</si>
  <si>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</si>
  <si>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</si>
  <si>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</si>
  <si>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</si>
  <si>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</si>
  <si>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</si>
  <si>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</si>
  <si>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</si>
  <si>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</si>
  <si>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</si>
  <si>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</si>
  <si>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</si>
  <si>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</si>
  <si>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</si>
  <si>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</si>
  <si>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</si>
  <si>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</si>
  <si>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</si>
  <si>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</si>
  <si>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</si>
  <si>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</si>
  <si>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</si>
  <si>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</si>
  <si>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</si>
  <si>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</si>
  <si>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</si>
  <si>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</si>
  <si>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</si>
  <si>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</si>
  <si>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</si>
  <si>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</si>
  <si>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</si>
  <si>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</si>
  <si>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</si>
  <si>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</si>
  <si>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</si>
  <si>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</si>
  <si>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</si>
  <si>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</si>
  <si>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</si>
  <si>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</si>
  <si>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</si>
  <si>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</si>
  <si>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</si>
  <si>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</si>
  <si>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</si>
  <si>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</si>
  <si>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</si>
  <si>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</si>
  <si>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</si>
  <si>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</si>
  <si>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</si>
  <si>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</si>
  <si>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</si>
  <si>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</si>
  <si>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</si>
  <si>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</si>
  <si>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</si>
  <si>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</si>
  <si>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</si>
  <si>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</si>
  <si>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</si>
  <si>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</si>
  <si>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</si>
  <si>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</si>
  <si>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</si>
  <si>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</si>
  <si>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</si>
  <si>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</si>
  <si>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</si>
  <si>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</si>
  <si>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</si>
  <si>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</si>
  <si>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</si>
  <si>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</si>
  <si>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</si>
  <si>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</si>
  <si>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</si>
  <si>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</si>
  <si>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</si>
  <si>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</si>
  <si>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</si>
  <si>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</si>
  <si>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</si>
  <si>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</si>
  <si>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</si>
  <si>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</si>
  <si>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</si>
  <si>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</si>
  <si>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</si>
  <si>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</si>
  <si>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</si>
  <si>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</si>
  <si>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</si>
  <si>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</si>
  <si>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</si>
  <si>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</si>
  <si>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</si>
  <si>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</si>
  <si>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</si>
  <si>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</si>
  <si>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</si>
  <si>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</si>
  <si>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</si>
  <si>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</si>
  <si>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</si>
  <si>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固定资产—房屋建筑物评估明细表</t>
  </si>
  <si>
    <r>
      <rPr>
        <sz val="10"/>
        <rFont val="宋体"/>
        <family val="3"/>
        <charset val="134"/>
      </rPr>
      <t>表</t>
    </r>
    <r>
      <rPr>
        <sz val="10"/>
        <rFont val="Times New Roman"/>
        <family val="1"/>
      </rPr>
      <t>4-6-1</t>
    </r>
  </si>
  <si>
    <t>金额单位：人民币元</t>
  </si>
  <si>
    <t>序号</t>
  </si>
  <si>
    <t>权证编号</t>
  </si>
  <si>
    <t>建筑物名称</t>
  </si>
  <si>
    <t>结构</t>
  </si>
  <si>
    <t>建成
年月</t>
  </si>
  <si>
    <t>计量单位</t>
  </si>
  <si>
    <r>
      <t>建筑面积体积</t>
    </r>
    <r>
      <rPr>
        <sz val="10"/>
        <rFont val="Times New Roman"/>
        <family val="1"/>
      </rPr>
      <t xml:space="preserve">           m</t>
    </r>
    <r>
      <rPr>
        <vertAlign val="superscript"/>
        <sz val="10"/>
        <rFont val="Times New Roman"/>
        <family val="1"/>
      </rPr>
      <t>2</t>
    </r>
    <r>
      <rPr>
        <sz val="10"/>
        <rFont val="宋体"/>
        <family val="3"/>
        <charset val="134"/>
      </rPr>
      <t>或</t>
    </r>
    <r>
      <rPr>
        <sz val="10"/>
        <rFont val="Times New Roman"/>
        <family val="1"/>
      </rPr>
      <t>m</t>
    </r>
    <r>
      <rPr>
        <vertAlign val="superscript"/>
        <sz val="10"/>
        <rFont val="Times New Roman"/>
        <family val="1"/>
      </rPr>
      <t>3</t>
    </r>
  </si>
  <si>
    <r>
      <t>成本单价</t>
    </r>
    <r>
      <rPr>
        <sz val="10"/>
        <rFont val="Times New Roman"/>
        <family val="1"/>
      </rPr>
      <t>(</t>
    </r>
    <r>
      <rPr>
        <sz val="10"/>
        <rFont val="宋体"/>
        <family val="3"/>
        <charset val="134"/>
      </rPr>
      <t>元</t>
    </r>
    <r>
      <rPr>
        <sz val="10"/>
        <rFont val="Times New Roman"/>
        <family val="1"/>
      </rPr>
      <t>/m</t>
    </r>
    <r>
      <rPr>
        <vertAlign val="superscript"/>
        <sz val="10"/>
        <rFont val="Times New Roman"/>
        <family val="1"/>
      </rPr>
      <t>2</t>
    </r>
    <r>
      <rPr>
        <sz val="10"/>
        <rFont val="Times New Roman"/>
        <family val="1"/>
      </rPr>
      <t>)</t>
    </r>
  </si>
  <si>
    <t>账面价值</t>
  </si>
  <si>
    <t>评估价值</t>
  </si>
  <si>
    <r>
      <t>增值率</t>
    </r>
    <r>
      <rPr>
        <sz val="10"/>
        <rFont val="Times New Roman"/>
        <family val="1"/>
      </rPr>
      <t>%</t>
    </r>
  </si>
  <si>
    <r>
      <t>评估单价</t>
    </r>
    <r>
      <rPr>
        <sz val="10"/>
        <rFont val="Times New Roman"/>
        <family val="1"/>
      </rPr>
      <t>(</t>
    </r>
    <r>
      <rPr>
        <sz val="10"/>
        <rFont val="宋体"/>
        <family val="3"/>
        <charset val="134"/>
      </rPr>
      <t>元</t>
    </r>
    <r>
      <rPr>
        <sz val="10"/>
        <rFont val="Times New Roman"/>
        <family val="1"/>
      </rPr>
      <t>/m</t>
    </r>
    <r>
      <rPr>
        <vertAlign val="superscript"/>
        <sz val="10"/>
        <rFont val="Times New Roman"/>
        <family val="1"/>
      </rPr>
      <t>2</t>
    </r>
    <r>
      <rPr>
        <sz val="10"/>
        <rFont val="Times New Roman"/>
        <family val="1"/>
      </rPr>
      <t>)</t>
    </r>
  </si>
  <si>
    <t>备注</t>
  </si>
  <si>
    <t>原值</t>
  </si>
  <si>
    <t>净值</t>
  </si>
  <si>
    <r>
      <t>成新率</t>
    </r>
    <r>
      <rPr>
        <sz val="10"/>
        <rFont val="Times New Roman"/>
        <family val="1"/>
      </rPr>
      <t>%</t>
    </r>
  </si>
  <si>
    <t>京（2017）朝不动产权第0064885号</t>
  </si>
  <si>
    <r>
      <t>1</t>
    </r>
    <r>
      <rPr>
        <sz val="10"/>
        <rFont val="宋体"/>
        <family val="3"/>
        <charset val="134"/>
      </rPr>
      <t>至</t>
    </r>
    <r>
      <rPr>
        <sz val="10"/>
        <rFont val="Arial Narrow"/>
        <family val="2"/>
      </rPr>
      <t>2</t>
    </r>
    <r>
      <rPr>
        <sz val="10"/>
        <rFont val="宋体"/>
        <family val="3"/>
        <charset val="134"/>
      </rPr>
      <t>层</t>
    </r>
    <r>
      <rPr>
        <sz val="10"/>
        <rFont val="Arial Narrow"/>
        <family val="2"/>
      </rPr>
      <t>101</t>
    </r>
    <phoneticPr fontId="3" type="noConversion"/>
  </si>
  <si>
    <t>框架结构</t>
    <phoneticPr fontId="3" type="noConversion"/>
  </si>
  <si>
    <t>m2</t>
    <phoneticPr fontId="3" type="noConversion"/>
  </si>
  <si>
    <t>京（2017）朝不动产权第0019890号</t>
  </si>
  <si>
    <t>301-1</t>
  </si>
  <si>
    <t>框架结构</t>
    <phoneticPr fontId="3" type="noConversion"/>
  </si>
  <si>
    <t>m2</t>
    <phoneticPr fontId="3" type="noConversion"/>
  </si>
  <si>
    <t>京（2017）朝不动产权第0019977号</t>
  </si>
  <si>
    <t>301-2</t>
  </si>
  <si>
    <t>京（2017）朝不动产权第0019829号</t>
  </si>
  <si>
    <t>301-3</t>
  </si>
  <si>
    <t>京（2017）朝不动产权第0019831号</t>
  </si>
  <si>
    <t>301-4</t>
  </si>
  <si>
    <t>京（2017）朝不动产权第0019832号</t>
  </si>
  <si>
    <t>301-5</t>
  </si>
  <si>
    <t>框架结构</t>
    <phoneticPr fontId="3" type="noConversion"/>
  </si>
  <si>
    <t>m2</t>
    <phoneticPr fontId="3" type="noConversion"/>
  </si>
  <si>
    <t>京（2017）朝不动产权第0019777号</t>
  </si>
  <si>
    <t>301-6</t>
  </si>
  <si>
    <t>京（2017）朝不动产权第0016811号</t>
  </si>
  <si>
    <t>301-7</t>
  </si>
  <si>
    <t>京（2017）朝不动产权第0019833号</t>
  </si>
  <si>
    <t>301-8</t>
  </si>
  <si>
    <t>京（2017）朝不动产权第0025333号</t>
  </si>
  <si>
    <t>301-9</t>
  </si>
  <si>
    <t>京（2017）朝不动产权第0025332号</t>
  </si>
  <si>
    <t>301-10</t>
  </si>
  <si>
    <t>京（2017）朝不动产权第0025315号</t>
  </si>
  <si>
    <t>301-11</t>
  </si>
  <si>
    <t>京（2017）朝不动产权第0027481号</t>
  </si>
  <si>
    <t>301-12</t>
  </si>
  <si>
    <t>京（2017）朝不动产权第0027486号</t>
  </si>
  <si>
    <t>301-13</t>
  </si>
  <si>
    <t>京（2017）朝不动产权第0025338号</t>
  </si>
  <si>
    <t>301-14</t>
  </si>
  <si>
    <t>京（2017）朝不动产权第0027446号</t>
  </si>
  <si>
    <t>401-1</t>
  </si>
  <si>
    <t>京（2017）朝不动产权第0025298号</t>
  </si>
  <si>
    <t>401-2</t>
  </si>
  <si>
    <t>京（2017）朝不动产权第0025299号</t>
  </si>
  <si>
    <t>401-3</t>
  </si>
  <si>
    <t>京（2017）朝不动产权第0025336号</t>
  </si>
  <si>
    <t>401-4</t>
  </si>
  <si>
    <t>京（2017）朝不动产权第0025337号</t>
  </si>
  <si>
    <t>401-5</t>
  </si>
  <si>
    <t>京（2017）朝不动产权第0025341号</t>
  </si>
  <si>
    <t>401-6</t>
  </si>
  <si>
    <t>京（2017）朝不动产权第0025266号</t>
  </si>
  <si>
    <t>401-7</t>
  </si>
  <si>
    <t>京（2017）朝不动产权第0025329号</t>
  </si>
  <si>
    <t>401-8</t>
  </si>
  <si>
    <t>京（2017）朝不动产权第0025331号</t>
  </si>
  <si>
    <t>401-9</t>
  </si>
  <si>
    <t>京（2017）朝不动产权第0025340号</t>
  </si>
  <si>
    <t>401-10</t>
  </si>
  <si>
    <t>京（2017）朝不动产权第0027491号</t>
  </si>
  <si>
    <t>401-11</t>
  </si>
  <si>
    <t>京（2017）朝不动产权第0027500号</t>
  </si>
  <si>
    <t>401-12</t>
  </si>
  <si>
    <t>京（2017）朝不动产权第0027508号</t>
  </si>
  <si>
    <t>401-13</t>
  </si>
  <si>
    <t>京（2017）朝不动产权第0027512号</t>
  </si>
  <si>
    <t>401-14</t>
  </si>
  <si>
    <t>京（2017）朝不动产权第0019778号</t>
  </si>
  <si>
    <t>501-1</t>
  </si>
  <si>
    <t>京（2017）朝不动产权第0019780号</t>
  </si>
  <si>
    <t>501-2</t>
  </si>
  <si>
    <t>京（2017）朝不动产权第0019782号</t>
  </si>
  <si>
    <t>501-3</t>
  </si>
  <si>
    <t>京（2017）朝不动产权第0019976号</t>
  </si>
  <si>
    <t>501-4</t>
  </si>
  <si>
    <t>京（2017）朝不动产权第0019804号</t>
  </si>
  <si>
    <t>501-5</t>
  </si>
  <si>
    <t>京（2017）朝不动产权第0019785号</t>
  </si>
  <si>
    <t>501-6</t>
  </si>
  <si>
    <t>京（2017）朝不动产权第0019836号</t>
  </si>
  <si>
    <t>501-7</t>
  </si>
  <si>
    <t>京（2017）朝不动产权第0027518号</t>
  </si>
  <si>
    <t>501-8</t>
  </si>
  <si>
    <t>京（2017）朝不动产权第0025313号</t>
  </si>
  <si>
    <t>501-9</t>
  </si>
  <si>
    <t>京（2017）朝不动产权第0025327号</t>
  </si>
  <si>
    <t>501-10</t>
  </si>
  <si>
    <t>京（2017）朝不动产权第0025317号</t>
  </si>
  <si>
    <t>501-11</t>
  </si>
  <si>
    <t>京（2017）朝不动产权第0025319号</t>
  </si>
  <si>
    <t>501-12</t>
  </si>
  <si>
    <t>京（2017）朝不动产权第0025326号</t>
  </si>
  <si>
    <t>501-13</t>
  </si>
  <si>
    <t>京（2017）朝不动产权第0025252号</t>
  </si>
  <si>
    <t>501-14</t>
  </si>
  <si>
    <t>京（2017）朝不动产权第0025246号</t>
  </si>
  <si>
    <t>601-1</t>
  </si>
  <si>
    <t>京（2017）朝不动产权第0019837号</t>
  </si>
  <si>
    <t>601-2</t>
  </si>
  <si>
    <t>京（2017）朝不动产权第0019964号</t>
  </si>
  <si>
    <t>601-3</t>
  </si>
  <si>
    <t>京（2017）朝不动产权第0025247号</t>
  </si>
  <si>
    <t>601-4</t>
  </si>
  <si>
    <t>京（2017）朝不动产权第0025250号</t>
  </si>
  <si>
    <t>601-5</t>
  </si>
  <si>
    <t>京（2017）朝不动产权第0019956号</t>
  </si>
  <si>
    <t>601-6</t>
  </si>
  <si>
    <t>京（2017）朝不动产权第0025249号</t>
  </si>
  <si>
    <t>601-7</t>
  </si>
  <si>
    <t>京（2017）朝不动产权第0024911号</t>
  </si>
  <si>
    <t>601-8</t>
  </si>
  <si>
    <t>京（2017）朝不动产权第0025265号</t>
  </si>
  <si>
    <t>601-9</t>
  </si>
  <si>
    <t>京（2017）朝不动产权第0027553号</t>
  </si>
  <si>
    <t>601-10</t>
  </si>
  <si>
    <t>京（2017）朝不动产权第0027560号</t>
  </si>
  <si>
    <t>601-11</t>
  </si>
  <si>
    <t>京（2017）朝不动产权第0025248号</t>
  </si>
  <si>
    <t>601-12</t>
  </si>
  <si>
    <t>京（2017）朝不动产权第0027565号</t>
  </si>
  <si>
    <t>601-13</t>
  </si>
  <si>
    <t>京（2017）朝不动产权第0027574号</t>
  </si>
  <si>
    <t>601-14</t>
  </si>
  <si>
    <t>京（2017）朝不动产权第0031415号</t>
  </si>
  <si>
    <t>701-1</t>
  </si>
  <si>
    <t>京（2017）朝不动产权第0030944号</t>
  </si>
  <si>
    <t>701-2</t>
  </si>
  <si>
    <t>京（2017）朝不动产权第0031070号</t>
  </si>
  <si>
    <t>701-3</t>
  </si>
  <si>
    <t>京（2017）朝不动产权第0031447号</t>
  </si>
  <si>
    <t>701-4</t>
  </si>
  <si>
    <t>京（2017）朝不动产权第0031202号</t>
  </si>
  <si>
    <t>701-5</t>
  </si>
  <si>
    <t>京（2017）朝不动产权第0031209号</t>
  </si>
  <si>
    <t>701-6</t>
  </si>
  <si>
    <t>京（2017）朝不动产权第0031309号</t>
  </si>
  <si>
    <t>701-7</t>
  </si>
  <si>
    <t>京（2017）朝不动产权第0025335号</t>
  </si>
  <si>
    <t>701-8</t>
  </si>
  <si>
    <t>京（2017）朝不动产权第0027473号</t>
  </si>
  <si>
    <t>701-9</t>
  </si>
  <si>
    <t>京（2017）朝不动产权第0025261号</t>
  </si>
  <si>
    <t>701-10</t>
  </si>
  <si>
    <t>京（2017）朝不动产权第0025263号</t>
  </si>
  <si>
    <t>701-11</t>
  </si>
  <si>
    <t>京（2017）朝不动产权第0025254号</t>
  </si>
  <si>
    <t>701-12</t>
  </si>
  <si>
    <t>京（2017）朝不动产权第0025251号</t>
  </si>
  <si>
    <t>701-13</t>
  </si>
  <si>
    <t>京（2017）朝不动产权第0027583号</t>
  </si>
  <si>
    <t>701-14</t>
  </si>
  <si>
    <t>京（2017）朝不动产权第0031317号</t>
  </si>
  <si>
    <t>801-1</t>
  </si>
  <si>
    <t>京（2017）朝不动产权第0019962号</t>
  </si>
  <si>
    <t>801-2</t>
  </si>
  <si>
    <t>京（2017）朝不动产权第0031411号</t>
  </si>
  <si>
    <t>801-3</t>
  </si>
  <si>
    <t>京（2017）朝不动产权第0031406号</t>
  </si>
  <si>
    <t>801-4</t>
  </si>
  <si>
    <t>京（2017）朝不动产权第0031391号</t>
  </si>
  <si>
    <t>801-5</t>
  </si>
  <si>
    <t>京（2017）朝不动产权第0031389号</t>
  </si>
  <si>
    <t>801-6</t>
  </si>
  <si>
    <t>京（2017）朝不动产权第0031384号</t>
  </si>
  <si>
    <t>801-7</t>
  </si>
  <si>
    <t>京（2017）朝不动产权第0031380号</t>
  </si>
  <si>
    <t>801-8</t>
  </si>
  <si>
    <t>京（2017）朝不动产权第0031376号</t>
  </si>
  <si>
    <t>801-9</t>
  </si>
  <si>
    <t>京（2017）朝不动产权第0031371号</t>
  </si>
  <si>
    <t>801-10</t>
  </si>
  <si>
    <t>京（2017）朝不动产权第0031370号</t>
  </si>
  <si>
    <t>801-11</t>
  </si>
  <si>
    <t>京（2017）朝不动产权第0031367号</t>
  </si>
  <si>
    <t>801-12</t>
  </si>
  <si>
    <t>京（2017）朝不动产权第0031325号</t>
  </si>
  <si>
    <t>801-13</t>
  </si>
  <si>
    <t>京（2017）朝不动产权第0031331号</t>
  </si>
  <si>
    <t>801-14</t>
  </si>
  <si>
    <t>京（2017）朝不动产权第0031333号</t>
  </si>
  <si>
    <t>901-1</t>
  </si>
  <si>
    <t>京（2017）朝不动产权第0031338号</t>
  </si>
  <si>
    <t>901-2</t>
  </si>
  <si>
    <t>京（2017）朝不动产权第0031350号</t>
  </si>
  <si>
    <t>901-3</t>
  </si>
  <si>
    <t>京（2017）朝不动产权第0031354号</t>
  </si>
  <si>
    <t>901-4</t>
  </si>
  <si>
    <t>京（2017）朝不动产权第0031358号</t>
  </si>
  <si>
    <t>901-5</t>
  </si>
  <si>
    <t>京（2017）朝不动产权第0031360号</t>
  </si>
  <si>
    <t>901-6</t>
  </si>
  <si>
    <t>京（2017）朝不动产权第0031223号</t>
  </si>
  <si>
    <t>901-7</t>
  </si>
  <si>
    <t>京（2017）朝不动产权第0031229号</t>
  </si>
  <si>
    <t>901-8</t>
  </si>
  <si>
    <t>京（2017）朝不动产权第0031245号</t>
  </si>
  <si>
    <t>901-9</t>
  </si>
  <si>
    <t>京（2017）朝不动产权第0031234号</t>
  </si>
  <si>
    <t>901-10</t>
  </si>
  <si>
    <t>京（2017）朝不动产权第0031264号</t>
  </si>
  <si>
    <t>901-11</t>
  </si>
  <si>
    <t>京（2017）朝不动产权第0031292号</t>
  </si>
  <si>
    <t>901-12</t>
  </si>
  <si>
    <t>京（2017）朝不动产权第0031287号</t>
  </si>
  <si>
    <t>901-13</t>
  </si>
  <si>
    <t>京（2017）朝不动产权第0031284号</t>
  </si>
  <si>
    <t>901-14</t>
  </si>
  <si>
    <t>京（2017）朝不动产权第0019975号</t>
  </si>
  <si>
    <t>1001-1</t>
  </si>
  <si>
    <t>京（2017）朝不动产权第0019990号</t>
  </si>
  <si>
    <t>1001-2</t>
  </si>
  <si>
    <t>京（2017）朝不动产权第0019957号</t>
  </si>
  <si>
    <t>1001-3</t>
  </si>
  <si>
    <t>京（2017）朝不动产权第0019991号</t>
  </si>
  <si>
    <t>1001-4</t>
  </si>
  <si>
    <t>京（2017）朝不动产权第0020053号</t>
  </si>
  <si>
    <t>1001-5</t>
  </si>
  <si>
    <t>京（2017）朝不动产权第0020057号</t>
  </si>
  <si>
    <t>1001-6</t>
  </si>
  <si>
    <t>京（2017）朝不动产权第0020029号</t>
  </si>
  <si>
    <t>1001-7</t>
  </si>
  <si>
    <t>京（2017）朝不动产权第0020033号</t>
  </si>
  <si>
    <t>1001-8</t>
  </si>
  <si>
    <t>京（2017）朝不动产权第0020017号</t>
  </si>
  <si>
    <t>1001-9</t>
  </si>
  <si>
    <t>京（2017）朝不动产权第0020006号</t>
  </si>
  <si>
    <t>1001-10</t>
  </si>
  <si>
    <t>京（2017）朝不动产权第0031451号</t>
  </si>
  <si>
    <t>1001-11</t>
  </si>
  <si>
    <t>京（2017）朝不动产权第0031455号</t>
  </si>
  <si>
    <t>1001-12</t>
  </si>
  <si>
    <t>京（2017）朝不动产权第0031458号</t>
  </si>
  <si>
    <t>1001-13</t>
  </si>
  <si>
    <t>京（2017）朝不动产权第0031461号</t>
  </si>
  <si>
    <t>1001-14</t>
  </si>
  <si>
    <t>京（2017）朝不动产权第0031409号</t>
  </si>
  <si>
    <t>1101-1</t>
  </si>
  <si>
    <t>京（2017）朝不动产权第0031398号</t>
  </si>
  <si>
    <t>1101-2</t>
  </si>
  <si>
    <t>京（2017）朝不动产权第0031387号</t>
  </si>
  <si>
    <t>1101-3</t>
  </si>
  <si>
    <t>京（2017）朝不动产权第0031374号</t>
  </si>
  <si>
    <t>1101-4</t>
  </si>
  <si>
    <t>京（2017）朝不动产权第0031074号</t>
  </si>
  <si>
    <t>1101-5</t>
  </si>
  <si>
    <t>京（2017）朝不动产权第0031078号</t>
  </si>
  <si>
    <t>1101-6</t>
  </si>
  <si>
    <t>京（2017）朝不动产权第0019989号</t>
  </si>
  <si>
    <t>1101-7</t>
  </si>
  <si>
    <t>京（2017）朝不动产权第0019987号</t>
  </si>
  <si>
    <t>1101-8</t>
  </si>
  <si>
    <t>京（2017）朝不动产权第0020022号</t>
  </si>
  <si>
    <t>1101-9</t>
  </si>
  <si>
    <t>京（2017）朝不动产权第0019993号</t>
  </si>
  <si>
    <t>1101-10</t>
  </si>
  <si>
    <t>京（2017）朝不动产权第0025245号</t>
  </si>
  <si>
    <t>1101-11</t>
  </si>
  <si>
    <t>京（2017）朝不动产权第0022702号</t>
  </si>
  <si>
    <t>1101-12</t>
  </si>
  <si>
    <t>京（2017）朝不动产权第0022639号</t>
  </si>
  <si>
    <t>1101-13</t>
  </si>
  <si>
    <t>京（2017）朝不动产权第0022634号</t>
  </si>
  <si>
    <t>1101-14</t>
  </si>
  <si>
    <t>京（2017）朝不动产权第0022637号</t>
  </si>
  <si>
    <t>1201-1</t>
  </si>
  <si>
    <t>京（2017）朝不动产权第0022640号</t>
  </si>
  <si>
    <t>1201-2</t>
  </si>
  <si>
    <t>京（2017）朝不动产权第0022710号</t>
  </si>
  <si>
    <t>1201-3</t>
  </si>
  <si>
    <t>京（2017）朝不动产权第0022826号</t>
  </si>
  <si>
    <t>1201-4</t>
  </si>
  <si>
    <t>京（2017）朝不动产权第0022814号</t>
  </si>
  <si>
    <t>1201-5</t>
  </si>
  <si>
    <t>京（2017）朝不动产权第0022707号</t>
  </si>
  <si>
    <t>1201-6</t>
  </si>
  <si>
    <t>京（2017）朝不动产权第0022829号</t>
  </si>
  <si>
    <t>1201-7</t>
  </si>
  <si>
    <t>京（2017）朝不动产权第0022804号</t>
  </si>
  <si>
    <t>1201-8</t>
  </si>
  <si>
    <t>京（2017）朝不动产权第0022817号</t>
  </si>
  <si>
    <t>1201-9</t>
  </si>
  <si>
    <t>京（2017）朝不动产权第0022862号</t>
  </si>
  <si>
    <t>1201-10</t>
  </si>
  <si>
    <t>京（2017）朝不动产权第0022851号</t>
  </si>
  <si>
    <t>1201-11</t>
  </si>
  <si>
    <t>京（2017）朝不动产权第0022847号</t>
  </si>
  <si>
    <t>1201-12</t>
  </si>
  <si>
    <t>京（2017）朝不动产权第0031081号</t>
  </si>
  <si>
    <t>1201-13</t>
  </si>
  <si>
    <t>京（2017）朝不动产权第0031003号</t>
  </si>
  <si>
    <t>1201-14</t>
  </si>
  <si>
    <t>京（2017）朝不动产权第0030930号</t>
  </si>
  <si>
    <t>1301-1</t>
  </si>
  <si>
    <t>京（2017）朝不动产权第0030937号</t>
  </si>
  <si>
    <t>1301-2</t>
  </si>
  <si>
    <t>京（2017）朝不动产权第0030948号</t>
  </si>
  <si>
    <t>1301-3</t>
  </si>
  <si>
    <t>京（2017）朝不动产权第0030876号</t>
  </si>
  <si>
    <t>1301-4</t>
  </si>
  <si>
    <t>京（2017）朝不动产权第0030878号</t>
  </si>
  <si>
    <t>1301-5</t>
  </si>
  <si>
    <t>京（2017）朝不动产权第0030889号</t>
  </si>
  <si>
    <t>1301-6</t>
  </si>
  <si>
    <t>京（2017）朝不动产权第0030883号</t>
  </si>
  <si>
    <t>1301-7</t>
  </si>
  <si>
    <t>京（2017）朝不动产权第0030894号</t>
  </si>
  <si>
    <t>1301-8</t>
  </si>
  <si>
    <t>京（2017）朝不动产权第0030897号</t>
  </si>
  <si>
    <t>1301-9</t>
  </si>
  <si>
    <t>京（2017）朝不动产权第0030873号</t>
  </si>
  <si>
    <t>1301-10</t>
  </si>
  <si>
    <t>京（2017）朝不动产权第0030903号</t>
  </si>
  <si>
    <t>1301-11</t>
  </si>
  <si>
    <t>京（2017）朝不动产权第0030908号</t>
  </si>
  <si>
    <t>1301-12</t>
  </si>
  <si>
    <t>京（2017）朝不动产权第0031088号</t>
  </si>
  <si>
    <t>1301-13</t>
  </si>
  <si>
    <t>京（2017）朝不动产权第0030953号</t>
  </si>
  <si>
    <t>1301-14</t>
  </si>
  <si>
    <t>京（2017）朝不动产权第0030958号</t>
  </si>
  <si>
    <t>1401-1</t>
  </si>
  <si>
    <t>京（2017）朝不动产权第0030964号</t>
  </si>
  <si>
    <t>1401-2</t>
  </si>
  <si>
    <t>京（2017）朝不动产权第0030967号</t>
  </si>
  <si>
    <t>1401-3</t>
  </si>
  <si>
    <t>京（2017）朝不动产权第0030971号</t>
  </si>
  <si>
    <t>1401-4</t>
  </si>
  <si>
    <t>京（2017）朝不动产权第0034383号</t>
  </si>
  <si>
    <t>1401-5</t>
  </si>
  <si>
    <t>京（2017）朝不动产权第0031043号</t>
  </si>
  <si>
    <t>1401-6</t>
  </si>
  <si>
    <t>京（2017）朝不动产权第0031055号</t>
  </si>
  <si>
    <t>1401-7</t>
  </si>
  <si>
    <t>京（2017）朝不动产权第0022865号</t>
  </si>
  <si>
    <t>1401-8</t>
  </si>
  <si>
    <t>京（2017）朝不动产权第0031063号</t>
  </si>
  <si>
    <t>1501-1</t>
  </si>
  <si>
    <t>京（2017）朝不动产权第0030994号</t>
  </si>
  <si>
    <t>1501-2</t>
  </si>
  <si>
    <t>京（2017）朝不动产权第0034312号</t>
  </si>
  <si>
    <t>1501-3</t>
  </si>
  <si>
    <t>京（2017）朝不动产权第0030997号</t>
  </si>
  <si>
    <t>1501-4</t>
  </si>
  <si>
    <t>京（2017）朝不动产权第0031067号</t>
  </si>
  <si>
    <t>1501-5</t>
  </si>
  <si>
    <t>京（2017）朝不动产权第0030923号</t>
  </si>
  <si>
    <t>1501-6</t>
  </si>
  <si>
    <t>京（2017）朝不动产权第0030864号</t>
  </si>
  <si>
    <t>1501-7</t>
  </si>
  <si>
    <t>京（2017）朝不动产权第0022712号</t>
  </si>
  <si>
    <t>1501-8</t>
  </si>
  <si>
    <t>京（2017）朝不动产权第0019838号</t>
  </si>
  <si>
    <t>1601-1</t>
  </si>
  <si>
    <t>京（2017）朝不动产权第0019839号</t>
  </si>
  <si>
    <t>1601-2</t>
  </si>
  <si>
    <t>京（2017）朝不动产权第0019841号</t>
  </si>
  <si>
    <t>1601-3</t>
  </si>
  <si>
    <t>京（2017）朝不动产权第0019787号</t>
  </si>
  <si>
    <t>1601-4</t>
  </si>
  <si>
    <t>京（2017）朝不动产权第0019843号</t>
  </si>
  <si>
    <t>1601-5</t>
  </si>
  <si>
    <t>京（2017）朝不动产权第0019789号</t>
  </si>
  <si>
    <t>1601-6</t>
  </si>
  <si>
    <t>京（2017）朝不动产权第0019792号</t>
  </si>
  <si>
    <t>1601-7</t>
  </si>
  <si>
    <t>京（2017）朝不动产权第0022810号</t>
  </si>
  <si>
    <t>1601-8</t>
  </si>
  <si>
    <t>京（2017）朝不动产权第0019981号</t>
  </si>
  <si>
    <t>1701-1</t>
  </si>
  <si>
    <t>京（2017）朝不动产权第0019980号</t>
  </si>
  <si>
    <t>1701-2</t>
  </si>
  <si>
    <t>京（2017）朝不动产权第0025050号</t>
  </si>
  <si>
    <t>1701-3</t>
  </si>
  <si>
    <t>京（2017）朝不动产权第0019973号</t>
  </si>
  <si>
    <t>1701-4</t>
  </si>
  <si>
    <t>京（2017）朝不动产权第0019984号</t>
  </si>
  <si>
    <t>1701-5</t>
  </si>
  <si>
    <t>京（2017）朝不动产权第0019983号</t>
  </si>
  <si>
    <t>1701-6</t>
  </si>
  <si>
    <t>京（2017）朝不动产权第0019982号</t>
  </si>
  <si>
    <t>1701-7</t>
  </si>
  <si>
    <t>京（2017）朝不动产权第0019978号</t>
  </si>
  <si>
    <t>1701-8</t>
  </si>
  <si>
    <t>京（2017）朝不动产权第0019793号</t>
  </si>
  <si>
    <t>1801-1</t>
  </si>
  <si>
    <t>京（2017）朝不动产权第0019865号</t>
  </si>
  <si>
    <t>1801-2</t>
  </si>
  <si>
    <t>京（2017）朝不动产权第0019866号</t>
  </si>
  <si>
    <t>1801-3</t>
  </si>
  <si>
    <t>京（2017）朝不动产权第0019869号</t>
  </si>
  <si>
    <t>1801-4</t>
  </si>
  <si>
    <t>京（2017）朝不动产权第0019867号</t>
  </si>
  <si>
    <t>1801-5</t>
  </si>
  <si>
    <t>京（2017）朝不动产权第0019863号</t>
  </si>
  <si>
    <t>1801-6</t>
  </si>
  <si>
    <t>京（2017）朝不动产权第0019861号</t>
  </si>
  <si>
    <t>1801-7</t>
  </si>
  <si>
    <t>京（2017）朝不动产权第0019862号</t>
  </si>
  <si>
    <t>1801-8</t>
  </si>
  <si>
    <t>京（2017）朝不动产权第0022708号</t>
  </si>
  <si>
    <t>1901-1</t>
  </si>
  <si>
    <t>京（2017）朝不动产权第0022713号</t>
  </si>
  <si>
    <t>1901-2</t>
  </si>
  <si>
    <t>京（2017）朝不动产权第0022715号</t>
  </si>
  <si>
    <t>1901-3</t>
  </si>
  <si>
    <t>京（2017）朝不动产权第0022711号</t>
  </si>
  <si>
    <t>1901-4</t>
  </si>
  <si>
    <t>京（2017）朝不动产权第0022705号</t>
  </si>
  <si>
    <t>1901-5</t>
  </si>
  <si>
    <t>京（2017）朝不动产权第0022703号</t>
  </si>
  <si>
    <t>1901-6</t>
  </si>
  <si>
    <t>京（2017）朝不动产权第0022636号</t>
  </si>
  <si>
    <t>1901-7</t>
  </si>
  <si>
    <t>京（2017）朝不动产权第0022638号</t>
  </si>
  <si>
    <t>1901-8</t>
  </si>
  <si>
    <t>京（2017）朝不动产权第0025053号</t>
  </si>
  <si>
    <t>2001-1</t>
  </si>
  <si>
    <t>京（2017）朝不动产权第0025058号</t>
  </si>
  <si>
    <t>2001-2</t>
  </si>
  <si>
    <t>京（2017）朝不动产权第0025065号</t>
  </si>
  <si>
    <t>2001-3</t>
  </si>
  <si>
    <t>京（2017）朝不动产权第0025070号</t>
  </si>
  <si>
    <t>2001-4</t>
  </si>
  <si>
    <t>京（2017）朝不动产权第0025259号</t>
  </si>
  <si>
    <t>2001-5</t>
  </si>
  <si>
    <t>京（2017）朝不动产权第0025258号</t>
  </si>
  <si>
    <t>2001-6</t>
  </si>
  <si>
    <t>京（2017）朝不动产权第0025067号</t>
  </si>
  <si>
    <t>2001-7</t>
  </si>
  <si>
    <t>京（2017）朝不动产权第0025048号</t>
  </si>
  <si>
    <t>2001-8</t>
  </si>
  <si>
    <t>京（2017）朝不动产权第0025253号</t>
  </si>
  <si>
    <t>2101-1</t>
  </si>
  <si>
    <t>京（2017）朝不动产权第0025260号</t>
  </si>
  <si>
    <t>2101-2</t>
  </si>
  <si>
    <t>京（2017）朝不动产权第0025062号</t>
  </si>
  <si>
    <t>2101-3</t>
  </si>
  <si>
    <t>京（2017）朝不动产权第0025038号</t>
  </si>
  <si>
    <t>2101-4</t>
  </si>
  <si>
    <t>京（2017）朝不动产权第0025255号</t>
  </si>
  <si>
    <t>2101-5</t>
  </si>
  <si>
    <r>
      <rPr>
        <sz val="10"/>
        <rFont val="宋体"/>
        <family val="3"/>
        <charset val="134"/>
      </rPr>
      <t>京（</t>
    </r>
    <r>
      <rPr>
        <sz val="10"/>
        <rFont val="Times New Roman"/>
        <family val="1"/>
      </rPr>
      <t>2017</t>
    </r>
    <r>
      <rPr>
        <sz val="10"/>
        <rFont val="宋体"/>
        <family val="3"/>
        <charset val="134"/>
      </rPr>
      <t>）朝不动产权第</t>
    </r>
    <r>
      <rPr>
        <sz val="10"/>
        <rFont val="Times New Roman"/>
        <family val="1"/>
      </rPr>
      <t>0024940</t>
    </r>
    <r>
      <rPr>
        <sz val="10"/>
        <rFont val="宋体"/>
        <family val="3"/>
        <charset val="134"/>
      </rPr>
      <t>号</t>
    </r>
    <phoneticPr fontId="3" type="noConversion"/>
  </si>
  <si>
    <t>2101-6</t>
  </si>
  <si>
    <t>京（2017）朝不动产权第0024954号</t>
  </si>
  <si>
    <t>2202-1</t>
  </si>
  <si>
    <t>京（2017）朝不动产权第0024958号</t>
  </si>
  <si>
    <t>2202-2</t>
  </si>
  <si>
    <t>京（2017）朝不动产权第0025227号</t>
  </si>
  <si>
    <t>2202-3</t>
  </si>
  <si>
    <t>京（2017）朝不动产权第0024967号</t>
  </si>
  <si>
    <t>2202-4</t>
  </si>
  <si>
    <t>京（2017）朝不动产权第0024977号</t>
  </si>
  <si>
    <t>2202-5</t>
  </si>
  <si>
    <t>京（2017）朝不动产权第0024995号</t>
  </si>
  <si>
    <t>2202-6</t>
  </si>
  <si>
    <t>京（2017）朝不动产权第0024997号</t>
  </si>
  <si>
    <t>2301-1</t>
  </si>
  <si>
    <t>京（2017）朝不动产权第0025005号</t>
  </si>
  <si>
    <t>2301-2</t>
  </si>
  <si>
    <t>京（2017）朝不动产权第0025045号</t>
  </si>
  <si>
    <t>2301-3</t>
  </si>
  <si>
    <t>京（2017）朝不动产权第0025264号</t>
  </si>
  <si>
    <t>2301-4</t>
  </si>
  <si>
    <t>京（2017）朝不动产权第0025316号</t>
  </si>
  <si>
    <t>2301-5</t>
  </si>
  <si>
    <t>京（2017）朝不动产权第0025342号</t>
  </si>
  <si>
    <t>2301-6</t>
  </si>
  <si>
    <t/>
  </si>
  <si>
    <t>合     计</t>
  </si>
  <si>
    <t>减：房屋建筑物减值准备</t>
  </si>
  <si>
    <r>
      <t>合</t>
    </r>
    <r>
      <rPr>
        <sz val="10"/>
        <rFont val="Times New Roman"/>
        <family val="1"/>
      </rPr>
      <t xml:space="preserve">            </t>
    </r>
    <r>
      <rPr>
        <sz val="10"/>
        <rFont val="宋体"/>
        <family val="3"/>
        <charset val="134"/>
      </rPr>
      <t>计</t>
    </r>
  </si>
  <si>
    <t>是</t>
  </si>
  <si>
    <t>地上</t>
  </si>
  <si>
    <t>公寓</t>
  </si>
  <si>
    <t>底商</t>
  </si>
  <si>
    <t>底商</t>
    <phoneticPr fontId="7" type="noConversion"/>
  </si>
  <si>
    <t>酒店式公寓1201-1</t>
  </si>
  <si>
    <t>成新度</t>
  </si>
  <si>
    <t>现房</t>
  </si>
  <si>
    <t>郑燚</t>
  </si>
  <si>
    <t>王鹏</t>
  </si>
  <si>
    <t>福州泰禾锦兴置业有限公司</t>
    <phoneticPr fontId="6" type="noConversion"/>
  </si>
  <si>
    <t>抵押</t>
  </si>
  <si>
    <t>房地产抵押价值</t>
  </si>
  <si>
    <t>北京市</t>
  </si>
  <si>
    <t>企业</t>
  </si>
  <si>
    <t>出让</t>
  </si>
  <si>
    <t>配套商业、酒店式公寓</t>
    <phoneticPr fontId="6" type="noConversion"/>
  </si>
  <si>
    <t>否</t>
  </si>
  <si>
    <t>《不动产权证书》</t>
  </si>
  <si>
    <t>复印件</t>
  </si>
  <si>
    <t>综合项目（商业、办公）</t>
  </si>
  <si>
    <t>通路</t>
  </si>
  <si>
    <t>通电</t>
  </si>
  <si>
    <t>通讯</t>
  </si>
  <si>
    <t>通上水</t>
  </si>
  <si>
    <t>通下水</t>
  </si>
  <si>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</si>
  <si>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</si>
  <si>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</si>
  <si>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</si>
  <si>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</si>
  <si>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</si>
  <si>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</si>
  <si>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6"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</si>
  <si>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</si>
  <si>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</si>
  <si>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</si>
  <si>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6" type="noConversion"/>
  </si>
  <si>
    <r>
      <rPr>
        <sz val="10"/>
        <color indexed="8"/>
        <rFont val="宋体"/>
        <family val="3"/>
        <charset val="134"/>
      </rPr>
      <t>坐落</t>
    </r>
    <phoneticPr fontId="85" type="noConversion"/>
  </si>
  <si>
    <r>
      <rPr>
        <sz val="10"/>
        <color theme="9" tint="-0.249977111117893"/>
        <rFont val="宋体"/>
        <family val="3"/>
        <charset val="134"/>
      </rPr>
      <t>朝阳区东四环中路</t>
    </r>
    <r>
      <rPr>
        <sz val="10"/>
        <color theme="9" tint="-0.249977111117893"/>
        <rFont val="Arial"/>
        <family val="2"/>
      </rPr>
      <t>58</t>
    </r>
    <r>
      <rPr>
        <sz val="10"/>
        <color theme="9" tint="-0.249977111117893"/>
        <rFont val="宋体"/>
        <family val="3"/>
        <charset val="134"/>
      </rPr>
      <t>号楼配套商业、酒店式公寓用房</t>
    </r>
    <phoneticPr fontId="6" type="noConversion"/>
  </si>
  <si>
    <r>
      <rPr>
        <sz val="10"/>
        <color indexed="8"/>
        <rFont val="宋体"/>
        <family val="3"/>
        <charset val="134"/>
      </rPr>
      <t>不动产权利人</t>
    </r>
    <phoneticPr fontId="6" type="noConversion"/>
  </si>
  <si>
    <r>
      <rPr>
        <sz val="10"/>
        <color indexed="8"/>
        <rFont val="宋体"/>
        <family val="3"/>
        <charset val="134"/>
      </rPr>
      <t>土地性质</t>
    </r>
    <phoneticPr fontId="85"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</si>
  <si>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</si>
  <si>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</si>
  <si>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</si>
  <si>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</si>
  <si>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</si>
  <si>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</si>
  <si>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</si>
  <si>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</si>
  <si>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</si>
  <si>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</si>
  <si>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</si>
  <si>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6" type="noConversion"/>
  </si>
  <si>
    <r>
      <t>25.85</t>
    </r>
    <r>
      <rPr>
        <sz val="10"/>
        <color theme="9" tint="-0.249977111117893"/>
        <rFont val="宋体"/>
        <family val="3"/>
        <charset val="134"/>
      </rPr>
      <t>年</t>
    </r>
    <phoneticPr fontId="6"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</si>
  <si>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</si>
  <si>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</si>
  <si>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</si>
  <si>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京（</t>
    </r>
    <r>
      <rPr>
        <sz val="10"/>
        <color theme="9" tint="-0.249977111117893"/>
        <rFont val="Arial"/>
        <family val="2"/>
      </rPr>
      <t>2017</t>
    </r>
    <r>
      <rPr>
        <sz val="10"/>
        <color theme="9" tint="-0.249977111117893"/>
        <rFont val="宋体"/>
        <family val="3"/>
        <charset val="134"/>
      </rPr>
      <t>）朝不动产权第</t>
    </r>
    <r>
      <rPr>
        <sz val="10"/>
        <color theme="9" tint="-0.249977111117893"/>
        <rFont val="Arial"/>
        <family val="2"/>
      </rPr>
      <t>0064885</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等</t>
    </r>
    <r>
      <rPr>
        <sz val="10"/>
        <color theme="9" tint="-0.249977111117893"/>
        <rFont val="Arial"/>
        <family val="2"/>
      </rPr>
      <t>229</t>
    </r>
    <r>
      <rPr>
        <sz val="10"/>
        <color theme="9" tint="-0.249977111117893"/>
        <rFont val="宋体"/>
        <family val="3"/>
        <charset val="134"/>
      </rPr>
      <t>套</t>
    </r>
    <phoneticPr fontId="6"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</si>
  <si>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</si>
  <si>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</si>
  <si>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</si>
  <si>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</si>
  <si>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</si>
  <si>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</si>
  <si>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</si>
  <si>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</si>
  <si>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</si>
  <si>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</si>
  <si>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</si>
  <si>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</si>
  <si>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</si>
  <si>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</si>
  <si>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</si>
  <si>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</si>
  <si>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</si>
  <si>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</si>
  <si>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</si>
  <si>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</si>
  <si>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</si>
  <si>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</si>
  <si>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</si>
  <si>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</si>
  <si>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</si>
  <si>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</si>
  <si>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</si>
  <si>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</si>
  <si>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</si>
  <si>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</si>
  <si>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</si>
  <si>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</si>
  <si>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</si>
  <si>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</si>
  <si>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</si>
  <si>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</si>
  <si>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</si>
  <si>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</si>
  <si>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</si>
  <si>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</si>
  <si>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t>新装修</t>
    <phoneticPr fontId="6" type="noConversion"/>
  </si>
  <si>
    <t>待定</t>
    <phoneticPr fontId="6" type="noConversion"/>
  </si>
  <si>
    <t>2018-1-00</t>
    <phoneticPr fontId="6" type="noConversion"/>
  </si>
  <si>
    <t>已注销</t>
  </si>
  <si>
    <t>收益法 (1201-1)</t>
  </si>
  <si>
    <t>收益法 (1201-1)</t>
    <phoneticPr fontId="16" type="noConversion"/>
  </si>
  <si>
    <t>收益法</t>
  </si>
  <si>
    <t>比较法-公寓</t>
    <phoneticPr fontId="16" type="noConversion"/>
  </si>
  <si>
    <t>东四环中路</t>
    <phoneticPr fontId="3" type="noConversion"/>
  </si>
  <si>
    <t>售价</t>
  </si>
  <si>
    <t>20-30（含）</t>
  </si>
  <si>
    <t>正常</t>
  </si>
  <si>
    <t>东四环中路58号</t>
    <phoneticPr fontId="3" type="noConversion"/>
  </si>
  <si>
    <t>住宅</t>
  </si>
  <si>
    <t>住宅</t>
    <phoneticPr fontId="25" type="noConversion"/>
  </si>
  <si>
    <t>较好</t>
  </si>
  <si>
    <t>好</t>
  </si>
  <si>
    <t>七通</t>
  </si>
  <si>
    <t>远洋天地三期</t>
    <phoneticPr fontId="3" type="noConversion"/>
  </si>
  <si>
    <t>钢混</t>
  </si>
  <si>
    <t>钢混</t>
    <phoneticPr fontId="25" type="noConversion"/>
  </si>
  <si>
    <t>塔楼</t>
  </si>
  <si>
    <t>精装</t>
  </si>
  <si>
    <t>精装</t>
    <phoneticPr fontId="25" type="noConversion"/>
  </si>
  <si>
    <t>七通</t>
    <phoneticPr fontId="25" type="noConversion"/>
  </si>
  <si>
    <t>六通</t>
  </si>
  <si>
    <t>六通</t>
    <phoneticPr fontId="25" type="noConversion"/>
  </si>
  <si>
    <t>五通</t>
  </si>
  <si>
    <t>五通</t>
    <phoneticPr fontId="25" type="noConversion"/>
  </si>
  <si>
    <t>四通</t>
    <phoneticPr fontId="25" type="noConversion"/>
  </si>
  <si>
    <t>三通</t>
    <phoneticPr fontId="25" type="noConversion"/>
  </si>
  <si>
    <t>平层</t>
  </si>
  <si>
    <t>平层</t>
    <phoneticPr fontId="25" type="noConversion"/>
  </si>
  <si>
    <t>复式</t>
    <phoneticPr fontId="25" type="noConversion"/>
  </si>
  <si>
    <t>精装修</t>
  </si>
  <si>
    <t>精装修</t>
    <phoneticPr fontId="25" type="noConversion"/>
  </si>
  <si>
    <t>普通</t>
    <phoneticPr fontId="25" type="noConversion"/>
  </si>
  <si>
    <t>毛坯</t>
  </si>
  <si>
    <t>毛坯</t>
    <phoneticPr fontId="25" type="noConversion"/>
  </si>
  <si>
    <t>50-60（含）</t>
  </si>
  <si>
    <t>开放社区</t>
  </si>
  <si>
    <t>开放社区</t>
    <phoneticPr fontId="25" type="noConversion"/>
  </si>
  <si>
    <t>封闭社区</t>
  </si>
  <si>
    <t>封闭社区</t>
    <phoneticPr fontId="25" type="noConversion"/>
  </si>
  <si>
    <t>南北</t>
    <phoneticPr fontId="25" type="noConversion"/>
  </si>
  <si>
    <t>偏东北</t>
    <phoneticPr fontId="25" type="noConversion"/>
  </si>
  <si>
    <t>北</t>
    <phoneticPr fontId="25" type="noConversion"/>
  </si>
  <si>
    <t>朝向</t>
    <phoneticPr fontId="25" type="noConversion"/>
  </si>
  <si>
    <t>楼层</t>
    <phoneticPr fontId="25" type="noConversion"/>
  </si>
  <si>
    <t>西</t>
    <phoneticPr fontId="25" type="noConversion"/>
  </si>
  <si>
    <t>八里庄西里</t>
    <phoneticPr fontId="3" type="noConversion"/>
  </si>
  <si>
    <t>远洋天地二期</t>
    <phoneticPr fontId="3" type="noConversion"/>
  </si>
  <si>
    <t>中楼层</t>
    <phoneticPr fontId="25" type="noConversion"/>
  </si>
  <si>
    <t>低楼层</t>
    <phoneticPr fontId="25" type="noConversion"/>
  </si>
  <si>
    <t>高楼层</t>
    <phoneticPr fontId="25" type="noConversion"/>
  </si>
  <si>
    <t>南北</t>
    <phoneticPr fontId="25" type="noConversion"/>
  </si>
  <si>
    <t>远洋天地一期</t>
    <phoneticPr fontId="3" type="noConversion"/>
  </si>
  <si>
    <t>塔楼</t>
    <phoneticPr fontId="25" type="noConversion"/>
  </si>
  <si>
    <t>板楼</t>
  </si>
  <si>
    <t>板楼</t>
    <phoneticPr fontId="25" type="noConversion"/>
  </si>
  <si>
    <t>押一</t>
  </si>
  <si>
    <t>非生产用房</t>
  </si>
  <si>
    <t>项目局部</t>
  </si>
  <si>
    <t>比较法-住宅</t>
  </si>
  <si>
    <t>住宅酒店式公寓1201</t>
  </si>
  <si>
    <t>住宅酒店式公寓1201</t>
    <phoneticPr fontId="7" type="noConversion"/>
  </si>
  <si>
    <t>住宅酒店式公寓其他</t>
  </si>
  <si>
    <t>住宅酒店式公寓其他</t>
    <phoneticPr fontId="7"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</si>
  <si>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</si>
  <si>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t>朝向</t>
    <phoneticPr fontId="25" type="noConversion"/>
  </si>
  <si>
    <t>典型</t>
    <phoneticPr fontId="25" type="noConversion"/>
  </si>
  <si>
    <t>钢混</t>
    <phoneticPr fontId="3" type="noConversion"/>
  </si>
  <si>
    <t>押二</t>
  </si>
  <si>
    <t>一层</t>
    <phoneticPr fontId="3" type="noConversion"/>
  </si>
  <si>
    <t>二层</t>
    <phoneticPr fontId="3" type="noConversion"/>
  </si>
  <si>
    <t>比较法-商业</t>
  </si>
  <si>
    <t>居住用地（指二类居住用地）</t>
  </si>
  <si>
    <t>自定义容积率</t>
  </si>
  <si>
    <t>无</t>
  </si>
  <si>
    <t>有</t>
  </si>
  <si>
    <t>500米范围内</t>
  </si>
  <si>
    <t>七通一平</t>
  </si>
  <si>
    <t>一致</t>
  </si>
  <si>
    <t>按公示增长率计算</t>
  </si>
  <si>
    <t>容积率修正</t>
  </si>
  <si>
    <t>不临58条商业街</t>
  </si>
  <si>
    <t>一般</t>
  </si>
  <si>
    <t>未包含在土地购买价格中</t>
  </si>
  <si>
    <t>全部缴纳</t>
  </si>
  <si>
    <t>比较法</t>
    <phoneticPr fontId="143" type="noConversion"/>
  </si>
  <si>
    <t>成本法</t>
  </si>
  <si>
    <t>成本法</t>
    <phoneticPr fontId="143" type="noConversion"/>
  </si>
  <si>
    <t>权重</t>
    <phoneticPr fontId="143" type="noConversion"/>
  </si>
  <si>
    <t>楼面单价</t>
    <phoneticPr fontId="143" type="noConversion"/>
  </si>
  <si>
    <t>合计</t>
    <phoneticPr fontId="143" type="noConversion"/>
  </si>
  <si>
    <t>商业</t>
    <phoneticPr fontId="31" type="noConversion"/>
  </si>
  <si>
    <t>较好</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</si>
  <si>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</si>
  <si>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</si>
  <si>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</si>
  <si>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</si>
  <si>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</si>
  <si>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1-2</t>
  </si>
  <si>
    <t>1-2</t>
    <phoneticPr fontId="31" type="noConversion"/>
  </si>
  <si>
    <t>综合商业体</t>
  </si>
  <si>
    <t>综合商业体</t>
    <phoneticPr fontId="31" type="noConversion"/>
  </si>
  <si>
    <t>商业街商铺</t>
    <phoneticPr fontId="31" type="noConversion"/>
  </si>
  <si>
    <t>写字楼底商</t>
    <phoneticPr fontId="31" type="noConversion"/>
  </si>
  <si>
    <t>住宅底商</t>
  </si>
  <si>
    <t>住宅底商</t>
    <phoneticPr fontId="31" type="noConversion"/>
  </si>
  <si>
    <t>钢混</t>
    <phoneticPr fontId="31" type="noConversion"/>
  </si>
  <si>
    <t>精装修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</si>
  <si>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</si>
  <si>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</si>
  <si>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</si>
  <si>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</si>
  <si>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</si>
  <si>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</si>
  <si>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不受限制</t>
  </si>
  <si>
    <t>不受限制</t>
    <phoneticPr fontId="31" type="noConversion"/>
  </si>
  <si>
    <t>不可餐饮</t>
  </si>
  <si>
    <t>不可餐饮</t>
    <phoneticPr fontId="31" type="noConversion"/>
  </si>
  <si>
    <t>标准</t>
  </si>
  <si>
    <t>标准</t>
    <phoneticPr fontId="31" type="noConversion"/>
  </si>
  <si>
    <t>挑高</t>
    <phoneticPr fontId="31" type="noConversion"/>
  </si>
  <si>
    <t>好</t>
    <phoneticPr fontId="31" type="noConversion"/>
  </si>
  <si>
    <t>一般</t>
    <phoneticPr fontId="31" type="noConversion"/>
  </si>
  <si>
    <t>较差</t>
    <phoneticPr fontId="31" type="noConversion"/>
  </si>
  <si>
    <t>差</t>
    <phoneticPr fontId="31" type="noConversion"/>
  </si>
  <si>
    <t>精装修</t>
    <phoneticPr fontId="31" type="noConversion"/>
  </si>
  <si>
    <t>普通装修</t>
    <phoneticPr fontId="31" type="noConversion"/>
  </si>
  <si>
    <t>苏宁巴黎贝甜</t>
    <phoneticPr fontId="31" type="noConversion"/>
  </si>
  <si>
    <r>
      <t>2000</t>
    </r>
    <r>
      <rPr>
        <sz val="11"/>
        <rFont val="宋体"/>
        <family val="3"/>
        <charset val="134"/>
      </rPr>
      <t>年</t>
    </r>
    <phoneticPr fontId="31" type="noConversion"/>
  </si>
  <si>
    <t>10-20（含）</t>
  </si>
  <si>
    <r>
      <rPr>
        <sz val="11"/>
        <color theme="9" tint="-0.249977111117893"/>
        <rFont val="宋体"/>
        <family val="3"/>
        <charset val="134"/>
      </rPr>
      <t>住邦</t>
    </r>
    <r>
      <rPr>
        <sz val="11"/>
        <color theme="9" tint="-0.249977111117893"/>
        <rFont val="Arial"/>
        <family val="2"/>
      </rPr>
      <t>2000</t>
    </r>
    <phoneticPr fontId="31" type="noConversion"/>
  </si>
  <si>
    <t>后现代城五期</t>
    <phoneticPr fontId="31" type="noConversion"/>
  </si>
  <si>
    <t>底商</t>
    <phoneticPr fontId="143" type="noConversion"/>
  </si>
  <si>
    <t>公寓</t>
    <phoneticPr fontId="143" type="noConversion"/>
  </si>
  <si>
    <t>收益法</t>
    <phoneticPr fontId="143" type="noConversion"/>
  </si>
  <si>
    <t>总计</t>
    <phoneticPr fontId="143" type="noConversion"/>
  </si>
  <si>
    <t>楼面单价</t>
    <phoneticPr fontId="143" type="noConversion"/>
  </si>
  <si>
    <t>总价</t>
    <phoneticPr fontId="143" type="noConversion"/>
  </si>
  <si>
    <t>其他商服用地</t>
  </si>
  <si>
    <r>
      <rPr>
        <sz val="11"/>
        <color theme="9" tint="-0.249977111117893"/>
        <rFont val="宋体"/>
        <family val="3"/>
        <charset val="134"/>
      </rPr>
      <t>远洋国际</t>
    </r>
    <r>
      <rPr>
        <sz val="11"/>
        <color theme="9" tint="-0.249977111117893"/>
        <rFont val="Arial"/>
        <family val="2"/>
      </rPr>
      <t>B</t>
    </r>
    <r>
      <rPr>
        <sz val="11"/>
        <color theme="9" tint="-0.249977111117893"/>
        <rFont val="宋体"/>
        <family val="3"/>
        <charset val="134"/>
      </rPr>
      <t>座底商</t>
    </r>
    <phoneticPr fontId="31" type="noConversion"/>
  </si>
  <si>
    <r>
      <rPr>
        <b/>
        <sz val="11"/>
        <rFont val="宋体"/>
        <family val="3"/>
        <charset val="134"/>
      </rPr>
      <t>底商比较价值（楼面单价，元</t>
    </r>
    <r>
      <rPr>
        <b/>
        <sz val="11"/>
        <rFont val="Arial"/>
        <family val="2"/>
      </rPr>
      <t>/</t>
    </r>
    <r>
      <rPr>
        <b/>
        <sz val="11"/>
        <rFont val="宋体"/>
        <family val="3"/>
        <charset val="134"/>
      </rPr>
      <t>平方米）</t>
    </r>
    <phoneticPr fontId="3" type="noConversion"/>
  </si>
  <si>
    <t>一层</t>
    <phoneticPr fontId="143" type="noConversion"/>
  </si>
  <si>
    <t>估价对象2</t>
    <phoneticPr fontId="143" type="noConversion"/>
  </si>
  <si>
    <t>——</t>
    <phoneticPr fontId="143" type="noConversion"/>
  </si>
  <si>
    <t>内部装修</t>
    <phoneticPr fontId="25" type="noConversion"/>
  </si>
  <si>
    <t>精装修</t>
    <phoneticPr fontId="25" type="noConversion"/>
  </si>
  <si>
    <t>普通装修</t>
    <phoneticPr fontId="25" type="noConversion"/>
  </si>
  <si>
    <t>毛坯</t>
    <phoneticPr fontId="25" type="noConversion"/>
  </si>
  <si>
    <t>项目</t>
    <phoneticPr fontId="143" type="noConversion"/>
  </si>
  <si>
    <t>建筑面积</t>
    <phoneticPr fontId="143" type="noConversion"/>
  </si>
  <si>
    <t>建筑面积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</si>
</sst>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8"/>
      <name val="黑体"/>
      <family val="3"/>
      <charset val="134"/>
    </font>
    <font>
      <sz val="18"/>
      <name val="Times New Roman"/>
      <family val="1"/>
    </font>
    <font>
      <sz val="10"/>
      <name val="Times New Roman"/>
      <family val="1"/>
    </font>
    <font>
      <vertAlign val="superscript"/>
      <sz val="10"/>
      <name val="Times New Roman"/>
      <family val="1"/>
    </font>
    <font>
      <sz val="10"/>
      <name val="Arial Narrow"/>
      <family val="2"/>
    </font>
    <font>
      <sz val="10"/>
      <color theme="1"/>
      <name val="Arial Narrow"/>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2" fillId="0" borderId="0" applyFont="0" applyFill="0" applyBorder="0" applyAlignment="0" applyProtection="0">
      <alignment vertical="center"/>
    </xf>
    <xf numFmtId="0" fontId="37" fillId="0" borderId="0"/>
    <xf numFmtId="197" fontId="98" fillId="0" borderId="0">
      <alignment vertical="center"/>
    </xf>
    <xf numFmtId="9" fontId="259" fillId="0" borderId="0" applyFont="0" applyFill="0" applyBorder="0" applyAlignment="0" applyProtection="0">
      <alignment vertical="center"/>
    </xf>
  </cellStyleXfs>
  <cellXfs count="33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0"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2" fillId="7" borderId="0" xfId="0" applyNumberFormat="1" applyFont="1" applyFill="1" applyAlignment="1" applyProtection="1">
      <alignment horizontal="center" vertical="center"/>
      <protection locked="0"/>
    </xf>
    <xf numFmtId="0" fontId="242" fillId="7" borderId="0" xfId="0" applyFont="1" applyFill="1" applyAlignment="1" applyProtection="1">
      <alignment horizontal="center" vertical="center"/>
      <protection locked="0"/>
    </xf>
    <xf numFmtId="0" fontId="242"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2" fillId="7" borderId="0" xfId="0" applyFont="1" applyFill="1" applyAlignment="1" applyProtection="1">
      <alignment horizontal="center" vertical="center" wrapText="1"/>
      <protection locked="0"/>
    </xf>
    <xf numFmtId="0" fontId="242"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2" fillId="6" borderId="0" xfId="0" applyFont="1" applyFill="1" applyBorder="1" applyAlignment="1" applyProtection="1">
      <alignment vertical="center"/>
    </xf>
    <xf numFmtId="0" fontId="242"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7"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4" fillId="0" borderId="0" xfId="0" applyFont="1" applyAlignment="1">
      <alignment vertical="center" wrapText="1"/>
    </xf>
    <xf numFmtId="0" fontId="254" fillId="0" borderId="0" xfId="0" applyFont="1" applyAlignment="1">
      <alignment vertical="center"/>
    </xf>
    <xf numFmtId="0" fontId="255" fillId="0" borderId="0" xfId="0" applyFont="1" applyAlignment="1">
      <alignment vertical="center"/>
    </xf>
    <xf numFmtId="176" fontId="255" fillId="0" borderId="0" xfId="0" applyNumberFormat="1" applyFont="1" applyAlignment="1">
      <alignment horizontal="center" vertical="center"/>
    </xf>
    <xf numFmtId="176" fontId="255" fillId="0" borderId="0" xfId="0" applyNumberFormat="1" applyFont="1" applyAlignment="1">
      <alignment vertical="center"/>
    </xf>
    <xf numFmtId="0" fontId="19" fillId="0" borderId="0" xfId="0" applyFont="1" applyAlignment="1">
      <alignment horizontal="right" vertical="center"/>
    </xf>
    <xf numFmtId="0" fontId="255" fillId="0" borderId="0" xfId="0" applyFont="1" applyAlignment="1">
      <alignment horizontal="center" vertical="center"/>
    </xf>
    <xf numFmtId="0" fontId="19" fillId="0" borderId="3"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255" fillId="0" borderId="1" xfId="0" applyFont="1" applyBorder="1" applyAlignment="1">
      <alignment horizontal="center" vertical="center"/>
    </xf>
    <xf numFmtId="0" fontId="255" fillId="0" borderId="1" xfId="0" applyFont="1" applyBorder="1" applyAlignment="1">
      <alignment horizontal="left" vertical="center"/>
    </xf>
    <xf numFmtId="0" fontId="257" fillId="0" borderId="1" xfId="0" applyFont="1" applyBorder="1" applyAlignment="1">
      <alignment horizontal="center" vertical="center" shrinkToFit="1"/>
    </xf>
    <xf numFmtId="0" fontId="19" fillId="0" borderId="1" xfId="0" applyFont="1" applyFill="1" applyBorder="1" applyAlignment="1">
      <alignment horizontal="center" vertical="center" shrinkToFit="1"/>
    </xf>
    <xf numFmtId="14" fontId="257" fillId="7" borderId="1" xfId="0" applyNumberFormat="1" applyFont="1" applyFill="1" applyBorder="1" applyAlignment="1">
      <alignment horizontal="center" vertical="center" shrinkToFit="1"/>
    </xf>
    <xf numFmtId="14" fontId="257" fillId="0" borderId="1" xfId="0" applyNumberFormat="1" applyFont="1" applyBorder="1" applyAlignment="1">
      <alignment horizontal="center" vertical="center" shrinkToFit="1"/>
    </xf>
    <xf numFmtId="197" fontId="257" fillId="0" borderId="1" xfId="15" applyFont="1" applyBorder="1" applyAlignment="1">
      <alignment vertical="center" shrinkToFit="1"/>
    </xf>
    <xf numFmtId="43" fontId="255" fillId="0" borderId="1" xfId="0" applyNumberFormat="1" applyFont="1" applyBorder="1" applyAlignment="1">
      <alignment horizontal="right" vertical="center"/>
    </xf>
    <xf numFmtId="43" fontId="255" fillId="0" borderId="3" xfId="0" applyNumberFormat="1" applyFont="1" applyBorder="1" applyAlignment="1">
      <alignment horizontal="right" vertical="center"/>
    </xf>
    <xf numFmtId="0" fontId="255" fillId="0" borderId="1" xfId="0" applyNumberFormat="1" applyFont="1" applyBorder="1" applyAlignment="1">
      <alignment horizontal="center" vertical="center" wrapText="1"/>
    </xf>
    <xf numFmtId="10" fontId="255" fillId="0" borderId="1" xfId="0" applyNumberFormat="1" applyFont="1" applyBorder="1" applyAlignment="1">
      <alignment horizontal="right" vertical="center" shrinkToFit="1"/>
    </xf>
    <xf numFmtId="49" fontId="258" fillId="0" borderId="1" xfId="0" applyNumberFormat="1" applyFont="1" applyFill="1" applyBorder="1" applyAlignment="1">
      <alignment horizontal="center" vertical="center"/>
    </xf>
    <xf numFmtId="43" fontId="257" fillId="0" borderId="1" xfId="13" applyFont="1" applyBorder="1" applyAlignment="1">
      <alignment vertical="center" shrinkToFit="1"/>
    </xf>
    <xf numFmtId="0" fontId="257" fillId="0" borderId="1" xfId="0" applyFont="1" applyBorder="1" applyAlignment="1">
      <alignment vertical="center" shrinkToFit="1"/>
    </xf>
    <xf numFmtId="0" fontId="257" fillId="0" borderId="1" xfId="0" applyFont="1" applyBorder="1" applyAlignment="1">
      <alignment horizontal="right" vertical="center" shrinkToFit="1"/>
    </xf>
    <xf numFmtId="0" fontId="255" fillId="0" borderId="1" xfId="0" applyFont="1" applyFill="1" applyBorder="1" applyAlignment="1">
      <alignment horizontal="center" vertical="center"/>
    </xf>
    <xf numFmtId="14" fontId="255" fillId="0" borderId="1" xfId="0" applyNumberFormat="1" applyFont="1" applyBorder="1" applyAlignment="1">
      <alignment horizontal="center" vertical="center"/>
    </xf>
    <xf numFmtId="0" fontId="255" fillId="0" borderId="1" xfId="0" applyFont="1" applyBorder="1" applyAlignment="1">
      <alignment horizontal="right" vertical="center"/>
    </xf>
    <xf numFmtId="43" fontId="255" fillId="0" borderId="1" xfId="0" applyNumberFormat="1" applyFont="1" applyBorder="1" applyAlignment="1" applyProtection="1">
      <alignment horizontal="right" vertical="center" shrinkToFit="1"/>
    </xf>
    <xf numFmtId="0" fontId="255" fillId="0" borderId="1" xfId="0" applyFont="1" applyBorder="1" applyAlignment="1">
      <alignment vertical="center"/>
    </xf>
    <xf numFmtId="0" fontId="255" fillId="0" borderId="0" xfId="0" applyFont="1" applyAlignment="1">
      <alignment horizontal="left" vertical="center"/>
    </xf>
    <xf numFmtId="0" fontId="47" fillId="6" borderId="0" xfId="0" applyFont="1" applyFill="1" applyAlignment="1" applyProtection="1">
      <alignment horizontal="center" vertical="center"/>
    </xf>
    <xf numFmtId="0" fontId="50" fillId="6" borderId="0" xfId="0" applyFont="1" applyFill="1" applyAlignment="1" applyProtection="1">
      <alignment horizontal="center" vertical="center"/>
    </xf>
    <xf numFmtId="176" fontId="50" fillId="6" borderId="54" xfId="0" applyNumberFormat="1"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47" fillId="0" borderId="0" xfId="0" applyFont="1" applyAlignment="1" applyProtection="1">
      <alignment horizontal="center" vertical="center"/>
    </xf>
    <xf numFmtId="176" fontId="50" fillId="14" borderId="1"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9" borderId="1" xfId="0" applyFont="1" applyFill="1" applyBorder="1" applyAlignment="1" applyProtection="1">
      <alignment horizontal="center" vertical="center"/>
    </xf>
    <xf numFmtId="0" fontId="47" fillId="9" borderId="3" xfId="0" applyFont="1" applyFill="1" applyBorder="1" applyAlignment="1" applyProtection="1">
      <alignment horizontal="center" vertical="center" wrapText="1"/>
    </xf>
    <xf numFmtId="176" fontId="50" fillId="9" borderId="1" xfId="0" applyNumberFormat="1" applyFont="1" applyFill="1" applyBorder="1" applyAlignment="1" applyProtection="1">
      <alignment horizontal="center" vertical="center" wrapText="1"/>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85" xfId="0" applyFont="1" applyFill="1" applyBorder="1" applyAlignment="1" applyProtection="1">
      <alignment vertical="center" wrapTex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80" fillId="7" borderId="151" xfId="0" applyFont="1" applyFill="1" applyBorder="1" applyAlignment="1" applyProtection="1">
      <alignment vertical="center"/>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6" borderId="58" xfId="0" applyNumberFormat="1" applyFont="1" applyFill="1" applyBorder="1" applyAlignment="1" applyProtection="1">
      <alignment horizontal="center" vertical="center" wrapText="1"/>
    </xf>
    <xf numFmtId="49" fontId="50" fillId="6" borderId="58" xfId="0" applyNumberFormat="1" applyFont="1" applyFill="1" applyBorder="1" applyAlignment="1" applyProtection="1">
      <alignment horizontal="center"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9" xfId="0" applyFont="1" applyFill="1" applyBorder="1" applyAlignment="1" applyProtection="1">
      <alignment vertical="center" wrapText="1"/>
    </xf>
    <xf numFmtId="0" fontId="50" fillId="6" borderId="87" xfId="0" applyFont="1" applyFill="1" applyBorder="1" applyAlignment="1" applyProtection="1">
      <alignment vertical="center" wrapText="1"/>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49" fontId="180" fillId="0" borderId="4" xfId="0" applyNumberFormat="1" applyFont="1" applyFill="1" applyBorder="1" applyAlignment="1" applyProtection="1">
      <alignment horizontal="left" vertical="center"/>
      <protection locked="0"/>
    </xf>
    <xf numFmtId="0" fontId="50" fillId="0" borderId="60" xfId="0" applyFont="1" applyFill="1" applyBorder="1" applyAlignment="1" applyProtection="1">
      <alignment vertical="center" wrapText="1"/>
    </xf>
    <xf numFmtId="0" fontId="50" fillId="7" borderId="60" xfId="0" applyFont="1" applyFill="1" applyBorder="1" applyAlignment="1" applyProtection="1">
      <alignment horizontal="center" vertical="center" wrapText="1"/>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protection locked="0"/>
    </xf>
    <xf numFmtId="0" fontId="50" fillId="7" borderId="3" xfId="0" applyFont="1" applyFill="1" applyBorder="1" applyAlignment="1" applyProtection="1">
      <alignment vertical="center" wrapText="1"/>
    </xf>
    <xf numFmtId="49" fontId="50" fillId="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177" fontId="50" fillId="6" borderId="58"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left" vertical="center" wrapText="1"/>
    </xf>
    <xf numFmtId="179" fontId="50" fillId="6" borderId="1" xfId="0" applyNumberFormat="1" applyFont="1" applyFill="1" applyBorder="1" applyAlignment="1" applyProtection="1">
      <alignment horizontal="center" vertical="center" wrapText="1"/>
    </xf>
    <xf numFmtId="179" fontId="50"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179" fontId="50" fillId="6" borderId="58" xfId="0" applyNumberFormat="1" applyFont="1" applyFill="1" applyBorder="1" applyAlignment="1" applyProtection="1">
      <alignment horizontal="left" vertical="center"/>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5" borderId="23" xfId="0" applyFont="1" applyFill="1" applyBorder="1" applyAlignment="1" applyProtection="1">
      <alignment horizontal="center" vertical="center" wrapText="1"/>
      <protection locked="0"/>
    </xf>
    <xf numFmtId="0" fontId="50" fillId="5" borderId="23" xfId="0" applyFont="1" applyFill="1" applyBorder="1" applyAlignment="1" applyProtection="1">
      <alignment horizontal="center" vertical="center" wrapText="1" shrinkToFit="1"/>
      <protection locked="0"/>
    </xf>
    <xf numFmtId="0" fontId="50" fillId="6" borderId="56" xfId="0" applyFont="1" applyFill="1" applyBorder="1" applyAlignment="1" applyProtection="1">
      <alignment vertical="center" wrapText="1"/>
    </xf>
    <xf numFmtId="0" fontId="50" fillId="6" borderId="92" xfId="0" applyFont="1" applyFill="1" applyBorder="1" applyAlignment="1" applyProtection="1">
      <alignment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6" borderId="15"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vertical="center" wrapText="1"/>
    </xf>
    <xf numFmtId="0" fontId="50" fillId="5" borderId="78"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0" fontId="148" fillId="6" borderId="152" xfId="0" applyFont="1" applyFill="1" applyBorder="1" applyAlignment="1" applyProtection="1">
      <alignment vertical="center"/>
    </xf>
    <xf numFmtId="0" fontId="55" fillId="6" borderId="152" xfId="0" applyFont="1" applyFill="1" applyBorder="1" applyAlignment="1" applyProtection="1">
      <alignment vertical="center" wrapText="1"/>
    </xf>
    <xf numFmtId="0" fontId="55" fillId="6" borderId="153" xfId="0" applyFont="1" applyFill="1" applyBorder="1" applyAlignment="1" applyProtection="1">
      <alignment vertical="center" wrapText="1"/>
    </xf>
    <xf numFmtId="0" fontId="55" fillId="6" borderId="152" xfId="0" applyFont="1" applyFill="1" applyBorder="1" applyAlignment="1" applyProtection="1">
      <alignment horizontal="center" vertical="center" wrapText="1"/>
    </xf>
    <xf numFmtId="0" fontId="55" fillId="0" borderId="152" xfId="0" applyFont="1" applyBorder="1" applyAlignment="1" applyProtection="1">
      <alignment vertical="center" wrapText="1"/>
    </xf>
    <xf numFmtId="0" fontId="55" fillId="6" borderId="5" xfId="0" applyFont="1" applyFill="1" applyBorder="1" applyAlignment="1" applyProtection="1">
      <alignment vertical="center"/>
    </xf>
    <xf numFmtId="49" fontId="50" fillId="6" borderId="5" xfId="0" applyNumberFormat="1" applyFont="1" applyFill="1" applyBorder="1" applyAlignment="1" applyProtection="1">
      <alignment horizontal="center" vertical="center" wrapText="1"/>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80" fillId="0" borderId="1" xfId="0" applyFont="1" applyBorder="1" applyAlignment="1" applyProtection="1">
      <alignment horizontal="left" vertical="center"/>
      <protection locked="0"/>
    </xf>
    <xf numFmtId="0" fontId="80" fillId="7" borderId="5" xfId="0" applyFont="1" applyFill="1" applyBorder="1" applyAlignment="1" applyProtection="1">
      <alignment vertical="center"/>
      <protection locked="0"/>
    </xf>
    <xf numFmtId="184" fontId="50" fillId="8" borderId="1" xfId="0" applyNumberFormat="1" applyFont="1" applyFill="1" applyBorder="1" applyAlignment="1" applyProtection="1">
      <alignment horizontal="center" vertical="center" shrinkToFit="1"/>
      <protection locked="0"/>
    </xf>
    <xf numFmtId="0" fontId="50" fillId="6" borderId="1"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45" xfId="0" applyNumberFormat="1" applyFont="1" applyFill="1" applyBorder="1" applyAlignment="1" applyProtection="1">
      <alignment horizontal="center" vertical="center" wrapText="1"/>
      <protection locked="0"/>
    </xf>
    <xf numFmtId="0" fontId="98" fillId="6" borderId="0" xfId="0" applyFont="1" applyFill="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7" fillId="9" borderId="23" xfId="0" applyFont="1" applyFill="1" applyBorder="1" applyAlignment="1" applyProtection="1">
      <alignment vertical="center"/>
      <protection locked="0"/>
    </xf>
    <xf numFmtId="0" fontId="239" fillId="0" borderId="109"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protection locked="0"/>
    </xf>
    <xf numFmtId="0" fontId="80" fillId="6" borderId="0" xfId="0" applyFont="1" applyFill="1" applyProtection="1">
      <alignment vertical="center"/>
      <protection locked="0"/>
    </xf>
    <xf numFmtId="0" fontId="19" fillId="5" borderId="10" xfId="0" applyFont="1" applyFill="1" applyBorder="1" applyAlignment="1" applyProtection="1">
      <alignment horizontal="center" vertical="center"/>
      <protection locked="0"/>
    </xf>
    <xf numFmtId="0" fontId="80" fillId="6" borderId="0" xfId="0" applyFont="1" applyFill="1" applyAlignment="1" applyProtection="1">
      <alignment horizontal="right" vertical="center"/>
      <protection locked="0"/>
    </xf>
    <xf numFmtId="0" fontId="47" fillId="6" borderId="9"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241" fillId="0" borderId="44"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54" fillId="6" borderId="0" xfId="16" applyNumberFormat="1" applyFont="1" applyFill="1" applyAlignment="1" applyProtection="1">
      <alignment horizontal="center" vertical="center"/>
      <protection locked="0"/>
    </xf>
    <xf numFmtId="0" fontId="99" fillId="0" borderId="1" xfId="0" applyFont="1" applyBorder="1" applyAlignment="1">
      <alignment horizontal="center" vertical="center"/>
    </xf>
    <xf numFmtId="9" fontId="0" fillId="0" borderId="1" xfId="16" applyFont="1"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0" fontId="62" fillId="17" borderId="1" xfId="1" applyNumberFormat="1" applyFont="1" applyFill="1" applyBorder="1" applyAlignment="1" applyProtection="1"/>
    <xf numFmtId="0" fontId="60" fillId="17" borderId="13" xfId="1" applyFont="1" applyFill="1" applyBorder="1" applyAlignment="1" applyProtection="1">
      <alignment horizontal="right" vertical="center"/>
    </xf>
    <xf numFmtId="0" fontId="171" fillId="17" borderId="13" xfId="12" applyFont="1" applyFill="1" applyBorder="1" applyAlignment="1">
      <alignment horizontal="center" vertical="center" wrapText="1"/>
    </xf>
    <xf numFmtId="0" fontId="239"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6" borderId="13" xfId="0" applyFont="1" applyFill="1" applyBorder="1" applyAlignment="1" applyProtection="1">
      <alignment horizontal="center" vertical="center" wrapText="1"/>
    </xf>
    <xf numFmtId="0" fontId="50"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9" fillId="0" borderId="4" xfId="0" applyNumberFormat="1" applyFont="1" applyFill="1" applyBorder="1" applyAlignment="1" applyProtection="1">
      <alignment horizontal="left" vertical="center"/>
      <protection locked="0"/>
    </xf>
    <xf numFmtId="49" fontId="180" fillId="0" borderId="54" xfId="0" applyNumberFormat="1" applyFont="1" applyFill="1" applyBorder="1" applyAlignment="1" applyProtection="1">
      <alignment horizontal="left" vertical="center"/>
      <protection locked="0"/>
    </xf>
    <xf numFmtId="49" fontId="180" fillId="0" borderId="3" xfId="0" applyNumberFormat="1" applyFont="1" applyFill="1" applyBorder="1" applyAlignment="1" applyProtection="1">
      <alignment horizontal="left" vertical="center"/>
      <protection locked="0"/>
    </xf>
    <xf numFmtId="0" fontId="180" fillId="0" borderId="5" xfId="0" applyNumberFormat="1" applyFont="1" applyBorder="1" applyAlignment="1" applyProtection="1">
      <alignment horizontal="left" vertical="center"/>
      <protection locked="0"/>
    </xf>
    <xf numFmtId="0" fontId="180" fillId="0" borderId="54" xfId="0" applyNumberFormat="1" applyFont="1" applyBorder="1" applyAlignment="1" applyProtection="1">
      <alignment horizontal="left" vertical="center"/>
      <protection locked="0"/>
    </xf>
    <xf numFmtId="0" fontId="180" fillId="0" borderId="3" xfId="0" applyNumberFormat="1" applyFont="1" applyBorder="1" applyAlignment="1" applyProtection="1">
      <alignment horizontal="left" vertical="center"/>
      <protection locked="0"/>
    </xf>
    <xf numFmtId="0" fontId="180" fillId="7" borderId="5" xfId="0" applyFont="1" applyFill="1" applyBorder="1" applyAlignment="1" applyProtection="1">
      <alignment horizontal="left" vertical="center"/>
      <protection locked="0"/>
    </xf>
    <xf numFmtId="0" fontId="180" fillId="7" borderId="54" xfId="0" applyFont="1" applyFill="1" applyBorder="1" applyAlignment="1" applyProtection="1">
      <alignment horizontal="left" vertical="center"/>
      <protection locked="0"/>
    </xf>
    <xf numFmtId="0" fontId="180" fillId="7" borderId="3" xfId="0" applyFont="1" applyFill="1" applyBorder="1" applyAlignment="1" applyProtection="1">
      <alignment horizontal="left" vertical="center"/>
      <protection locked="0"/>
    </xf>
    <xf numFmtId="0" fontId="239" fillId="7" borderId="5" xfId="0" applyFont="1" applyFill="1" applyBorder="1" applyAlignment="1" applyProtection="1">
      <alignment horizontal="left" vertical="center"/>
      <protection locked="0"/>
    </xf>
    <xf numFmtId="0" fontId="239" fillId="7" borderId="54" xfId="0" applyFont="1" applyFill="1" applyBorder="1" applyAlignment="1" applyProtection="1">
      <alignment horizontal="left" vertical="center"/>
      <protection locked="0"/>
    </xf>
    <xf numFmtId="0" fontId="239" fillId="7" borderId="3" xfId="0"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55" fillId="0" borderId="1" xfId="0" applyFont="1" applyBorder="1" applyAlignment="1">
      <alignment horizontal="center" vertical="center"/>
    </xf>
    <xf numFmtId="0" fontId="253" fillId="0" borderId="0" xfId="0" applyFont="1" applyAlignment="1">
      <alignment horizontal="center" vertical="center" wrapText="1"/>
    </xf>
    <xf numFmtId="176" fontId="19" fillId="0" borderId="0" xfId="0" applyNumberFormat="1" applyFont="1" applyAlignment="1">
      <alignment horizontal="center" vertical="center"/>
    </xf>
    <xf numFmtId="176" fontId="255" fillId="0" borderId="0" xfId="0" applyNumberFormat="1" applyFont="1" applyAlignment="1">
      <alignment horizontal="center" vertical="center"/>
    </xf>
    <xf numFmtId="176" fontId="255" fillId="0" borderId="0" xfId="0" applyNumberFormat="1" applyFont="1" applyAlignment="1">
      <alignment horizontal="right" vertical="center"/>
    </xf>
    <xf numFmtId="0" fontId="19" fillId="0" borderId="1" xfId="0" applyFont="1" applyBorder="1" applyAlignment="1">
      <alignment horizontal="center" vertical="center"/>
    </xf>
    <xf numFmtId="0" fontId="19" fillId="0" borderId="13"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13" xfId="14" applyFont="1" applyFill="1" applyBorder="1" applyAlignment="1">
      <alignment horizontal="center" vertical="center" wrapText="1"/>
    </xf>
    <xf numFmtId="0" fontId="255" fillId="0" borderId="2" xfId="14" applyFont="1" applyFill="1" applyBorder="1" applyAlignment="1">
      <alignment horizontal="center" vertical="center" wrapText="1"/>
    </xf>
    <xf numFmtId="0" fontId="19" fillId="0" borderId="13" xfId="0" applyFont="1" applyBorder="1" applyAlignment="1">
      <alignment horizontal="center" vertical="center" wrapText="1"/>
    </xf>
    <xf numFmtId="0" fontId="255" fillId="0" borderId="2" xfId="0" applyFont="1" applyBorder="1" applyAlignment="1">
      <alignment horizontal="center" vertical="center" wrapText="1"/>
    </xf>
    <xf numFmtId="0" fontId="19" fillId="0" borderId="5" xfId="0" applyFont="1" applyBorder="1" applyAlignment="1">
      <alignment horizontal="center" vertical="center"/>
    </xf>
    <xf numFmtId="0" fontId="255" fillId="0" borderId="54" xfId="0" applyFont="1" applyBorder="1" applyAlignment="1">
      <alignment horizontal="center" vertical="center"/>
    </xf>
    <xf numFmtId="0" fontId="255" fillId="0" borderId="3" xfId="0" applyFont="1" applyBorder="1" applyAlignment="1">
      <alignment horizontal="center" vertical="center"/>
    </xf>
    <xf numFmtId="49" fontId="19" fillId="0" borderId="5" xfId="0" applyNumberFormat="1" applyFont="1" applyBorder="1" applyAlignment="1">
      <alignment horizontal="center" vertical="center"/>
    </xf>
    <xf numFmtId="49" fontId="19" fillId="0" borderId="54" xfId="0" applyNumberFormat="1" applyFont="1" applyBorder="1" applyAlignment="1">
      <alignment horizontal="center" vertical="center"/>
    </xf>
    <xf numFmtId="49" fontId="19" fillId="0" borderId="3" xfId="0" applyNumberFormat="1" applyFont="1" applyBorder="1" applyAlignment="1">
      <alignment horizontal="center" vertical="center"/>
    </xf>
    <xf numFmtId="0" fontId="19" fillId="0" borderId="54" xfId="0" applyFont="1" applyBorder="1" applyAlignment="1">
      <alignment horizontal="center" vertical="center"/>
    </xf>
    <xf numFmtId="0" fontId="19" fillId="0" borderId="3" xfId="0" applyFont="1" applyBorder="1" applyAlignment="1">
      <alignment horizontal="center" vertical="center"/>
    </xf>
    <xf numFmtId="0" fontId="19" fillId="0" borderId="36" xfId="0" applyNumberFormat="1" applyFont="1" applyBorder="1" applyAlignment="1" applyProtection="1">
      <alignment horizontal="left" vertical="center"/>
    </xf>
    <xf numFmtId="0" fontId="98" fillId="0" borderId="36" xfId="0" applyFont="1" applyBorder="1" applyAlignment="1">
      <alignment horizontal="righ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xfId="16"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评估空白套表1" xfId="14"/>
    <cellStyle name="千位分隔" xfId="13" builtinId="3"/>
    <cellStyle name="千位分隔 2" xfId="15"/>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241</xdr:row>
      <xdr:rowOff>0</xdr:rowOff>
    </xdr:from>
    <xdr:to>
      <xdr:col>10</xdr:col>
      <xdr:colOff>132368</xdr:colOff>
      <xdr:row>267</xdr:row>
      <xdr:rowOff>37569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406050"/>
          <a:ext cx="7857143" cy="4247619"/>
        </a:xfrm>
        <a:prstGeom prst="rect">
          <a:avLst/>
        </a:prstGeom>
      </xdr:spPr>
    </xdr:pic>
    <xdr:clientData/>
  </xdr:twoCellAnchor>
  <xdr:twoCellAnchor editAs="oneCell">
    <xdr:from>
      <xdr:col>0</xdr:col>
      <xdr:colOff>0</xdr:colOff>
      <xdr:row>268</xdr:row>
      <xdr:rowOff>0</xdr:rowOff>
    </xdr:from>
    <xdr:to>
      <xdr:col>8</xdr:col>
      <xdr:colOff>427867</xdr:colOff>
      <xdr:row>291</xdr:row>
      <xdr:rowOff>75725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778025"/>
          <a:ext cx="6066667" cy="3800000"/>
        </a:xfrm>
        <a:prstGeom prst="rect">
          <a:avLst/>
        </a:prstGeom>
      </xdr:spPr>
    </xdr:pic>
    <xdr:clientData/>
  </xdr:twoCellAnchor>
  <xdr:twoCellAnchor editAs="oneCell">
    <xdr:from>
      <xdr:col>0</xdr:col>
      <xdr:colOff>0</xdr:colOff>
      <xdr:row>292</xdr:row>
      <xdr:rowOff>0</xdr:rowOff>
    </xdr:from>
    <xdr:to>
      <xdr:col>8</xdr:col>
      <xdr:colOff>151677</xdr:colOff>
      <xdr:row>301</xdr:row>
      <xdr:rowOff>56961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664225"/>
          <a:ext cx="5790477" cy="1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182;&#20852;&#35780;&#20272;&#36164;&#26009;/&#35780;&#20272;&#26126;&#32454;&#34920;&#65288;&#21407;&#34920;0&#65289;-10.3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LMSQ"/>
      <sheetName val="资产负债表(旧)"/>
      <sheetName val="基本情况表"/>
      <sheetName val="1-汇总表"/>
      <sheetName val="2-分类汇总"/>
      <sheetName val="3-流动汇总"/>
      <sheetName val="3-1货币资金汇总"/>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1投资性房地产"/>
      <sheetName val="4-5-2投资性房地产"/>
      <sheetName val="4-5-3投资性地产"/>
      <sheetName val="4-5-4投资性地产"/>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refreshError="1"/>
      <sheetData sheetId="1" refreshError="1"/>
      <sheetData sheetId="2" refreshError="1">
        <row r="9">
          <cell r="A9" t="str">
            <v>评估人员：XXX</v>
          </cell>
          <cell r="E9">
            <v>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28">
          <cell r="A28" t="str">
            <v>被评估单位填表人：祝琴</v>
          </cell>
        </row>
        <row r="29">
          <cell r="A29" t="str">
            <v>填表日期：2017年11月21日</v>
          </cell>
        </row>
      </sheetData>
      <sheetData sheetId="43" refreshError="1">
        <row r="2">
          <cell r="A2" t="str">
            <v>评估基准日：2017年10月31日</v>
          </cell>
        </row>
        <row r="4">
          <cell r="A4" t="str">
            <v>被评估单位：福州泰禾锦兴置业有限公司</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0" customWidth="1"/>
    <col min="2" max="2" width="81" style="1587" customWidth="1"/>
    <col min="3" max="16384" width="9" style="1585"/>
  </cols>
  <sheetData>
    <row r="1" spans="1:2" s="1573" customFormat="1" ht="16.5" thickBot="1">
      <c r="A1" s="1572" t="s">
        <v>1219</v>
      </c>
      <c r="B1" s="1571" t="s">
        <v>1298</v>
      </c>
    </row>
    <row r="2" spans="1:2" s="1576" customFormat="1" ht="15" thickTop="1">
      <c r="A2" s="1574" t="s">
        <v>1220</v>
      </c>
      <c r="B2" s="1575" t="str">
        <f>'预评函-封皮'!B37:I37</f>
        <v>北京市朝阳区东四环中路58号楼配套商业、酒店式公寓用房房地产抵押价值预评估</v>
      </c>
    </row>
    <row r="3" spans="1:2" s="1579" customFormat="1">
      <c r="A3" s="1577" t="s">
        <v>1221</v>
      </c>
      <c r="B3" s="1578" t="str">
        <f>'预评函-封皮'!B40</f>
        <v>福州泰禾锦兴置业有限公司</v>
      </c>
    </row>
    <row r="4" spans="1:2" s="1579" customFormat="1">
      <c r="A4" s="1577" t="s">
        <v>1222</v>
      </c>
      <c r="B4" s="1578" t="str">
        <f ca="1">'预评函-封皮'!B46</f>
        <v>郑燚（注册号：1120070131)、王鹏（注册号：1120050019)</v>
      </c>
    </row>
    <row r="5" spans="1:2" s="1573" customFormat="1" ht="15" thickBot="1">
      <c r="A5" s="1580" t="s">
        <v>1223</v>
      </c>
      <c r="B5" s="1581" t="str">
        <f>'预评函-封皮'!B49</f>
        <v>康正预评字2018-1-00号</v>
      </c>
    </row>
    <row r="6" spans="1:2" s="1576" customFormat="1" ht="15" thickTop="1">
      <c r="A6" s="1574" t="s">
        <v>1224</v>
      </c>
      <c r="B6" s="1575" t="str">
        <f>'预评函-1'!A4</f>
        <v>受贵公司委托，我公司对北京市朝阳区东四环中路58号楼配套商业、酒店式公寓用房房地产抵押价值进行了预评估。</v>
      </c>
    </row>
    <row r="7" spans="1:2" s="1579" customFormat="1">
      <c r="A7" s="1577" t="s">
        <v>1264</v>
      </c>
      <c r="B7" s="1578" t="str">
        <f>'预评函-1'!A7</f>
        <v>估价对象为北京市朝阳区东四环中路58号楼配套商业、酒店式公寓用房房地产，为福州泰禾锦兴置业有限公司所有。根据《不动产权证书》[京（2017）朝不动产权第0064885号]等229套，估价对象（分摊）出让国有建设用地使用权面积为2719.43平方米，建筑面积为26965.79平方米。</v>
      </c>
    </row>
    <row r="8" spans="1:2" s="1579" customFormat="1">
      <c r="A8" s="1577" t="s">
        <v>1265</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1266</v>
      </c>
      <c r="B9" s="1578" t="str">
        <f>'预评函-1'!A10</f>
        <v>估价对象为北京市朝阳区东四环中路58号楼配套商业、酒店式公寓用房房地产,属福州泰禾锦兴置业有限公司开发建设的综合项目（商业、办公），该项目尚在开发建设中。根据《不动产权证书》[京（2017）朝不动产权第0064885号]等229套，估价对象（分摊）出让国有建设用地使用权面积为2719.43平方米，规划建筑面积为26965.79平方米。</v>
      </c>
    </row>
    <row r="10" spans="1:2" s="1579" customFormat="1">
      <c r="A10" s="1577" t="s">
        <v>1267</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1225</v>
      </c>
      <c r="B11" s="1578" t="str">
        <f>'预评函-1'!A13</f>
        <v>为估价委托人在向待定办理贷款手续过程中，确定房地产抵押贷款额度提供参考依据而评估房地产抵押价值。</v>
      </c>
    </row>
    <row r="12" spans="1:2" s="1579" customFormat="1">
      <c r="A12" s="1577" t="s">
        <v>1226</v>
      </c>
      <c r="B12" s="1578" t="str">
        <f>'预评函-1'!A15</f>
        <v>2018年3月2日（评估专业人员实地查勘之日）</v>
      </c>
    </row>
    <row r="13" spans="1:2" s="1579" customFormat="1">
      <c r="A13" s="1577" t="s">
        <v>1227</v>
      </c>
      <c r="B13" s="1578" t="str">
        <f>'预评函-1'!A18</f>
        <v>本次估价的“房地产价值”是指在正常市场情况下，在价值时点2018年3月2日，估价对象规划用途为配套商业、酒店式公寓，土地取得方式为出让，出让国有建设用地使用权剩余土地使用年限为25.85年，假定未设立法定优先受偿款下的房地产市场价值。</v>
      </c>
    </row>
    <row r="14" spans="1:2" s="1579" customFormat="1">
      <c r="A14" s="1577" t="s">
        <v>1228</v>
      </c>
      <c r="B14" s="1578" t="str">
        <f>'预评函-1'!A19</f>
        <v>其中，“出让国有建设用地使用权价值”是指估价对象用途为配套商业、酒店式公寓，实际开发程度为宗地红线外“七通”（即通路、通电、通讯、通上水、通下水、、）、红线内场地平整条件下，剩余土地使用年限为25.85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9" customFormat="1">
      <c r="A15" s="1577" t="s">
        <v>1229</v>
      </c>
      <c r="B15" s="1578" t="str">
        <f>'预评函-1'!A20</f>
        <v>本次估价的“抵押担保权已注销时的房地产抵押价值”是指估价对象在价值时点的“房地产价值”扣减估价师于价值时点所知悉的除抵押担保权以外的其他法定优先受偿款后的余额。</v>
      </c>
    </row>
    <row r="16" spans="1:2" s="1579" customFormat="1">
      <c r="A16" s="1577" t="s">
        <v>1230</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1231</v>
      </c>
      <c r="B17" s="1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3" customFormat="1" ht="15" thickBot="1">
      <c r="A18" s="1580" t="s">
        <v>1232</v>
      </c>
      <c r="B18" s="1581" t="str">
        <f>'预评函-1'!A24</f>
        <v>本次评估采用的主估价方法为比较法和成本法。</v>
      </c>
    </row>
    <row r="19" spans="1:2" s="1576" customFormat="1" ht="15" thickTop="1">
      <c r="A19" s="1574" t="s">
        <v>1233</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1234</v>
      </c>
      <c r="B20" s="1578">
        <f ca="1">'预评函-2'!D5</f>
        <v>30133</v>
      </c>
    </row>
    <row r="21" spans="1:2" s="1579" customFormat="1">
      <c r="A21" s="1577" t="s">
        <v>1235</v>
      </c>
      <c r="B21" s="1578">
        <f ca="1">'预评函-2'!D7</f>
        <v>11175</v>
      </c>
    </row>
    <row r="22" spans="1:2" s="1579" customFormat="1">
      <c r="A22" s="1577" t="s">
        <v>1236</v>
      </c>
      <c r="B22" s="1578" t="str">
        <f ca="1">'预评函-2'!D6</f>
        <v>叁亿零壹佰叁拾叁万元整</v>
      </c>
    </row>
    <row r="23" spans="1:2" s="1579" customFormat="1">
      <c r="A23" s="1577" t="s">
        <v>1287</v>
      </c>
      <c r="B23" s="1578" t="str">
        <f>'预评函-2'!B8</f>
        <v>2.估价师知悉的法定优先受偿款</v>
      </c>
    </row>
    <row r="24" spans="1:2" s="1579" customFormat="1">
      <c r="A24" s="1577" t="s">
        <v>1293</v>
      </c>
      <c r="B24" s="1578">
        <f>'预评函-2'!D8</f>
        <v>0</v>
      </c>
    </row>
    <row r="25" spans="1:2" s="1579" customFormat="1">
      <c r="A25" s="1577" t="s">
        <v>1237</v>
      </c>
      <c r="B25" s="1578" t="str">
        <f>'预评函-2'!D9</f>
        <v>零元整</v>
      </c>
    </row>
    <row r="26" spans="1:2" s="1579" customFormat="1">
      <c r="A26" s="1577" t="s">
        <v>1238</v>
      </c>
      <c r="B26" s="1578">
        <f>'预评函-2'!D10</f>
        <v>0</v>
      </c>
    </row>
    <row r="27" spans="1:2" s="1579" customFormat="1">
      <c r="A27" s="1577" t="s">
        <v>1239</v>
      </c>
      <c r="B27" s="1578">
        <f>'预评函-2'!D11</f>
        <v>0</v>
      </c>
    </row>
    <row r="28" spans="1:2" s="1579" customFormat="1">
      <c r="A28" s="1577" t="s">
        <v>1240</v>
      </c>
      <c r="B28" s="1578">
        <f>'预评函-2'!D12</f>
        <v>0</v>
      </c>
    </row>
    <row r="29" spans="1:2" s="1579" customFormat="1">
      <c r="A29" s="1577" t="s">
        <v>1291</v>
      </c>
      <c r="B29" s="1578" t="str">
        <f>'预评函-2'!B13</f>
        <v>——</v>
      </c>
    </row>
    <row r="30" spans="1:2" s="1579" customFormat="1">
      <c r="A30" s="1577" t="s">
        <v>1292</v>
      </c>
      <c r="B30" s="1578" t="str">
        <f>'预评函-2'!D13</f>
        <v>——</v>
      </c>
    </row>
    <row r="31" spans="1:2" s="1579" customFormat="1">
      <c r="A31" s="1577" t="s">
        <v>1274</v>
      </c>
      <c r="B31" s="1578" t="e">
        <f>'预评函-2'!D15</f>
        <v>#VALUE!</v>
      </c>
    </row>
    <row r="32" spans="1:2" s="1579" customFormat="1">
      <c r="A32" s="1577" t="s">
        <v>1241</v>
      </c>
      <c r="B32" s="1578" t="e">
        <f>'预评函-2'!D14</f>
        <v>#VALUE!</v>
      </c>
    </row>
    <row r="33" spans="1:2" s="1579" customFormat="1">
      <c r="A33" s="1577" t="s">
        <v>1276</v>
      </c>
      <c r="B33" s="1578" t="str">
        <f>'预评函-2'!B16</f>
        <v>3.抵押担保权已注销时的房地产抵押价值</v>
      </c>
    </row>
    <row r="34" spans="1:2" s="1579" customFormat="1">
      <c r="A34" s="1577" t="s">
        <v>1294</v>
      </c>
      <c r="B34" s="1578">
        <f ca="1">'预评函-2'!D16</f>
        <v>30133</v>
      </c>
    </row>
    <row r="35" spans="1:2" s="1579" customFormat="1">
      <c r="A35" s="1577" t="s">
        <v>1275</v>
      </c>
      <c r="B35" s="1578">
        <f ca="1">'预评函-2'!D18</f>
        <v>11175</v>
      </c>
    </row>
    <row r="36" spans="1:2" s="1579" customFormat="1">
      <c r="A36" s="1577" t="s">
        <v>1242</v>
      </c>
      <c r="B36" s="1578" t="str">
        <f ca="1">'预评函-2'!D17</f>
        <v>叁亿零壹佰叁拾叁万元整</v>
      </c>
    </row>
    <row r="37" spans="1:2" s="1579" customFormat="1">
      <c r="A37" s="1577" t="s">
        <v>1277</v>
      </c>
      <c r="B37" s="1578" t="str">
        <f>'预评函-2'!B19</f>
        <v>——</v>
      </c>
    </row>
    <row r="38" spans="1:2" s="1579" customFormat="1">
      <c r="A38" s="1577" t="s">
        <v>1295</v>
      </c>
      <c r="B38" s="1578" t="str">
        <f>'预评函-2'!D19</f>
        <v>——</v>
      </c>
    </row>
    <row r="39" spans="1:2" s="1579" customFormat="1">
      <c r="A39" s="1577" t="s">
        <v>1243</v>
      </c>
      <c r="B39" s="1578" t="str">
        <f>'预评函-2'!D21</f>
        <v>——</v>
      </c>
    </row>
    <row r="40" spans="1:2" s="1579" customFormat="1">
      <c r="A40" s="1577" t="s">
        <v>1244</v>
      </c>
      <c r="B40" s="1578" t="e">
        <f>'预评函-2'!D20</f>
        <v>#VALUE!</v>
      </c>
    </row>
    <row r="41" spans="1:2" s="1579" customFormat="1">
      <c r="A41" s="1577" t="s">
        <v>1290</v>
      </c>
      <c r="B41" s="1578" t="str">
        <f>'预评函-3'!A4</f>
        <v>北京市朝阳区东四环中路58号楼配套商业、酒店式公寓用房房地产</v>
      </c>
    </row>
    <row r="42" spans="1:2" s="1579" customFormat="1">
      <c r="A42" s="1577" t="s">
        <v>1288</v>
      </c>
      <c r="B42" s="1578" t="str">
        <f>'预评函-3'!B2</f>
        <v>建筑面积</v>
      </c>
    </row>
    <row r="43" spans="1:2" s="1579" customFormat="1">
      <c r="A43" s="1577" t="s">
        <v>1289</v>
      </c>
      <c r="B43" s="1578">
        <f>'预评函-3'!B4</f>
        <v>26965.789999999986</v>
      </c>
    </row>
    <row r="44" spans="1:2" s="1579" customFormat="1">
      <c r="A44" s="1577" t="s">
        <v>1273</v>
      </c>
      <c r="B44" s="1578" t="str">
        <f>'预评函-3'!C2</f>
        <v>(分摊)土地面积</v>
      </c>
    </row>
    <row r="45" spans="1:2" s="1579" customFormat="1">
      <c r="A45" s="1577" t="s">
        <v>1245</v>
      </c>
      <c r="B45" s="1578">
        <f>'预评函-3'!C4</f>
        <v>2719.43</v>
      </c>
    </row>
    <row r="46" spans="1:2" s="1579" customFormat="1">
      <c r="A46" s="1577" t="s">
        <v>1271</v>
      </c>
      <c r="B46" s="1578" t="str">
        <f>'预评函-3'!D2</f>
        <v>出让国有建设用地使用权价值</v>
      </c>
    </row>
    <row r="47" spans="1:2" s="1579" customFormat="1">
      <c r="A47" s="1577" t="s">
        <v>1246</v>
      </c>
      <c r="B47" s="1578" t="e">
        <f ca="1">'预评函-3'!D4</f>
        <v>#REF!</v>
      </c>
    </row>
    <row r="48" spans="1:2" s="1579" customFormat="1">
      <c r="A48" s="1577" t="s">
        <v>1247</v>
      </c>
      <c r="B48" s="1578" t="e">
        <f ca="1">'预评函-3'!E4</f>
        <v>#REF!</v>
      </c>
    </row>
    <row r="49" spans="1:2" s="1579" customFormat="1">
      <c r="A49" s="1577" t="s">
        <v>1248</v>
      </c>
      <c r="B49" s="1578" t="e">
        <f ca="1">'预评函-3'!D5</f>
        <v>#REF!</v>
      </c>
    </row>
    <row r="50" spans="1:2" s="1579" customFormat="1">
      <c r="A50" s="1577" t="s">
        <v>1272</v>
      </c>
      <c r="B50" s="1578" t="str">
        <f>'预评函-3'!F2</f>
        <v>在建建筑物价值</v>
      </c>
    </row>
    <row r="51" spans="1:2" s="1579" customFormat="1">
      <c r="A51" s="1577" t="s">
        <v>1249</v>
      </c>
      <c r="B51" s="1578" t="e">
        <f ca="1">'预评函-3'!F4</f>
        <v>#REF!</v>
      </c>
    </row>
    <row r="52" spans="1:2" s="1579" customFormat="1">
      <c r="A52" s="1577" t="s">
        <v>1250</v>
      </c>
      <c r="B52" s="1578" t="e">
        <f ca="1">'预评函-3'!G4</f>
        <v>#REF!</v>
      </c>
    </row>
    <row r="53" spans="1:2" s="1579" customFormat="1">
      <c r="A53" s="1577" t="s">
        <v>1278</v>
      </c>
      <c r="B53" s="1578" t="e">
        <f ca="1">'预评函-3'!F5</f>
        <v>#REF!</v>
      </c>
    </row>
    <row r="54" spans="1:2" s="1579" customFormat="1">
      <c r="A54" s="1577" t="s">
        <v>1296</v>
      </c>
      <c r="B54" s="1578" t="str">
        <f>'预评函-3'!A8</f>
        <v/>
      </c>
    </row>
    <row r="55" spans="1:2" s="1579" customFormat="1">
      <c r="A55" s="1577" t="s">
        <v>1279</v>
      </c>
      <c r="B55" s="1578" t="str">
        <f>'预评函-3'!A10</f>
        <v>抵押担保权已注销时的房地产抵押价值</v>
      </c>
    </row>
    <row r="56" spans="1:2" s="1579" customFormat="1">
      <c r="A56" s="1577" t="s">
        <v>1280</v>
      </c>
      <c r="B56" s="1578" t="str">
        <f>'预评函-3'!A12</f>
        <v/>
      </c>
    </row>
    <row r="57" spans="1:2" s="1573" customFormat="1" ht="15" thickBot="1">
      <c r="A57" s="1580" t="s">
        <v>1297</v>
      </c>
      <c r="B57" s="1581" t="str">
        <f>'预评函-3'!A6</f>
        <v>估价师知悉的法定优先受偿款</v>
      </c>
    </row>
    <row r="58" spans="1:2" s="1576" customFormat="1" ht="15" thickTop="1">
      <c r="A58" s="1574" t="s">
        <v>1251</v>
      </c>
      <c r="B58" s="1575" t="str">
        <f>'预评函-4'!A12</f>
        <v>2.本《评估意见函》仅供金融机构进行内部审核使用，不做其他目的之用。</v>
      </c>
    </row>
    <row r="59" spans="1:2" s="1579" customFormat="1">
      <c r="A59" s="1577" t="s">
        <v>1252</v>
      </c>
      <c r="B59" s="1578" t="str">
        <f>'预评函-4'!A13</f>
        <v>3.抵押双方在办理抵押登记手续时，应使用本公司出具的正式《房地产评估报告》，特提醒报告使用者注意。</v>
      </c>
    </row>
    <row r="60" spans="1:2" s="1579" customFormat="1">
      <c r="A60" s="1577" t="s">
        <v>1253</v>
      </c>
      <c r="B60" s="1578" t="str">
        <f>'预评函-4'!A14</f>
        <v>4.本次评估估价师所知悉的法定优先受偿款情况说明如下：</v>
      </c>
    </row>
    <row r="61" spans="1:2" s="1579" customFormat="1">
      <c r="A61" s="1577" t="s">
        <v>1254</v>
      </c>
      <c r="B61" s="1578"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9" customFormat="1">
      <c r="A62" s="1577" t="s">
        <v>1255</v>
      </c>
      <c r="B62" s="1578" t="str">
        <f>'预评函-4'!A16</f>
        <v>（2）根据《工程款支付情况说明》，截至价值时点，估价对象不存在应付未付工程款项。（只要没有施工方盖章的，均“设定”进行表述）</v>
      </c>
    </row>
    <row r="63" spans="1:2" s="1579" customFormat="1">
      <c r="A63" s="1577" t="s">
        <v>1256</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1268</v>
      </c>
      <c r="B64" s="1578" t="str">
        <f>'预评函-4'!A18</f>
        <v>故，本次评估不存在估价师知悉的法定优先受偿款</v>
      </c>
    </row>
    <row r="65" spans="1:2" s="1579" customFormat="1">
      <c r="A65" s="1577" t="s">
        <v>1257</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1258</v>
      </c>
      <c r="B66" s="1578" t="str">
        <f>'预评函-4'!A20</f>
        <v>——</v>
      </c>
    </row>
    <row r="67" spans="1:2" s="1579" customFormat="1">
      <c r="A67" s="1577" t="s">
        <v>1269</v>
      </c>
      <c r="B67" s="1578" t="str">
        <f>'预评函-4'!A21</f>
        <v>——</v>
      </c>
    </row>
    <row r="68" spans="1:2" s="1579" customFormat="1">
      <c r="A68" s="1577" t="s">
        <v>1270</v>
      </c>
      <c r="B68" s="1578" t="str">
        <f>'预评函-4'!A22</f>
        <v>8.其他需特殊说明事项：无（注意调整序号）</v>
      </c>
    </row>
    <row r="69" spans="1:2" s="1573" customFormat="1" ht="15" thickBot="1">
      <c r="A69" s="1580" t="s">
        <v>1259</v>
      </c>
      <c r="B69" s="1582">
        <f>'预评函-4'!C31</f>
        <v>42551</v>
      </c>
    </row>
    <row r="70" spans="1:2" ht="15" thickTop="1">
      <c r="A70" s="1583" t="s">
        <v>1260</v>
      </c>
      <c r="B70" s="1584" t="str">
        <f>'预评函-4'!A4</f>
        <v>郑燚</v>
      </c>
    </row>
    <row r="71" spans="1:2">
      <c r="A71" s="1577" t="s">
        <v>1261</v>
      </c>
      <c r="B71" s="1578">
        <f ca="1">'预评函-4'!B4</f>
        <v>1120070131</v>
      </c>
    </row>
    <row r="72" spans="1:2">
      <c r="A72" s="1577" t="s">
        <v>1262</v>
      </c>
      <c r="B72" s="1586" t="str">
        <f>'预评函-4'!A5</f>
        <v>王鹏</v>
      </c>
    </row>
    <row r="73" spans="1:2" s="1573" customFormat="1" ht="15" thickBot="1">
      <c r="A73" s="1580" t="s">
        <v>1263</v>
      </c>
      <c r="B73" s="1581">
        <f ca="1">'预评函-4'!B5</f>
        <v>1120050019</v>
      </c>
    </row>
    <row r="74" spans="1:2" ht="15" thickTop="1">
      <c r="A74" s="1570" t="s">
        <v>1299</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1690</v>
      </c>
      <c r="C1" s="1995" t="s">
        <v>759</v>
      </c>
      <c r="D1" s="1996" t="s">
        <v>1691</v>
      </c>
      <c r="E1" s="1996" t="s">
        <v>1692</v>
      </c>
      <c r="F1" s="1996" t="s">
        <v>1693</v>
      </c>
      <c r="G1" s="1996" t="s">
        <v>1694</v>
      </c>
      <c r="H1" s="1996" t="s">
        <v>1695</v>
      </c>
      <c r="I1" s="1996" t="s">
        <v>1696</v>
      </c>
      <c r="J1" s="1996" t="s">
        <v>1697</v>
      </c>
      <c r="K1" s="1996" t="s">
        <v>1698</v>
      </c>
      <c r="L1" s="1996" t="s">
        <v>1699</v>
      </c>
      <c r="M1" s="1996" t="s">
        <v>1700</v>
      </c>
      <c r="N1" s="1996" t="s">
        <v>1701</v>
      </c>
      <c r="O1" s="1996" t="s">
        <v>1702</v>
      </c>
      <c r="P1" s="1997" t="s">
        <v>753</v>
      </c>
      <c r="Q1" s="1997" t="s">
        <v>1144</v>
      </c>
      <c r="R1" s="1996" t="s">
        <v>1138</v>
      </c>
      <c r="S1" s="1996" t="s">
        <v>1703</v>
      </c>
      <c r="T1" s="1998" t="s">
        <v>1704</v>
      </c>
      <c r="U1" s="1996" t="s">
        <v>1705</v>
      </c>
      <c r="V1" s="1996" t="s">
        <v>1706</v>
      </c>
      <c r="W1" s="1996" t="s">
        <v>755</v>
      </c>
    </row>
    <row r="2" spans="1:23">
      <c r="A2" s="2000" t="s">
        <v>22</v>
      </c>
      <c r="B2" s="2000" t="s">
        <v>1707</v>
      </c>
      <c r="C2" s="2001" t="s">
        <v>760</v>
      </c>
      <c r="D2" s="2002" t="s">
        <v>1708</v>
      </c>
      <c r="E2" s="2002" t="s">
        <v>1709</v>
      </c>
      <c r="F2" s="2002" t="s">
        <v>1710</v>
      </c>
      <c r="G2" s="2002">
        <v>40</v>
      </c>
      <c r="H2" s="2002" t="s">
        <v>1710</v>
      </c>
      <c r="I2" s="2002" t="s">
        <v>1711</v>
      </c>
      <c r="J2" s="2002" t="s">
        <v>1712</v>
      </c>
      <c r="K2" s="2002" t="s">
        <v>1713</v>
      </c>
      <c r="L2" s="2002" t="s">
        <v>1713</v>
      </c>
      <c r="M2" s="2002" t="s">
        <v>1713</v>
      </c>
      <c r="N2" s="2002" t="s">
        <v>1713</v>
      </c>
      <c r="O2" s="2002" t="s">
        <v>1713</v>
      </c>
      <c r="P2" s="2002" t="s">
        <v>1713</v>
      </c>
      <c r="Q2" s="2002" t="s">
        <v>1713</v>
      </c>
      <c r="R2" s="2002" t="s">
        <v>1140</v>
      </c>
      <c r="S2" s="2002" t="s">
        <v>1713</v>
      </c>
      <c r="T2" s="2002" t="s">
        <v>1714</v>
      </c>
      <c r="U2" s="2002" t="s">
        <v>1713</v>
      </c>
      <c r="V2" s="2002" t="s">
        <v>1715</v>
      </c>
      <c r="W2" s="2002" t="s">
        <v>1713</v>
      </c>
    </row>
    <row r="3" spans="1:23">
      <c r="A3" s="2000" t="s">
        <v>1716</v>
      </c>
      <c r="B3" s="2003" t="s">
        <v>1145</v>
      </c>
      <c r="C3" s="2004" t="s">
        <v>761</v>
      </c>
      <c r="D3" s="2002" t="s">
        <v>1717</v>
      </c>
      <c r="E3" s="2002" t="s">
        <v>16</v>
      </c>
      <c r="F3" s="2002" t="s">
        <v>1718</v>
      </c>
      <c r="G3" s="2002">
        <v>50</v>
      </c>
      <c r="H3" s="2002" t="s">
        <v>1718</v>
      </c>
      <c r="I3" s="2002" t="s">
        <v>1719</v>
      </c>
      <c r="J3" s="2002" t="s">
        <v>1720</v>
      </c>
      <c r="K3" s="2002" t="s">
        <v>1721</v>
      </c>
      <c r="L3" s="2002" t="s">
        <v>1721</v>
      </c>
      <c r="M3" s="2002" t="s">
        <v>1721</v>
      </c>
      <c r="N3" s="2002" t="s">
        <v>1721</v>
      </c>
      <c r="O3" s="2002" t="s">
        <v>1721</v>
      </c>
      <c r="P3" s="2002" t="s">
        <v>1721</v>
      </c>
      <c r="Q3" s="2002" t="s">
        <v>1721</v>
      </c>
      <c r="R3" s="2002" t="s">
        <v>1139</v>
      </c>
      <c r="S3" s="2002" t="s">
        <v>1721</v>
      </c>
      <c r="T3" s="2002" t="s">
        <v>1722</v>
      </c>
      <c r="U3" s="2002" t="s">
        <v>1721</v>
      </c>
      <c r="V3" s="2002" t="s">
        <v>1723</v>
      </c>
      <c r="W3" s="2002" t="s">
        <v>1721</v>
      </c>
    </row>
    <row r="4" spans="1:23">
      <c r="A4" s="2000" t="s">
        <v>1724</v>
      </c>
      <c r="B4" s="2000" t="s">
        <v>1725</v>
      </c>
      <c r="C4" s="2001" t="s">
        <v>762</v>
      </c>
      <c r="D4" s="2002" t="s">
        <v>868</v>
      </c>
      <c r="E4" s="2002" t="s">
        <v>1726</v>
      </c>
      <c r="F4" s="2002" t="s">
        <v>1727</v>
      </c>
      <c r="G4" s="2002">
        <v>70</v>
      </c>
      <c r="H4" s="2002" t="s">
        <v>1727</v>
      </c>
      <c r="I4" s="2002" t="s">
        <v>1728</v>
      </c>
      <c r="K4" s="2002" t="s">
        <v>1729</v>
      </c>
      <c r="L4" s="2002" t="s">
        <v>1729</v>
      </c>
      <c r="M4" s="2002" t="s">
        <v>1729</v>
      </c>
      <c r="N4" s="2002" t="s">
        <v>1729</v>
      </c>
      <c r="O4" s="2002" t="s">
        <v>1729</v>
      </c>
      <c r="P4" s="2002" t="s">
        <v>1729</v>
      </c>
      <c r="Q4" s="2002" t="s">
        <v>1729</v>
      </c>
      <c r="R4" s="2002" t="s">
        <v>1141</v>
      </c>
      <c r="S4" s="2002" t="s">
        <v>1729</v>
      </c>
      <c r="T4" s="2002" t="s">
        <v>1730</v>
      </c>
      <c r="U4" s="2002" t="s">
        <v>1729</v>
      </c>
      <c r="W4" s="2002" t="s">
        <v>1729</v>
      </c>
    </row>
    <row r="5" spans="1:23">
      <c r="A5" s="2000" t="s">
        <v>1731</v>
      </c>
      <c r="B5" s="2000" t="s">
        <v>1732</v>
      </c>
      <c r="C5" s="2001" t="s">
        <v>763</v>
      </c>
      <c r="F5" s="2002" t="s">
        <v>1733</v>
      </c>
      <c r="H5" s="2002" t="s">
        <v>1734</v>
      </c>
      <c r="I5" s="2002" t="s">
        <v>1735</v>
      </c>
      <c r="K5" s="2002" t="s">
        <v>1736</v>
      </c>
      <c r="L5" s="2002" t="s">
        <v>1736</v>
      </c>
      <c r="M5" s="2002" t="s">
        <v>1736</v>
      </c>
      <c r="N5" s="2002" t="s">
        <v>1736</v>
      </c>
      <c r="O5" s="2002" t="s">
        <v>1736</v>
      </c>
      <c r="P5" s="2002" t="s">
        <v>1736</v>
      </c>
      <c r="Q5" s="2002" t="s">
        <v>1736</v>
      </c>
      <c r="R5" s="2002" t="s">
        <v>1142</v>
      </c>
      <c r="S5" s="2002" t="s">
        <v>1736</v>
      </c>
      <c r="T5" s="2002" t="s">
        <v>1737</v>
      </c>
      <c r="U5" s="2002" t="s">
        <v>1736</v>
      </c>
      <c r="W5" s="2002" t="s">
        <v>1736</v>
      </c>
    </row>
    <row r="6" spans="1:23">
      <c r="A6" s="2000" t="s">
        <v>1738</v>
      </c>
      <c r="B6" s="2003" t="s">
        <v>1146</v>
      </c>
      <c r="C6" s="2006" t="s">
        <v>30</v>
      </c>
      <c r="F6" s="2002" t="s">
        <v>1734</v>
      </c>
      <c r="H6" s="2002" t="s">
        <v>1739</v>
      </c>
      <c r="I6" s="2002" t="s">
        <v>1740</v>
      </c>
      <c r="K6" s="2002" t="s">
        <v>1741</v>
      </c>
      <c r="L6" s="2002" t="s">
        <v>1741</v>
      </c>
      <c r="M6" s="2002" t="s">
        <v>1741</v>
      </c>
      <c r="N6" s="2002" t="s">
        <v>1741</v>
      </c>
      <c r="O6" s="2002" t="s">
        <v>1741</v>
      </c>
      <c r="P6" s="2002" t="s">
        <v>1741</v>
      </c>
      <c r="Q6" s="2002" t="s">
        <v>1741</v>
      </c>
      <c r="R6" s="2002" t="s">
        <v>1143</v>
      </c>
      <c r="S6" s="2002" t="s">
        <v>1741</v>
      </c>
      <c r="T6" s="2002"/>
      <c r="U6" s="2002" t="s">
        <v>1741</v>
      </c>
      <c r="W6" s="2002" t="s">
        <v>1741</v>
      </c>
    </row>
    <row r="7" spans="1:23">
      <c r="A7" s="2000" t="s">
        <v>1742</v>
      </c>
      <c r="B7" s="2003" t="s">
        <v>1147</v>
      </c>
      <c r="C7" s="2001" t="s">
        <v>31</v>
      </c>
      <c r="F7" s="2002" t="s">
        <v>1743</v>
      </c>
      <c r="H7" s="2002" t="s">
        <v>1744</v>
      </c>
      <c r="I7" s="2002" t="s">
        <v>1745</v>
      </c>
    </row>
    <row r="8" spans="1:23">
      <c r="A8" s="2000" t="s">
        <v>1746</v>
      </c>
      <c r="B8" s="2000" t="s">
        <v>1747</v>
      </c>
      <c r="C8" s="2001" t="s">
        <v>764</v>
      </c>
      <c r="F8" s="2002" t="s">
        <v>1748</v>
      </c>
      <c r="H8" s="2002"/>
      <c r="I8" s="2002" t="s">
        <v>1749</v>
      </c>
    </row>
    <row r="9" spans="1:23">
      <c r="A9" s="2000" t="s">
        <v>1750</v>
      </c>
      <c r="B9" s="2000" t="s">
        <v>1751</v>
      </c>
      <c r="C9" s="2001" t="s">
        <v>765</v>
      </c>
      <c r="F9" s="2002" t="s">
        <v>1752</v>
      </c>
      <c r="H9" s="2002"/>
    </row>
    <row r="10" spans="1:23">
      <c r="A10" s="2000" t="s">
        <v>1753</v>
      </c>
      <c r="B10" s="2003" t="s">
        <v>3540</v>
      </c>
      <c r="C10" s="2001" t="s">
        <v>766</v>
      </c>
      <c r="F10" s="2002" t="s">
        <v>16</v>
      </c>
    </row>
    <row r="11" spans="1:23">
      <c r="A11" s="2000" t="s">
        <v>1754</v>
      </c>
      <c r="B11" s="2000" t="s">
        <v>1755</v>
      </c>
      <c r="C11" s="2001" t="s">
        <v>767</v>
      </c>
    </row>
    <row r="12" spans="1:23">
      <c r="A12" s="2000" t="s">
        <v>1756</v>
      </c>
      <c r="B12" s="2000" t="s">
        <v>1757</v>
      </c>
      <c r="C12" s="2001" t="s">
        <v>768</v>
      </c>
    </row>
    <row r="13" spans="1:23">
      <c r="A13" s="2000" t="s">
        <v>1758</v>
      </c>
      <c r="B13" s="2000" t="s">
        <v>1759</v>
      </c>
      <c r="C13" s="2001" t="s">
        <v>769</v>
      </c>
    </row>
    <row r="14" spans="1:23">
      <c r="A14" s="2000" t="s">
        <v>1760</v>
      </c>
      <c r="B14" s="2000" t="s">
        <v>1761</v>
      </c>
      <c r="C14" s="2002" t="s">
        <v>16</v>
      </c>
    </row>
    <row r="15" spans="1:23">
      <c r="A15" s="2000" t="s">
        <v>1762</v>
      </c>
      <c r="B15" s="2000" t="s">
        <v>1763</v>
      </c>
      <c r="C15" s="2001"/>
    </row>
    <row r="16" spans="1:23">
      <c r="A16" s="2000" t="s">
        <v>1764</v>
      </c>
      <c r="B16" s="2000" t="s">
        <v>756</v>
      </c>
      <c r="C16" s="2001"/>
    </row>
    <row r="17" spans="1:3">
      <c r="A17" s="2000" t="s">
        <v>1765</v>
      </c>
      <c r="B17" s="2000" t="s">
        <v>3538</v>
      </c>
      <c r="C17" s="2001"/>
    </row>
    <row r="18" spans="1:3">
      <c r="A18" s="2000" t="s">
        <v>1766</v>
      </c>
      <c r="B18" s="2000" t="s">
        <v>757</v>
      </c>
      <c r="C18" s="2001"/>
    </row>
    <row r="19" spans="1:3">
      <c r="A19" s="2000" t="s">
        <v>1767</v>
      </c>
      <c r="B19" s="2000" t="s">
        <v>757</v>
      </c>
      <c r="C19" s="2001"/>
    </row>
    <row r="20" spans="1:3">
      <c r="A20" s="2000" t="s">
        <v>1768</v>
      </c>
      <c r="B20" s="2000" t="s">
        <v>757</v>
      </c>
      <c r="C20" s="2001"/>
    </row>
    <row r="21" spans="1:3">
      <c r="A21" s="2000" t="s">
        <v>1769</v>
      </c>
      <c r="B21" s="2000" t="s">
        <v>757</v>
      </c>
      <c r="C21" s="2001"/>
    </row>
    <row r="22" spans="1:3">
      <c r="A22" s="2000" t="s">
        <v>1770</v>
      </c>
      <c r="B22" s="2000" t="s">
        <v>757</v>
      </c>
      <c r="C22" s="2001"/>
    </row>
    <row r="23" spans="1:3">
      <c r="A23" s="2000" t="s">
        <v>1771</v>
      </c>
      <c r="B23" s="2000" t="s">
        <v>757</v>
      </c>
      <c r="C23" s="2001"/>
    </row>
    <row r="24" spans="1:3">
      <c r="A24" s="2000" t="s">
        <v>1772</v>
      </c>
      <c r="B24" s="2000" t="s">
        <v>757</v>
      </c>
      <c r="C24" s="2001"/>
    </row>
    <row r="25" spans="1:3">
      <c r="A25" s="2000" t="s">
        <v>1773</v>
      </c>
      <c r="B25" s="2000" t="s">
        <v>757</v>
      </c>
      <c r="C25" s="2001"/>
    </row>
    <row r="26" spans="1:3">
      <c r="A26" s="2000" t="s">
        <v>1774</v>
      </c>
      <c r="B26" s="2000" t="s">
        <v>757</v>
      </c>
      <c r="C26" s="2001"/>
    </row>
    <row r="27" spans="1:3">
      <c r="A27" s="2000" t="s">
        <v>757</v>
      </c>
      <c r="B27" s="2000" t="s">
        <v>757</v>
      </c>
      <c r="C27" s="2001"/>
    </row>
    <row r="28" spans="1:3">
      <c r="A28" s="2000" t="s">
        <v>757</v>
      </c>
      <c r="B28" s="2000" t="s">
        <v>757</v>
      </c>
      <c r="C28" s="2001"/>
    </row>
    <row r="29" spans="1:3">
      <c r="A29" s="2000" t="s">
        <v>757</v>
      </c>
      <c r="B29" s="2000" t="s">
        <v>757</v>
      </c>
      <c r="C29" s="2001"/>
    </row>
    <row r="30" spans="1:3">
      <c r="A30" s="2000" t="s">
        <v>757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州泰禾锦兴置业有限公司拟使用北京市朝阳区东四环中路58号楼配套商业、酒店式公寓用房房地产作为抵押担保物，向待定办理贷款手续。待定特委托北京康正宏基房地产评估有限公司对上述抵押物进行评估。本次评估为确定房地产抵押贷款额度提供参考依据而评估房地产抵押价值。</v>
      </c>
      <c r="D51" s="2008" t="s">
        <v>1284</v>
      </c>
    </row>
    <row r="52" spans="1:4">
      <c r="A52" s="2007" t="s">
        <v>858</v>
      </c>
      <c r="B52" s="2007" t="s">
        <v>859</v>
      </c>
      <c r="C52" s="2005" t="s">
        <v>860</v>
      </c>
      <c r="D52" s="2005" t="s">
        <v>861</v>
      </c>
    </row>
    <row r="53" spans="1:4">
      <c r="A53" s="3068"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日，估价对象规划用途为配套商业、酒店式公寓土地取得方式为出让，出让国有建设用地使用权剩余土地使用年限为XX年(多用途剩余年限尾数不同时，可只体现小数点后一位)，假定未设立法定优先受偿款下的房地产市场价值。</v>
      </c>
    </row>
    <row r="54" spans="1:4">
      <c r="A54" s="3068"/>
      <c r="B54" s="2008" t="s">
        <v>864</v>
      </c>
      <c r="C54" s="2005" t="s">
        <v>1281</v>
      </c>
    </row>
    <row r="55" spans="1:4">
      <c r="A55" s="3068"/>
      <c r="B55" s="2008" t="s">
        <v>865</v>
      </c>
      <c r="C55" s="2005" t="s">
        <v>1282</v>
      </c>
    </row>
    <row r="56" spans="1:4">
      <c r="A56" s="3068"/>
      <c r="B56" s="2008" t="s">
        <v>866</v>
      </c>
      <c r="C56" s="2005" t="s">
        <v>1286</v>
      </c>
    </row>
    <row r="57" spans="1:4">
      <c r="A57" s="3068"/>
      <c r="B57" s="2008" t="s">
        <v>867</v>
      </c>
      <c r="C57" s="2005" t="s">
        <v>1283</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B53" sqref="B53"/>
    </sheetView>
  </sheetViews>
  <sheetFormatPr defaultColWidth="10" defaultRowHeight="18" customHeight="1"/>
  <cols>
    <col min="1" max="1" width="20.625" style="2227" customWidth="1"/>
    <col min="2" max="2" width="14" style="2227" customWidth="1"/>
    <col min="3" max="3" width="11.5" style="2227" customWidth="1"/>
    <col min="4" max="4" width="10" style="2227" customWidth="1"/>
    <col min="5" max="5" width="13.375" style="2227" customWidth="1"/>
    <col min="6" max="6" width="10" style="2227" customWidth="1"/>
    <col min="7" max="7" width="10.75" style="2227" customWidth="1"/>
    <col min="8" max="8" width="10" style="2227" customWidth="1"/>
    <col min="9" max="9" width="11.125" style="2050" customWidth="1"/>
    <col min="10" max="10" width="10" style="2227" customWidth="1"/>
    <col min="11" max="11" width="10" style="2961" customWidth="1"/>
    <col min="12" max="13" width="10" style="2962" customWidth="1"/>
    <col min="14" max="14" width="10" style="2227" customWidth="1"/>
    <col min="15" max="15" width="10" style="2050" customWidth="1"/>
    <col min="16" max="17" width="10" style="2227"/>
    <col min="18" max="18" width="10" style="2227" customWidth="1"/>
    <col min="19" max="16384" width="10" style="2227"/>
  </cols>
  <sheetData>
    <row r="1" spans="1:19" ht="13.5" thickBot="1">
      <c r="A1" s="2874" t="s">
        <v>3460</v>
      </c>
      <c r="B1" s="3077" t="str">
        <f>IF(B10="北京市","北京市",C10)&amp;F10&amp;IF(结果表!G1="在建","出让国有建设用地使用权及在建建筑物",IF(结果表!G1="土地","出让国有建设用地使用权",))&amp;B9&amp;"预评估"</f>
        <v>北京市朝阳区东四环中路58号楼配套商业、酒店式公寓用房房地产抵押价值预评估</v>
      </c>
      <c r="C1" s="3078"/>
      <c r="D1" s="3078"/>
      <c r="E1" s="3078"/>
      <c r="F1" s="3078"/>
      <c r="G1" s="3078"/>
      <c r="H1" s="3078"/>
      <c r="I1" s="3079"/>
      <c r="J1" s="2875"/>
      <c r="K1" s="2876"/>
      <c r="L1" s="2877"/>
      <c r="M1" s="2877"/>
      <c r="N1" s="2878"/>
      <c r="O1" s="2047"/>
      <c r="P1" s="2878"/>
      <c r="Q1" s="2878"/>
      <c r="R1" s="2878"/>
      <c r="S1" s="2157" t="str">
        <f>IF(B10="北京市","北京市",C10)&amp;F10&amp;IF(结果表!G1="在建","出让国有建设用地使用权及在建建筑物房地产抵押价值",IF(结果表!G1="土地","出让国有建设用地使用权抵押价值",B9))</f>
        <v>北京市朝阳区东四环中路58号楼配套商业、酒店式公寓用房房地产抵押价值</v>
      </c>
    </row>
    <row r="2" spans="1:19" ht="18" customHeight="1">
      <c r="A2" s="2875" t="s">
        <v>3461</v>
      </c>
      <c r="B2" s="2879" t="s">
        <v>3535</v>
      </c>
      <c r="C2" s="2880"/>
      <c r="D2" s="2875"/>
      <c r="E2" s="2049"/>
      <c r="F2" s="2049"/>
      <c r="G2" s="2875"/>
      <c r="H2" s="2875"/>
      <c r="I2" s="2875"/>
      <c r="J2" s="2875"/>
      <c r="K2" s="2876"/>
      <c r="L2" s="2877"/>
      <c r="M2" s="2877"/>
      <c r="N2" s="2878"/>
      <c r="O2" s="2047"/>
      <c r="P2" s="2878"/>
      <c r="Q2" s="2878"/>
      <c r="R2" s="2878"/>
      <c r="S2" s="2157" t="str">
        <f>IF(B10="北京市","北京市",C10)&amp;F10&amp;IF(结果表!G1="在建","出让国有建设用地使用权及在建建筑物房地产",IF(结果表!G1="土地","出让国有建设用地使用权","房地产"))</f>
        <v>北京市朝阳区东四环中路58号楼配套商业、酒店式公寓用房房地产</v>
      </c>
    </row>
    <row r="3" spans="1:19" ht="18" customHeight="1">
      <c r="A3" s="347" t="s">
        <v>3462</v>
      </c>
      <c r="B3" s="2881">
        <v>43161</v>
      </c>
      <c r="C3" s="369" t="s">
        <v>3463</v>
      </c>
      <c r="D3" s="2881">
        <f>B3</f>
        <v>43161</v>
      </c>
      <c r="E3" s="2875"/>
      <c r="F3" s="2875"/>
      <c r="G3" s="2875"/>
      <c r="H3" s="2875"/>
      <c r="I3" s="2875"/>
      <c r="J3" s="2875"/>
      <c r="K3" s="2876"/>
      <c r="L3" s="2877"/>
      <c r="M3" s="2877"/>
      <c r="N3" s="2878"/>
      <c r="O3" s="2047"/>
      <c r="P3" s="2878"/>
      <c r="Q3" s="2878"/>
      <c r="R3" s="2878"/>
      <c r="S3" s="2157"/>
    </row>
    <row r="4" spans="1:19" ht="18" customHeight="1" thickBot="1">
      <c r="A4" s="1327" t="s">
        <v>3464</v>
      </c>
      <c r="B4" s="2882" t="s">
        <v>3442</v>
      </c>
      <c r="C4" s="2883">
        <f ca="1">SUMIF(注册房地产估价师,B4,估价师及机构信息!B3:B24)</f>
        <v>1120070131</v>
      </c>
      <c r="D4" s="2882" t="s">
        <v>3443</v>
      </c>
      <c r="E4" s="2884">
        <f ca="1">SUMIF(注册房地产估价师,D4,估价师及机构信息!B3:B24)</f>
        <v>1120050019</v>
      </c>
      <c r="F4" s="2882" t="s">
        <v>70</v>
      </c>
      <c r="G4" s="2885">
        <f>SUMIF(注册房地产估价师,F4,估价师及机构信息!B3:B24)</f>
        <v>0</v>
      </c>
      <c r="H4" s="2882" t="s">
        <v>70</v>
      </c>
      <c r="I4" s="1813">
        <f>SUMIF(注册房地产估价师,H4,估价师及机构信息!B3:B24)</f>
        <v>0</v>
      </c>
      <c r="J4" s="2878"/>
      <c r="K4" s="2886" t="str">
        <f ca="1">CONCATENATE(B4,"（注册号：",C4,")、",D4,"（注册号：",E4,")")</f>
        <v>郑燚（注册号：1120070131)、王鹏（注册号：1120050019)</v>
      </c>
      <c r="L4" s="2877"/>
      <c r="M4" s="2877"/>
      <c r="N4" s="2878"/>
      <c r="O4" s="2047"/>
      <c r="P4" s="2878"/>
      <c r="Q4" s="2878"/>
      <c r="R4" s="2878"/>
      <c r="S4" s="2157"/>
    </row>
    <row r="5" spans="1:19" ht="18" customHeight="1" thickTop="1">
      <c r="A5" s="2887" t="s">
        <v>3465</v>
      </c>
      <c r="B5" s="2888" t="s">
        <v>3444</v>
      </c>
      <c r="C5" s="2889"/>
      <c r="D5" s="2890"/>
      <c r="E5" s="2878"/>
      <c r="F5" s="2878"/>
      <c r="G5" s="2878"/>
      <c r="H5" s="2878"/>
      <c r="I5" s="2878"/>
      <c r="J5" s="2878"/>
      <c r="K5" s="2886" t="str">
        <f>IF(F4="——","",IF(H4="——",F4&amp;"（注册号："&amp;G4&amp;")",CONCATENATE(F4,"（注册号：",G4,")、",H4,"（注册号：",I4,")")))</f>
        <v/>
      </c>
      <c r="L5" s="2877"/>
      <c r="M5" s="2877"/>
      <c r="N5" s="2878"/>
      <c r="O5" s="2047"/>
      <c r="P5" s="2878"/>
      <c r="Q5" s="2878"/>
      <c r="R5" s="2878"/>
    </row>
    <row r="6" spans="1:19" ht="18" customHeight="1" thickBot="1">
      <c r="A6" s="2891" t="s">
        <v>3466</v>
      </c>
      <c r="B6" s="2964" t="s">
        <v>3534</v>
      </c>
      <c r="C6" s="2892"/>
      <c r="D6" s="2893"/>
      <c r="E6" s="2049"/>
      <c r="F6" s="2878"/>
      <c r="G6" s="2878"/>
      <c r="H6" s="2878"/>
      <c r="I6" s="2878"/>
      <c r="J6" s="2878"/>
      <c r="K6" s="2894" t="str">
        <f>IF(COUNTIF(B6,"*上海银行*"),"上海银行","")</f>
        <v/>
      </c>
      <c r="L6" s="2877"/>
      <c r="M6" s="2877"/>
      <c r="N6" s="2878"/>
      <c r="O6" s="2047"/>
      <c r="P6" s="2878"/>
      <c r="Q6" s="2878"/>
      <c r="R6" s="2878"/>
    </row>
    <row r="7" spans="1:19" ht="18" customHeight="1" thickTop="1">
      <c r="A7" s="2891" t="s">
        <v>3467</v>
      </c>
      <c r="B7" s="2888" t="str">
        <f>B5</f>
        <v>福州泰禾锦兴置业有限公司</v>
      </c>
      <c r="C7" s="2892"/>
      <c r="D7" s="2893"/>
      <c r="E7" s="2049"/>
      <c r="F7" s="2878"/>
      <c r="G7" s="2878"/>
      <c r="H7" s="2878"/>
      <c r="I7" s="2878"/>
      <c r="J7" s="2878"/>
      <c r="K7" s="2895"/>
      <c r="L7" s="2877"/>
      <c r="M7" s="2877"/>
      <c r="N7" s="2878"/>
      <c r="O7" s="2047"/>
      <c r="P7" s="2878"/>
      <c r="Q7" s="2878"/>
      <c r="R7" s="2878"/>
    </row>
    <row r="8" spans="1:19" ht="18" customHeight="1">
      <c r="A8" s="2891" t="s">
        <v>3468</v>
      </c>
      <c r="B8" s="2896" t="s">
        <v>3445</v>
      </c>
      <c r="C8" s="2897"/>
      <c r="D8" s="3080" t="s">
        <v>3469</v>
      </c>
      <c r="E8" s="2898" t="s">
        <v>3536</v>
      </c>
      <c r="F8" s="2899"/>
      <c r="G8" s="2875"/>
      <c r="H8" s="2875"/>
      <c r="I8" s="2875"/>
      <c r="J8" s="2878"/>
      <c r="K8" s="2886"/>
      <c r="L8" s="2877"/>
      <c r="M8" s="2877"/>
      <c r="N8" s="2878"/>
      <c r="O8" s="2047"/>
      <c r="P8" s="2878"/>
      <c r="Q8" s="2878"/>
      <c r="R8" s="2878"/>
    </row>
    <row r="9" spans="1:19" ht="18" customHeight="1" thickBot="1">
      <c r="A9" s="2885" t="s">
        <v>3470</v>
      </c>
      <c r="B9" s="2900" t="s">
        <v>3446</v>
      </c>
      <c r="C9" s="2901"/>
      <c r="D9" s="3081"/>
      <c r="E9" s="2900"/>
      <c r="F9" s="2902"/>
      <c r="G9" s="2903"/>
      <c r="H9" s="2903"/>
      <c r="I9" s="2903"/>
      <c r="J9" s="2878"/>
      <c r="K9" s="2895"/>
      <c r="L9" s="2877"/>
      <c r="M9" s="2877"/>
      <c r="N9" s="2878"/>
      <c r="O9" s="2047"/>
      <c r="P9" s="2878"/>
      <c r="Q9" s="2878"/>
      <c r="R9" s="2878"/>
    </row>
    <row r="10" spans="1:19" ht="18" customHeight="1" thickTop="1">
      <c r="A10" s="365" t="s">
        <v>3471</v>
      </c>
      <c r="B10" s="2904" t="s">
        <v>3447</v>
      </c>
      <c r="C10" s="2905"/>
      <c r="D10" s="2890"/>
      <c r="E10" s="2906" t="s">
        <v>3472</v>
      </c>
      <c r="F10" s="2907" t="s">
        <v>3473</v>
      </c>
      <c r="G10" s="2908"/>
      <c r="H10" s="2909"/>
      <c r="I10" s="2890"/>
      <c r="J10" s="2878"/>
      <c r="K10" s="2895"/>
      <c r="L10" s="2877"/>
      <c r="M10" s="2877"/>
      <c r="N10" s="2878"/>
      <c r="O10" s="2047"/>
      <c r="P10" s="2878"/>
      <c r="Q10" s="2878"/>
      <c r="R10" s="2878"/>
    </row>
    <row r="11" spans="1:19" ht="18" customHeight="1">
      <c r="A11" s="2061" t="s">
        <v>3474</v>
      </c>
      <c r="B11" s="2910" t="s">
        <v>3448</v>
      </c>
      <c r="C11" s="2911" t="str">
        <f>B5</f>
        <v>福州泰禾锦兴置业有限公司</v>
      </c>
      <c r="D11" s="2912"/>
      <c r="E11" s="2878"/>
      <c r="F11" s="2878"/>
      <c r="G11" s="2878"/>
      <c r="H11" s="2878"/>
      <c r="I11" s="2878"/>
      <c r="J11" s="2878"/>
      <c r="K11" s="2895"/>
      <c r="L11" s="2877"/>
      <c r="M11" s="2877"/>
      <c r="N11" s="2878"/>
      <c r="O11" s="2047"/>
      <c r="P11" s="2878"/>
      <c r="Q11" s="2878"/>
      <c r="R11" s="2878"/>
    </row>
    <row r="12" spans="1:19" ht="18" customHeight="1">
      <c r="A12" s="2913" t="s">
        <v>3475</v>
      </c>
      <c r="B12" s="2910" t="s">
        <v>3449</v>
      </c>
      <c r="C12" s="369" t="s">
        <v>3476</v>
      </c>
      <c r="D12" s="2914" t="s">
        <v>3477</v>
      </c>
      <c r="E12" s="2914" t="s">
        <v>3478</v>
      </c>
      <c r="F12" s="2914" t="s">
        <v>3479</v>
      </c>
      <c r="G12" s="2914" t="s">
        <v>3480</v>
      </c>
      <c r="H12" s="2914" t="s">
        <v>3481</v>
      </c>
      <c r="I12" s="2914" t="s">
        <v>3482</v>
      </c>
      <c r="J12" s="2878"/>
      <c r="K12" s="2895"/>
      <c r="L12" s="2877"/>
      <c r="M12" s="2877"/>
      <c r="N12" s="2878"/>
      <c r="O12" s="2047"/>
      <c r="P12" s="2878"/>
      <c r="Q12" s="2878"/>
      <c r="R12" s="2878"/>
    </row>
    <row r="13" spans="1:19" ht="18" customHeight="1">
      <c r="A13" s="1318"/>
      <c r="B13" s="2915"/>
      <c r="C13" s="2916" t="s">
        <v>3483</v>
      </c>
      <c r="D13" s="1045">
        <v>63555</v>
      </c>
      <c r="E13" s="2965">
        <v>52597</v>
      </c>
      <c r="F13" s="1045"/>
      <c r="G13" s="1045"/>
      <c r="H13" s="1045"/>
      <c r="I13" s="1045"/>
      <c r="J13" s="2878"/>
      <c r="K13" s="2895"/>
      <c r="L13" s="2877"/>
      <c r="M13" s="2877"/>
      <c r="N13" s="2878"/>
      <c r="O13" s="2047"/>
      <c r="P13" s="2878"/>
      <c r="Q13" s="2878"/>
      <c r="R13" s="2878"/>
    </row>
    <row r="14" spans="1:19" ht="18" customHeight="1">
      <c r="A14" s="1318"/>
      <c r="B14" s="2915"/>
      <c r="C14" s="2916" t="s">
        <v>3484</v>
      </c>
      <c r="D14" s="2917">
        <v>70</v>
      </c>
      <c r="E14" s="2917">
        <v>40</v>
      </c>
      <c r="F14" s="2917"/>
      <c r="G14" s="2917"/>
      <c r="H14" s="2917"/>
      <c r="I14" s="2917"/>
      <c r="J14" s="2878"/>
      <c r="K14" s="2918"/>
      <c r="L14" s="2877"/>
      <c r="M14" s="2877"/>
      <c r="N14" s="2878"/>
      <c r="O14" s="2047"/>
      <c r="P14" s="2878"/>
      <c r="Q14" s="2878"/>
      <c r="R14" s="2878"/>
    </row>
    <row r="15" spans="1:19" ht="18" customHeight="1">
      <c r="A15" s="365"/>
      <c r="B15" s="2919"/>
      <c r="C15" s="2916" t="s">
        <v>3485</v>
      </c>
      <c r="D15" s="2920">
        <f>IF(B12="出让",IF(D13="","",ROUNDDOWN(MIN((D13-$D$3)/365,D14),2)),D14)</f>
        <v>55.87</v>
      </c>
      <c r="E15" s="2920">
        <f>IF(B12="出让",IF(E13="","",ROUNDDOWN(MIN((E13-$D$3)/365,E14),2)),E14)</f>
        <v>25.85</v>
      </c>
      <c r="F15" s="2920" t="str">
        <f>IF(B12="出让",IF(F13="","",ROUNDDOWN(MIN((F13-$D$3)/365,F14),2)),F14)</f>
        <v/>
      </c>
      <c r="G15" s="2920" t="str">
        <f>IF(B12="出让",IF(G13="","",ROUNDDOWN(MIN((G13-$D$3)/365,G14),2)),G14)</f>
        <v/>
      </c>
      <c r="H15" s="2920" t="str">
        <f>IF(B12="出让",IF(H13="","",ROUNDDOWN(MIN((H13-$D$3)/365,H14),2)),H14)</f>
        <v/>
      </c>
      <c r="I15" s="2920" t="str">
        <f>IF(B12="出让",IF(I13="","",ROUNDDOWN(MIN((I13-$D$3)/365,I14),2)),I14)</f>
        <v/>
      </c>
      <c r="J15" s="2878"/>
      <c r="K15" s="2921"/>
      <c r="L15" s="2922"/>
      <c r="M15" s="2922"/>
      <c r="N15" s="2923"/>
      <c r="O15" s="2922"/>
      <c r="P15" s="2923"/>
      <c r="Q15" s="2878"/>
      <c r="R15" s="2878"/>
    </row>
    <row r="16" spans="1:19" ht="12.75">
      <c r="A16" s="2906" t="s">
        <v>3486</v>
      </c>
      <c r="B16" s="3087" t="s">
        <v>3450</v>
      </c>
      <c r="C16" s="3088"/>
      <c r="D16" s="3089"/>
      <c r="E16" s="2924" t="s">
        <v>3487</v>
      </c>
      <c r="F16" s="3090" t="s">
        <v>3488</v>
      </c>
      <c r="G16" s="3091"/>
      <c r="H16" s="3091"/>
      <c r="I16" s="3092"/>
      <c r="J16" s="2878"/>
      <c r="K16" s="2921"/>
      <c r="L16" s="2922"/>
      <c r="M16" s="2922"/>
      <c r="N16" s="2923"/>
      <c r="O16" s="2922"/>
      <c r="P16" s="2923"/>
      <c r="Q16" s="2878"/>
      <c r="R16" s="2878"/>
    </row>
    <row r="17" spans="1:22" ht="12.75">
      <c r="A17" s="358" t="s">
        <v>3489</v>
      </c>
      <c r="B17" s="347" t="s">
        <v>3490</v>
      </c>
      <c r="C17" s="11">
        <f>'数据-汇总表'!E3</f>
        <v>26965.789999999986</v>
      </c>
      <c r="D17" s="2819" t="s">
        <v>3491</v>
      </c>
      <c r="E17" s="3093" t="s">
        <v>3492</v>
      </c>
      <c r="F17" s="3094" t="s">
        <v>2966</v>
      </c>
      <c r="G17" s="3094" t="s">
        <v>2966</v>
      </c>
      <c r="H17" s="3094" t="s">
        <v>2966</v>
      </c>
      <c r="I17" s="3095" t="s">
        <v>2966</v>
      </c>
      <c r="J17" s="2878"/>
      <c r="K17" s="2925"/>
      <c r="L17" s="2922"/>
      <c r="M17" s="2922"/>
      <c r="N17" s="2923"/>
      <c r="O17" s="2922"/>
      <c r="P17" s="2923"/>
      <c r="Q17" s="2878"/>
      <c r="R17" s="2878"/>
      <c r="S17" s="2878"/>
      <c r="T17" s="2878"/>
      <c r="U17" s="2878"/>
      <c r="V17" s="2878"/>
    </row>
    <row r="18" spans="1:22" ht="13.5" thickBot="1">
      <c r="A18" s="2926" t="s">
        <v>3493</v>
      </c>
      <c r="B18" s="1327" t="s">
        <v>3494</v>
      </c>
      <c r="C18" s="2927">
        <f>'数据-汇总表'!D3</f>
        <v>2719.43</v>
      </c>
      <c r="D18" s="1329" t="s">
        <v>3491</v>
      </c>
      <c r="E18" s="3096" t="str">
        <f>E17</f>
        <v>《不动产权证书》[京（2017）朝不动产权第0064885号]等229套</v>
      </c>
      <c r="F18" s="3097"/>
      <c r="G18" s="3097"/>
      <c r="H18" s="3097"/>
      <c r="I18" s="3098"/>
      <c r="J18" s="2878"/>
      <c r="K18" s="2925"/>
      <c r="L18" s="2922"/>
      <c r="M18" s="2922"/>
      <c r="N18" s="2923"/>
      <c r="O18" s="2922"/>
      <c r="P18" s="2923"/>
      <c r="Q18" s="2878"/>
      <c r="R18" s="2878"/>
      <c r="S18" s="2878"/>
      <c r="T18" s="2878"/>
      <c r="U18" s="2878"/>
      <c r="V18" s="2878"/>
    </row>
    <row r="19" spans="1:22" ht="37.5" hidden="1" customHeight="1" thickTop="1" thickBot="1">
      <c r="A19" s="373" t="s">
        <v>1775</v>
      </c>
      <c r="B19" s="352" t="s">
        <v>1776</v>
      </c>
      <c r="C19" s="2017" t="s">
        <v>3434</v>
      </c>
      <c r="D19" s="2018" t="s">
        <v>1777</v>
      </c>
      <c r="E19" s="2019" t="s">
        <v>3451</v>
      </c>
      <c r="F19" s="2020" t="str">
        <f>IF(AND(C19="是",E19="否"),"是否提供他项权证或相关说明","")</f>
        <v>是否提供他项权证或相关说明</v>
      </c>
      <c r="G19" s="2021"/>
      <c r="H19" s="2878"/>
      <c r="I19" s="2878"/>
      <c r="J19" s="2878"/>
      <c r="K19" s="2895"/>
      <c r="L19" s="2877"/>
      <c r="M19" s="2877"/>
      <c r="N19" s="2923"/>
      <c r="O19" s="2922"/>
      <c r="P19" s="2923"/>
      <c r="Q19" s="2878"/>
      <c r="R19" s="2878"/>
      <c r="S19" s="2878"/>
      <c r="T19" s="2878"/>
      <c r="U19" s="2878"/>
      <c r="V19" s="2878"/>
    </row>
    <row r="20" spans="1:22" ht="18" hidden="1" customHeight="1" thickTop="1">
      <c r="A20" s="2022" t="s">
        <v>1778</v>
      </c>
      <c r="B20" s="3083" t="s">
        <v>1779</v>
      </c>
      <c r="C20" s="3084"/>
      <c r="D20" s="3085" t="s">
        <v>1780</v>
      </c>
      <c r="E20" s="3086"/>
      <c r="F20" s="2023" t="s">
        <v>1781</v>
      </c>
      <c r="G20" s="2878"/>
      <c r="H20" s="2878"/>
      <c r="I20" s="2878"/>
      <c r="J20" s="2878"/>
      <c r="K20" s="3082" t="s">
        <v>1782</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877"/>
      <c r="N20" s="2923"/>
      <c r="O20" s="2922"/>
      <c r="P20" s="2923"/>
      <c r="Q20" s="2878"/>
      <c r="R20" s="2878"/>
      <c r="S20" s="2878"/>
      <c r="T20" s="2878"/>
      <c r="U20" s="2878"/>
      <c r="V20" s="2878"/>
    </row>
    <row r="21" spans="1:22" ht="12.75" hidden="1">
      <c r="A21" s="2022"/>
      <c r="B21" s="2928" t="s">
        <v>3452</v>
      </c>
      <c r="C21" s="2024" t="s">
        <v>3453</v>
      </c>
      <c r="D21" s="2025"/>
      <c r="E21" s="2026"/>
      <c r="F21" s="2027"/>
      <c r="G21" s="2878"/>
      <c r="H21" s="2878"/>
      <c r="I21" s="2878"/>
      <c r="J21" s="2878"/>
      <c r="K21" s="308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7"/>
      <c r="N21" s="2923"/>
      <c r="O21" s="2922"/>
      <c r="P21" s="2923"/>
      <c r="Q21" s="2878"/>
      <c r="R21" s="2878"/>
      <c r="S21" s="2878"/>
      <c r="T21" s="2878"/>
      <c r="U21" s="2878"/>
      <c r="V21" s="2878"/>
    </row>
    <row r="22" spans="1:22" ht="24.75" hidden="1" customHeight="1" thickBot="1">
      <c r="A22" s="2022"/>
      <c r="B22" s="2929"/>
      <c r="C22" s="2024"/>
      <c r="D22" s="2875"/>
      <c r="E22" s="2875"/>
      <c r="F22" s="2930"/>
      <c r="G22" s="2878"/>
      <c r="H22" s="2878"/>
      <c r="I22" s="2878"/>
      <c r="J22" s="2878"/>
      <c r="K22" s="308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7"/>
      <c r="N22" s="2923"/>
      <c r="O22" s="2922"/>
      <c r="P22" s="2923"/>
      <c r="Q22" s="2878"/>
      <c r="R22" s="2878"/>
      <c r="S22" s="2878"/>
      <c r="T22" s="2878"/>
      <c r="U22" s="2878"/>
      <c r="V22" s="2878"/>
    </row>
    <row r="23" spans="1:22" ht="18" hidden="1" customHeight="1">
      <c r="A23" s="2028" t="s">
        <v>1783</v>
      </c>
      <c r="B23" s="183" t="s">
        <v>1784</v>
      </c>
      <c r="C23" s="2029"/>
      <c r="D23" s="2030" t="s">
        <v>1784</v>
      </c>
      <c r="E23" s="2031"/>
      <c r="F23" s="2930"/>
      <c r="G23" s="2878"/>
      <c r="H23" s="2878"/>
      <c r="I23" s="2878"/>
      <c r="J23" s="2878"/>
      <c r="K23" s="2810"/>
      <c r="L23" s="747"/>
      <c r="M23" s="2877"/>
      <c r="N23" s="2923"/>
      <c r="O23" s="2922"/>
      <c r="P23" s="2923"/>
      <c r="Q23" s="2878"/>
      <c r="R23" s="2878"/>
      <c r="S23" s="2878"/>
      <c r="T23" s="2878"/>
      <c r="U23" s="2878"/>
      <c r="V23" s="2878"/>
    </row>
    <row r="24" spans="1:22" ht="18" hidden="1" customHeight="1">
      <c r="A24" s="2033"/>
      <c r="B24" s="183" t="s">
        <v>1785</v>
      </c>
      <c r="C24" s="2034"/>
      <c r="D24" s="2028" t="s">
        <v>1785</v>
      </c>
      <c r="E24" s="2035"/>
      <c r="F24" s="2930"/>
      <c r="G24" s="2878"/>
      <c r="H24" s="2878"/>
      <c r="I24" s="2878"/>
      <c r="J24" s="2878"/>
      <c r="K24" s="2810"/>
      <c r="L24" s="747"/>
      <c r="M24" s="2877"/>
      <c r="N24" s="2923"/>
      <c r="O24" s="2922"/>
      <c r="P24" s="2923"/>
      <c r="Q24" s="2878"/>
      <c r="R24" s="2878"/>
      <c r="S24" s="2878"/>
      <c r="T24" s="2878"/>
      <c r="U24" s="2878"/>
      <c r="V24" s="2878"/>
    </row>
    <row r="25" spans="1:22" ht="18" hidden="1" customHeight="1">
      <c r="A25" s="2033"/>
      <c r="B25" s="183" t="s">
        <v>1786</v>
      </c>
      <c r="C25" s="2034"/>
      <c r="D25" s="2028" t="s">
        <v>1786</v>
      </c>
      <c r="E25" s="2035"/>
      <c r="F25" s="2930"/>
      <c r="G25" s="2878"/>
      <c r="H25" s="2878"/>
      <c r="I25" s="2878"/>
      <c r="J25" s="2878"/>
      <c r="K25" s="2895"/>
      <c r="L25" s="2877"/>
      <c r="M25" s="2877"/>
      <c r="N25" s="2923"/>
      <c r="O25" s="2922"/>
      <c r="P25" s="2923"/>
      <c r="Q25" s="2878"/>
      <c r="R25" s="2878"/>
      <c r="S25" s="2878"/>
      <c r="T25" s="2878"/>
      <c r="U25" s="2878"/>
      <c r="V25" s="2878"/>
    </row>
    <row r="26" spans="1:22" ht="18" hidden="1" customHeight="1" thickBot="1">
      <c r="A26" s="2036"/>
      <c r="B26" s="2037" t="s">
        <v>1787</v>
      </c>
      <c r="C26" s="2038"/>
      <c r="D26" s="2039" t="s">
        <v>1787</v>
      </c>
      <c r="E26" s="2040"/>
      <c r="F26" s="2931"/>
      <c r="G26" s="2903"/>
      <c r="H26" s="2903"/>
      <c r="I26" s="2903"/>
      <c r="J26" s="2878"/>
      <c r="K26" s="2895"/>
      <c r="L26" s="2877"/>
      <c r="M26" s="2877"/>
      <c r="N26" s="2923"/>
      <c r="O26" s="2922"/>
      <c r="P26" s="2923"/>
      <c r="Q26" s="2878"/>
      <c r="R26" s="2878"/>
      <c r="S26" s="2878"/>
      <c r="T26" s="2878"/>
      <c r="U26" s="2878"/>
      <c r="V26" s="2878"/>
    </row>
    <row r="27" spans="1:22" ht="18" customHeight="1" thickTop="1">
      <c r="A27" s="3070" t="s">
        <v>3495</v>
      </c>
      <c r="B27" s="365" t="s">
        <v>3496</v>
      </c>
      <c r="C27" s="2932" t="s">
        <v>3454</v>
      </c>
      <c r="D27" s="2933"/>
      <c r="E27" s="2878"/>
      <c r="F27" s="2878"/>
      <c r="G27" s="2878"/>
      <c r="H27" s="2878"/>
      <c r="I27" s="2878"/>
      <c r="J27" s="2878"/>
      <c r="K27" s="2921"/>
      <c r="L27" s="2922"/>
      <c r="M27" s="2922"/>
      <c r="N27" s="2923"/>
      <c r="O27" s="2922"/>
      <c r="P27" s="2923"/>
      <c r="Q27" s="2878"/>
      <c r="R27" s="2878"/>
      <c r="S27" s="2878"/>
      <c r="T27" s="2878"/>
      <c r="U27" s="2878"/>
      <c r="V27" s="2878"/>
    </row>
    <row r="28" spans="1:22" ht="18" hidden="1" customHeight="1">
      <c r="A28" s="3070"/>
      <c r="B28" s="347" t="s">
        <v>3497</v>
      </c>
      <c r="C28" s="2934"/>
      <c r="D28" s="2935"/>
      <c r="E28" s="2878"/>
      <c r="F28" s="2878"/>
      <c r="G28" s="2878"/>
      <c r="H28" s="2878"/>
      <c r="I28" s="2878"/>
      <c r="J28" s="2878"/>
      <c r="K28" s="2895"/>
      <c r="L28" s="2877"/>
      <c r="M28" s="2877"/>
      <c r="N28" s="2878"/>
      <c r="O28" s="2047"/>
      <c r="P28" s="2878"/>
      <c r="Q28" s="2878"/>
      <c r="R28" s="2878"/>
      <c r="S28" s="2878"/>
      <c r="T28" s="2878"/>
      <c r="U28" s="2878"/>
      <c r="V28" s="2878"/>
    </row>
    <row r="29" spans="1:22" ht="18" hidden="1" customHeight="1">
      <c r="A29" s="3070"/>
      <c r="B29" s="347" t="s">
        <v>3498</v>
      </c>
      <c r="C29" s="2936"/>
      <c r="D29" s="2937"/>
      <c r="E29" s="2878"/>
      <c r="F29" s="2878"/>
      <c r="G29" s="2878"/>
      <c r="H29" s="2878"/>
      <c r="I29" s="2878"/>
      <c r="J29" s="2878"/>
      <c r="K29" s="2895"/>
      <c r="L29" s="2877"/>
      <c r="M29" s="2877"/>
      <c r="N29" s="2878"/>
      <c r="O29" s="2047"/>
      <c r="P29" s="2878"/>
      <c r="Q29" s="2878"/>
      <c r="R29" s="2878"/>
      <c r="S29" s="2878"/>
      <c r="T29" s="2878"/>
      <c r="U29" s="2878"/>
      <c r="V29" s="2878"/>
    </row>
    <row r="30" spans="1:22" ht="18" hidden="1" customHeight="1">
      <c r="A30" s="3071"/>
      <c r="B30" s="347" t="s">
        <v>3499</v>
      </c>
      <c r="C30" s="3072"/>
      <c r="D30" s="3073"/>
      <c r="E30" s="2878"/>
      <c r="F30" s="2878"/>
      <c r="G30" s="2878"/>
      <c r="H30" s="2878"/>
      <c r="I30" s="2878"/>
      <c r="J30" s="2878"/>
      <c r="K30" s="2895"/>
      <c r="L30" s="2877"/>
      <c r="M30" s="2877"/>
      <c r="N30" s="2878"/>
      <c r="O30" s="2047"/>
      <c r="P30" s="2878"/>
      <c r="Q30" s="2878"/>
      <c r="R30" s="2878"/>
      <c r="S30" s="2878"/>
      <c r="T30" s="2878"/>
      <c r="U30" s="2878"/>
      <c r="V30" s="2878"/>
    </row>
    <row r="31" spans="1:22" ht="18" customHeight="1">
      <c r="A31" s="3074" t="s">
        <v>3500</v>
      </c>
      <c r="B31" s="2938" t="s">
        <v>3441</v>
      </c>
      <c r="C31" s="2814" t="str">
        <f>IF(B31="现房","成新及维护状况正常否",IF(B31="在建","工程状态是否正常",IF(B31="土地","是否闲置","-")))</f>
        <v>成新及维护状况正常否</v>
      </c>
      <c r="D31" s="1817"/>
      <c r="E31" s="2963" t="s">
        <v>3533</v>
      </c>
      <c r="F31" s="2878"/>
      <c r="G31" s="2878"/>
      <c r="H31" s="2878"/>
      <c r="I31" s="2878"/>
      <c r="J31" s="2878"/>
      <c r="K31" s="2894"/>
      <c r="L31" s="2877"/>
      <c r="M31" s="2877"/>
      <c r="N31" s="2878"/>
      <c r="O31" s="2047"/>
      <c r="P31" s="2878"/>
      <c r="Q31" s="2878"/>
      <c r="R31" s="2878"/>
      <c r="S31" s="2878"/>
      <c r="T31" s="2878"/>
      <c r="U31" s="2878"/>
      <c r="V31" s="2878"/>
    </row>
    <row r="32" spans="1:22" ht="18" hidden="1" customHeight="1">
      <c r="A32" s="3075"/>
      <c r="B32" s="2938"/>
      <c r="C32" s="2814" t="str">
        <f>IF(B32="现房","成新及维护状况是否正常",IF(B32="在建","工程状态是否正常",IF(B32="土地","是否闲置","-")))</f>
        <v>-</v>
      </c>
      <c r="D32" s="1817"/>
      <c r="E32" s="2939"/>
      <c r="F32" s="2878"/>
      <c r="G32" s="2878"/>
      <c r="H32" s="2878"/>
      <c r="I32" s="2878"/>
      <c r="J32" s="2878"/>
      <c r="K32" s="2895"/>
      <c r="L32" s="2877"/>
      <c r="M32" s="2877"/>
      <c r="N32" s="2878"/>
      <c r="O32" s="2047"/>
      <c r="P32" s="2878"/>
      <c r="Q32" s="2878"/>
      <c r="R32" s="2878"/>
      <c r="S32" s="2878"/>
      <c r="T32" s="2878"/>
      <c r="U32" s="2878"/>
      <c r="V32" s="2878"/>
    </row>
    <row r="33" spans="1:22" ht="18" hidden="1" customHeight="1">
      <c r="A33" s="3075"/>
      <c r="B33" s="2940"/>
      <c r="C33" s="2061" t="str">
        <f>IF(B33="现房","成新及维护状况是否正常",IF(B33="在建","工程状态是否正常",IF(B33="土地","是否闲置","-")))</f>
        <v>-</v>
      </c>
      <c r="D33" s="1809"/>
      <c r="E33" s="2941"/>
      <c r="F33" s="2878"/>
      <c r="G33" s="2878"/>
      <c r="H33" s="2878"/>
      <c r="I33" s="2878"/>
      <c r="J33" s="2878"/>
      <c r="K33" s="2895"/>
      <c r="L33" s="2877"/>
      <c r="M33" s="2877"/>
      <c r="N33" s="2878"/>
      <c r="O33" s="2047"/>
      <c r="P33" s="2878"/>
      <c r="Q33" s="2878"/>
      <c r="R33" s="2878"/>
      <c r="S33" s="2878"/>
      <c r="T33" s="2878"/>
      <c r="U33" s="2878"/>
      <c r="V33" s="2878"/>
    </row>
    <row r="34" spans="1:22" ht="18" customHeight="1">
      <c r="A34" s="347" t="s">
        <v>3501</v>
      </c>
      <c r="B34" s="2633" t="s">
        <v>3455</v>
      </c>
      <c r="C34" s="2633" t="s">
        <v>3456</v>
      </c>
      <c r="D34" s="2633" t="s">
        <v>3457</v>
      </c>
      <c r="E34" s="2633" t="s">
        <v>3458</v>
      </c>
      <c r="F34" s="2633" t="s">
        <v>3459</v>
      </c>
      <c r="G34" s="2633"/>
      <c r="H34" s="2633"/>
      <c r="I34" s="2878"/>
      <c r="J34" s="2878"/>
      <c r="K34" s="11">
        <f>COUNTIF(B34:H34,"——")</f>
        <v>0</v>
      </c>
      <c r="L34" s="369" t="s">
        <v>3502</v>
      </c>
      <c r="M34" s="369" t="s">
        <v>3503</v>
      </c>
      <c r="N34" s="369" t="s">
        <v>3504</v>
      </c>
      <c r="O34" s="369" t="s">
        <v>3505</v>
      </c>
      <c r="P34" s="369" t="s">
        <v>3506</v>
      </c>
      <c r="Q34" s="369" t="s">
        <v>3507</v>
      </c>
      <c r="R34" s="369" t="s">
        <v>3508</v>
      </c>
      <c r="S34" s="3069" t="s">
        <v>3509</v>
      </c>
      <c r="T34" s="2942" t="str">
        <f>NUMBERSTRING(7-K34,1)&amp;"通"</f>
        <v>七通</v>
      </c>
      <c r="U34" s="2878"/>
      <c r="V34" s="2878"/>
    </row>
    <row r="35" spans="1:22" ht="12.75">
      <c r="A35" s="2943"/>
      <c r="B35" s="3076" t="s">
        <v>3510</v>
      </c>
      <c r="C35" s="3076"/>
      <c r="D35" s="3076"/>
      <c r="E35" s="3076"/>
      <c r="F35" s="716">
        <f>C10</f>
        <v>0</v>
      </c>
      <c r="G35" s="2878"/>
      <c r="H35" s="2878"/>
      <c r="I35" s="2878"/>
      <c r="J35" s="2878"/>
      <c r="K35" s="369"/>
      <c r="L35" s="369" t="str">
        <f>B34</f>
        <v>通路</v>
      </c>
      <c r="M35" s="375" t="str">
        <f>B34&amp;"、"&amp;C34</f>
        <v>通路、通电</v>
      </c>
      <c r="N35" s="375" t="str">
        <f>B34&amp;"、"&amp;C34&amp;"、"&amp;D34</f>
        <v>通路、通电、通讯</v>
      </c>
      <c r="O35" s="375" t="str">
        <f>B34&amp;"、"&amp;C34&amp;"、"&amp;D34&amp;"、"&amp;E34</f>
        <v>通路、通电、通讯、通上水</v>
      </c>
      <c r="P35" s="375" t="str">
        <f>B34&amp;"、"&amp;C34&amp;"、"&amp;D34&amp;"、"&amp;E34&amp;"、"&amp;F34</f>
        <v>通路、通电、通讯、通上水、通下水</v>
      </c>
      <c r="Q35" s="375" t="str">
        <f>B34&amp;"、"&amp;C34&amp;"、"&amp;D34&amp;"、"&amp;E34&amp;"、"&amp;F34&amp;"、"&amp;G34</f>
        <v>通路、通电、通讯、通上水、通下水、</v>
      </c>
      <c r="R35" s="375" t="str">
        <f>B34&amp;"、"&amp;C34&amp;"、"&amp;D34&amp;"、"&amp;E34&amp;"、"&amp;F34&amp;"、"&amp;G34&amp;"、"&amp;H34</f>
        <v>通路、通电、通讯、通上水、通下水、、</v>
      </c>
      <c r="S35" s="3069"/>
      <c r="T35" s="375" t="str">
        <f>IF(T34="一通",L35,IF(T34="二通",M35,IF(T34="三通",N35,IF(T34="四通",O35,IF(T34="五通",P35,IF(T34="六通",Q35,R35))))))</f>
        <v>通路、通电、通讯、通上水、通下水、、</v>
      </c>
      <c r="U35" s="2878"/>
      <c r="V35" s="2878"/>
    </row>
    <row r="36" spans="1:22" ht="12.75">
      <c r="A36" s="2944"/>
      <c r="B36" s="716" t="s">
        <v>3478</v>
      </c>
      <c r="C36" s="716" t="s">
        <v>3479</v>
      </c>
      <c r="D36" s="716" t="s">
        <v>3477</v>
      </c>
      <c r="E36" s="716" t="s">
        <v>3482</v>
      </c>
      <c r="F36" s="709"/>
      <c r="G36" s="2878"/>
      <c r="H36" s="2878"/>
      <c r="I36" s="2878"/>
      <c r="J36" s="2878"/>
      <c r="K36" s="2895"/>
      <c r="L36" s="2877"/>
      <c r="M36" s="2877"/>
      <c r="N36" s="2878"/>
      <c r="O36" s="2047"/>
      <c r="P36" s="2878"/>
      <c r="Q36" s="2878"/>
      <c r="R36" s="2878"/>
      <c r="S36" s="2878"/>
      <c r="T36" s="2878"/>
      <c r="U36" s="2878"/>
      <c r="V36" s="2878"/>
    </row>
    <row r="37" spans="1:22" ht="18" customHeight="1">
      <c r="A37" s="2945" t="s">
        <v>3511</v>
      </c>
      <c r="B37" s="2946" t="s">
        <v>442</v>
      </c>
      <c r="C37" s="2946"/>
      <c r="D37" s="2946" t="s">
        <v>442</v>
      </c>
      <c r="E37" s="2946"/>
      <c r="F37" s="709"/>
      <c r="G37" s="2878"/>
      <c r="H37" s="2878"/>
      <c r="I37" s="2878"/>
      <c r="J37" s="2878"/>
      <c r="K37" s="2895"/>
      <c r="L37" s="2877"/>
      <c r="M37" s="2877"/>
      <c r="N37" s="2878"/>
      <c r="O37" s="2047"/>
      <c r="P37" s="2878"/>
      <c r="Q37" s="2878"/>
      <c r="R37" s="2878"/>
      <c r="S37" s="2878"/>
      <c r="T37" s="2878"/>
      <c r="U37" s="2878"/>
      <c r="V37" s="2878"/>
    </row>
    <row r="38" spans="1:22" ht="18" customHeight="1" thickBot="1">
      <c r="A38" s="2947" t="s">
        <v>3512</v>
      </c>
      <c r="B38" s="2948" t="s">
        <v>354</v>
      </c>
      <c r="C38" s="2948"/>
      <c r="D38" s="2948" t="s">
        <v>334</v>
      </c>
      <c r="E38" s="2948"/>
      <c r="F38" s="2949"/>
      <c r="G38" s="2903"/>
      <c r="H38" s="2903"/>
      <c r="I38" s="2903"/>
      <c r="J38" s="2878"/>
      <c r="K38" s="2895"/>
      <c r="L38" s="2877"/>
      <c r="M38" s="2877"/>
      <c r="N38" s="2878"/>
      <c r="O38" s="2047"/>
      <c r="P38" s="2878"/>
      <c r="Q38" s="2878"/>
      <c r="R38" s="2878"/>
      <c r="S38" s="2878"/>
      <c r="T38" s="2878"/>
      <c r="U38" s="2878"/>
      <c r="V38" s="2878"/>
    </row>
    <row r="39" spans="1:22" s="2954" customFormat="1" ht="18" customHeight="1" thickTop="1" thickBot="1">
      <c r="A39" s="2950" t="s">
        <v>3513</v>
      </c>
      <c r="B39" s="2951"/>
      <c r="C39" s="2951"/>
      <c r="D39" s="2951"/>
      <c r="E39" s="2951"/>
      <c r="F39" s="2951"/>
      <c r="G39" s="2951"/>
      <c r="H39" s="2951"/>
      <c r="I39" s="2951"/>
      <c r="J39" s="2951"/>
      <c r="K39" s="2952"/>
      <c r="L39" s="2951"/>
      <c r="M39" s="2951"/>
      <c r="N39" s="2951"/>
      <c r="O39" s="2953"/>
      <c r="P39" s="2951"/>
      <c r="Q39" s="2951"/>
      <c r="R39" s="2951"/>
      <c r="S39" s="2951"/>
      <c r="T39" s="2951"/>
      <c r="U39" s="2951"/>
      <c r="V39" s="2951"/>
    </row>
    <row r="40" spans="1:22" ht="18" customHeight="1">
      <c r="A40" s="2878"/>
      <c r="B40" s="2878"/>
      <c r="C40" s="2878"/>
      <c r="D40" s="2878"/>
      <c r="E40" s="2878"/>
      <c r="F40" s="2878"/>
      <c r="G40" s="2878"/>
      <c r="H40" s="2878"/>
      <c r="I40" s="2049"/>
      <c r="J40" s="2923"/>
      <c r="K40" s="2894"/>
      <c r="L40" s="2922"/>
      <c r="M40" s="2922"/>
      <c r="N40" s="2923"/>
      <c r="O40" s="2922"/>
      <c r="P40" s="2878"/>
      <c r="Q40" s="2878"/>
      <c r="R40" s="2878"/>
      <c r="S40" s="2878"/>
      <c r="T40" s="2878"/>
      <c r="U40" s="2878"/>
      <c r="V40" s="2878"/>
    </row>
    <row r="41" spans="1:22" ht="18" customHeight="1">
      <c r="A41" s="2955" t="s">
        <v>3514</v>
      </c>
      <c r="B41" s="2312"/>
      <c r="C41" s="1817"/>
      <c r="D41" s="2878"/>
      <c r="E41" s="2878"/>
      <c r="F41" s="2878"/>
      <c r="G41" s="2878"/>
      <c r="H41" s="2878"/>
      <c r="I41" s="2047"/>
      <c r="J41" s="2878"/>
      <c r="K41" s="2895"/>
      <c r="L41" s="2877"/>
      <c r="M41" s="2877"/>
      <c r="N41" s="2878"/>
      <c r="O41" s="2047"/>
      <c r="P41" s="2878"/>
      <c r="Q41" s="2878"/>
      <c r="R41" s="2878"/>
      <c r="S41" s="2878"/>
      <c r="T41" s="2878"/>
      <c r="U41" s="2878"/>
      <c r="V41" s="2878"/>
    </row>
    <row r="42" spans="1:22" ht="18" customHeight="1">
      <c r="A42" s="369" t="s">
        <v>3515</v>
      </c>
      <c r="B42" s="11" t="s">
        <v>3516</v>
      </c>
      <c r="C42" s="11" t="s">
        <v>3517</v>
      </c>
      <c r="D42" s="11" t="s">
        <v>3518</v>
      </c>
      <c r="E42" s="11" t="s">
        <v>3519</v>
      </c>
      <c r="F42" s="11" t="s">
        <v>3520</v>
      </c>
      <c r="G42" s="11" t="s">
        <v>3521</v>
      </c>
      <c r="H42" s="11" t="s">
        <v>3522</v>
      </c>
      <c r="I42" s="11" t="s">
        <v>3523</v>
      </c>
      <c r="J42" s="2956" t="s">
        <v>3524</v>
      </c>
      <c r="K42" s="2914" t="s">
        <v>3525</v>
      </c>
      <c r="L42" s="2914" t="s">
        <v>3526</v>
      </c>
      <c r="M42" s="2914" t="s">
        <v>3527</v>
      </c>
      <c r="N42" s="11" t="s">
        <v>3528</v>
      </c>
      <c r="O42" s="11" t="s">
        <v>3529</v>
      </c>
      <c r="P42" s="11" t="s">
        <v>3530</v>
      </c>
      <c r="Q42" s="369" t="s">
        <v>3531</v>
      </c>
      <c r="R42" s="369" t="s">
        <v>3532</v>
      </c>
      <c r="S42" s="2878"/>
      <c r="T42" s="2878"/>
      <c r="U42" s="2878"/>
      <c r="V42" s="2878"/>
    </row>
    <row r="43" spans="1:22" s="2225" customFormat="1" ht="18" customHeight="1">
      <c r="A43" s="2041"/>
      <c r="B43" s="1259"/>
      <c r="C43" s="1259"/>
      <c r="D43" s="1259"/>
      <c r="E43" s="1259"/>
      <c r="F43" s="1259"/>
      <c r="G43" s="1259"/>
      <c r="H43" s="1259"/>
      <c r="I43" s="1259"/>
      <c r="J43" s="2957"/>
      <c r="K43" s="2958"/>
      <c r="L43" s="2958"/>
      <c r="M43" s="1259"/>
      <c r="N43" s="1259"/>
      <c r="O43" s="1259"/>
      <c r="P43" s="1259"/>
      <c r="Q43" s="1259"/>
      <c r="R43" s="1259"/>
      <c r="S43" s="2959"/>
      <c r="T43" s="2959"/>
      <c r="U43" s="2959"/>
      <c r="V43" s="2959"/>
    </row>
    <row r="44" spans="1:22" s="2225" customFormat="1" ht="18" customHeight="1">
      <c r="A44" s="2041"/>
      <c r="B44" s="2041"/>
      <c r="C44" s="1259"/>
      <c r="D44" s="1259"/>
      <c r="E44" s="1259"/>
      <c r="F44" s="1259"/>
      <c r="G44" s="1259"/>
      <c r="H44" s="1259"/>
      <c r="I44" s="1259"/>
      <c r="J44" s="2957"/>
      <c r="K44" s="2958"/>
      <c r="L44" s="2958"/>
      <c r="M44" s="1259"/>
      <c r="N44" s="1259"/>
      <c r="O44" s="1259"/>
      <c r="P44" s="1259"/>
      <c r="Q44" s="1259"/>
      <c r="R44" s="1259"/>
      <c r="S44" s="2959"/>
      <c r="T44" s="2959"/>
      <c r="U44" s="2959"/>
      <c r="V44" s="2959"/>
    </row>
    <row r="45" spans="1:22" s="2225" customFormat="1" ht="18" customHeight="1">
      <c r="A45" s="2041"/>
      <c r="B45" s="2041"/>
      <c r="C45" s="1259"/>
      <c r="D45" s="1259"/>
      <c r="E45" s="1259"/>
      <c r="F45" s="1259"/>
      <c r="G45" s="1259"/>
      <c r="H45" s="1259"/>
      <c r="I45" s="1259"/>
      <c r="J45" s="2957"/>
      <c r="K45" s="2958"/>
      <c r="L45" s="2958"/>
      <c r="M45" s="1259"/>
      <c r="N45" s="1259"/>
      <c r="O45" s="1259"/>
      <c r="P45" s="1259"/>
      <c r="Q45" s="1259"/>
      <c r="R45" s="1259"/>
      <c r="S45" s="2959"/>
      <c r="T45" s="2959"/>
      <c r="U45" s="2959"/>
      <c r="V45" s="2959"/>
    </row>
    <row r="46" spans="1:22" s="2225" customFormat="1" ht="18" customHeight="1">
      <c r="A46" s="2041"/>
      <c r="B46" s="2041"/>
      <c r="C46" s="1259"/>
      <c r="D46" s="1259"/>
      <c r="E46" s="1259"/>
      <c r="F46" s="1259"/>
      <c r="G46" s="1259"/>
      <c r="H46" s="1259"/>
      <c r="I46" s="1259"/>
      <c r="J46" s="2957"/>
      <c r="K46" s="2958"/>
      <c r="L46" s="2958"/>
      <c r="M46" s="1259"/>
      <c r="N46" s="1259"/>
      <c r="O46" s="1259"/>
      <c r="P46" s="1259"/>
      <c r="Q46" s="1259"/>
      <c r="R46" s="1259"/>
      <c r="S46" s="2959"/>
      <c r="T46" s="2959"/>
      <c r="U46" s="2959"/>
      <c r="V46" s="2959"/>
    </row>
    <row r="47" spans="1:22" s="2225" customFormat="1" ht="18" customHeight="1">
      <c r="A47" s="2041"/>
      <c r="B47" s="2041"/>
      <c r="C47" s="1259"/>
      <c r="D47" s="1259"/>
      <c r="E47" s="1259"/>
      <c r="F47" s="1259"/>
      <c r="G47" s="1259"/>
      <c r="H47" s="1259"/>
      <c r="I47" s="1259"/>
      <c r="J47" s="2957"/>
      <c r="K47" s="2958"/>
      <c r="L47" s="2958"/>
      <c r="M47" s="1259"/>
      <c r="N47" s="1259"/>
      <c r="O47" s="1259"/>
      <c r="P47" s="1259"/>
      <c r="Q47" s="1259"/>
      <c r="R47" s="1259"/>
      <c r="S47" s="2959"/>
      <c r="T47" s="2959"/>
      <c r="U47" s="2959"/>
      <c r="V47" s="2959"/>
    </row>
    <row r="48" spans="1:22" s="2225" customFormat="1" ht="18" customHeight="1">
      <c r="A48" s="2041"/>
      <c r="B48" s="2041"/>
      <c r="C48" s="1259"/>
      <c r="D48" s="1259"/>
      <c r="E48" s="1259"/>
      <c r="F48" s="1259"/>
      <c r="G48" s="1259"/>
      <c r="H48" s="1259"/>
      <c r="I48" s="1259"/>
      <c r="J48" s="2957"/>
      <c r="K48" s="2958"/>
      <c r="L48" s="2958"/>
      <c r="M48" s="1259"/>
      <c r="N48" s="1259"/>
      <c r="O48" s="1259"/>
      <c r="P48" s="1259"/>
      <c r="Q48" s="1259"/>
      <c r="R48" s="1259"/>
      <c r="S48" s="2959"/>
      <c r="T48" s="2959"/>
      <c r="U48" s="2959"/>
      <c r="V48" s="2959"/>
    </row>
    <row r="49" spans="1:22" s="2225" customFormat="1" ht="18" customHeight="1">
      <c r="A49" s="2041"/>
      <c r="B49" s="2041"/>
      <c r="C49" s="1259"/>
      <c r="D49" s="1259"/>
      <c r="E49" s="1259"/>
      <c r="F49" s="1259"/>
      <c r="G49" s="1259"/>
      <c r="H49" s="1259"/>
      <c r="I49" s="1259"/>
      <c r="J49" s="2957"/>
      <c r="K49" s="2958"/>
      <c r="L49" s="2958"/>
      <c r="M49" s="1259"/>
      <c r="N49" s="1259"/>
      <c r="O49" s="1259"/>
      <c r="P49" s="1259"/>
      <c r="Q49" s="1259"/>
      <c r="R49" s="1259"/>
      <c r="S49" s="2959"/>
      <c r="T49" s="2959"/>
      <c r="U49" s="2959"/>
      <c r="V49" s="2959"/>
    </row>
    <row r="50" spans="1:22" s="2225" customFormat="1" ht="18" customHeight="1">
      <c r="A50" s="2041"/>
      <c r="B50" s="2041"/>
      <c r="C50" s="1259"/>
      <c r="D50" s="1259"/>
      <c r="E50" s="1259"/>
      <c r="F50" s="1259"/>
      <c r="G50" s="1259"/>
      <c r="H50" s="1259"/>
      <c r="I50" s="1259"/>
      <c r="J50" s="2957"/>
      <c r="K50" s="2958"/>
      <c r="L50" s="2958"/>
      <c r="M50" s="1259"/>
      <c r="N50" s="1259"/>
      <c r="O50" s="1259"/>
      <c r="P50" s="1259"/>
      <c r="Q50" s="1259"/>
      <c r="R50" s="1259"/>
      <c r="S50" s="2959"/>
      <c r="T50" s="2959"/>
      <c r="U50" s="2959"/>
      <c r="V50" s="2959"/>
    </row>
    <row r="51" spans="1:22" s="2225" customFormat="1" ht="18" customHeight="1">
      <c r="A51" s="2041"/>
      <c r="B51" s="2041"/>
      <c r="C51" s="1259"/>
      <c r="D51" s="1259"/>
      <c r="E51" s="1259"/>
      <c r="F51" s="1259"/>
      <c r="G51" s="1259"/>
      <c r="H51" s="1259"/>
      <c r="I51" s="1259"/>
      <c r="J51" s="2957"/>
      <c r="K51" s="2958"/>
      <c r="L51" s="2958"/>
      <c r="M51" s="1259"/>
      <c r="N51" s="1259"/>
      <c r="O51" s="1259"/>
      <c r="P51" s="1259"/>
      <c r="Q51" s="1259"/>
      <c r="R51" s="1259"/>
    </row>
    <row r="52" spans="1:22" s="2225" customFormat="1" ht="18" customHeight="1">
      <c r="A52" s="2041"/>
      <c r="B52" s="2041"/>
      <c r="C52" s="2041"/>
      <c r="D52" s="2041"/>
      <c r="E52" s="2041"/>
      <c r="F52" s="1259"/>
      <c r="G52" s="2041"/>
      <c r="H52" s="2041"/>
      <c r="I52" s="2041"/>
      <c r="J52" s="2960"/>
      <c r="K52" s="2958"/>
      <c r="L52" s="2958"/>
      <c r="M52" s="2958"/>
      <c r="N52" s="2041"/>
      <c r="O52" s="2041"/>
      <c r="P52" s="2041"/>
      <c r="Q52" s="2041"/>
      <c r="R52" s="2041"/>
    </row>
    <row r="53" spans="1:22" s="2225" customFormat="1" ht="18" customHeight="1">
      <c r="A53" s="2041"/>
      <c r="B53" s="2041"/>
      <c r="C53" s="2041"/>
      <c r="D53" s="2041"/>
      <c r="E53" s="2041"/>
      <c r="F53" s="1259"/>
      <c r="G53" s="2041"/>
      <c r="H53" s="2041"/>
      <c r="I53" s="2041"/>
      <c r="J53" s="2960"/>
      <c r="K53" s="2958"/>
      <c r="L53" s="2958"/>
      <c r="M53" s="2958"/>
      <c r="N53" s="2041"/>
      <c r="O53" s="2041"/>
      <c r="P53" s="2041"/>
      <c r="Q53" s="2041"/>
      <c r="R53" s="2041"/>
    </row>
    <row r="54" spans="1:22" s="2225" customFormat="1" ht="18" customHeight="1">
      <c r="A54" s="2041"/>
      <c r="B54" s="2041"/>
      <c r="C54" s="2041"/>
      <c r="D54" s="2041"/>
      <c r="E54" s="2041"/>
      <c r="F54" s="1259"/>
      <c r="G54" s="2041"/>
      <c r="H54" s="2041"/>
      <c r="I54" s="2041"/>
      <c r="J54" s="2960"/>
      <c r="K54" s="2958"/>
      <c r="L54" s="2958"/>
      <c r="M54" s="2958"/>
      <c r="N54" s="2041"/>
      <c r="O54" s="2041"/>
      <c r="P54" s="2041"/>
      <c r="Q54" s="2041"/>
      <c r="R54" s="2041"/>
    </row>
    <row r="55" spans="1:22" s="2225" customFormat="1" ht="18" customHeight="1">
      <c r="A55" s="2041"/>
      <c r="B55" s="2041"/>
      <c r="C55" s="2041"/>
      <c r="D55" s="2041"/>
      <c r="E55" s="2041"/>
      <c r="F55" s="1259"/>
      <c r="G55" s="2041"/>
      <c r="H55" s="2041"/>
      <c r="I55" s="2041"/>
      <c r="J55" s="2960"/>
      <c r="K55" s="2958"/>
      <c r="L55" s="2958"/>
      <c r="M55" s="2958"/>
      <c r="N55" s="2041"/>
      <c r="O55" s="2041"/>
      <c r="P55" s="2041"/>
      <c r="Q55" s="2041"/>
      <c r="R55" s="2041"/>
    </row>
    <row r="56" spans="1:22" s="2225" customFormat="1" ht="18" customHeight="1">
      <c r="A56" s="2041"/>
      <c r="B56" s="2041"/>
      <c r="C56" s="2041"/>
      <c r="D56" s="2041"/>
      <c r="E56" s="2041"/>
      <c r="F56" s="1259"/>
      <c r="G56" s="2041"/>
      <c r="H56" s="2041"/>
      <c r="I56" s="2041"/>
      <c r="J56" s="2960"/>
      <c r="K56" s="2958"/>
      <c r="L56" s="2958"/>
      <c r="M56" s="2958"/>
      <c r="N56" s="2041"/>
      <c r="O56" s="2041"/>
      <c r="P56" s="2041"/>
      <c r="Q56" s="2041"/>
      <c r="R56" s="2041"/>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044" customWidth="1"/>
    <col min="2" max="2" width="11" style="2044" customWidth="1"/>
    <col min="3" max="3" width="10.375" style="2044" customWidth="1"/>
    <col min="4" max="4" width="9.125" style="2044" customWidth="1"/>
    <col min="5" max="6" width="10" style="2105" customWidth="1"/>
    <col min="7" max="8" width="10" style="2044" customWidth="1"/>
    <col min="9" max="9" width="10.625" style="2044" customWidth="1"/>
    <col min="10" max="10" width="9.5" style="2044" customWidth="1"/>
    <col min="11" max="11" width="11" style="2044" customWidth="1"/>
    <col min="12" max="12" width="9.5" style="2044" customWidth="1"/>
    <col min="13" max="14" width="9.5" style="2044" hidden="1" customWidth="1"/>
    <col min="15" max="15" width="9.875" style="2044" hidden="1" customWidth="1"/>
    <col min="16" max="16" width="9.75" style="2044" hidden="1" customWidth="1"/>
    <col min="17" max="17" width="9.375" style="2044" hidden="1" customWidth="1"/>
    <col min="18" max="18" width="9.25" style="2044" hidden="1" customWidth="1"/>
    <col min="19" max="19" width="10.875" style="2044" hidden="1" customWidth="1"/>
    <col min="20" max="21" width="10.75" style="2044" hidden="1" customWidth="1"/>
    <col min="22" max="22" width="10.875" style="2044" hidden="1" customWidth="1"/>
    <col min="23" max="27" width="10.75" style="2044" hidden="1" customWidth="1"/>
    <col min="28" max="28" width="10.875" style="2044" hidden="1" customWidth="1"/>
    <col min="29" max="29" width="11" style="2044" bestFit="1" customWidth="1"/>
    <col min="30" max="30" width="10" style="2044" hidden="1" customWidth="1"/>
    <col min="31" max="31" width="9.75" style="2044" hidden="1" customWidth="1"/>
    <col min="32" max="46" width="9.5" style="2044" hidden="1" customWidth="1"/>
    <col min="47" max="47" width="18.125" style="2044" hidden="1" customWidth="1"/>
    <col min="48" max="50" width="9.75" style="2868" customWidth="1"/>
    <col min="51" max="51" width="10.5" style="2044" hidden="1" customWidth="1"/>
    <col min="52" max="55" width="10.5" style="2044" bestFit="1" customWidth="1"/>
    <col min="56" max="56" width="9.5" style="2044" bestFit="1" customWidth="1"/>
    <col min="57" max="63" width="9.125" style="2044" bestFit="1" customWidth="1"/>
    <col min="64" max="64" width="9.5" style="2044" bestFit="1" customWidth="1"/>
    <col min="65" max="65" width="9.125" style="2044" bestFit="1" customWidth="1"/>
    <col min="66" max="66" width="9.5" style="2044" bestFit="1" customWidth="1"/>
    <col min="67" max="69" width="9.125" style="2044" bestFit="1" customWidth="1"/>
    <col min="70" max="70" width="9.5" style="2044" bestFit="1" customWidth="1"/>
    <col min="71" max="71" width="9" style="2044" customWidth="1"/>
    <col min="72" max="72" width="9.125" style="2044" bestFit="1" customWidth="1"/>
    <col min="73" max="16384" width="8.875" style="2044"/>
  </cols>
  <sheetData>
    <row r="1" spans="1:72" ht="20.25">
      <c r="A1" s="2045" t="s">
        <v>1788</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046" t="s">
        <v>1789</v>
      </c>
      <c r="AW1" s="2864"/>
      <c r="AX1" s="2864"/>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050" customFormat="1" ht="24">
      <c r="A2" s="11" t="s">
        <v>1790</v>
      </c>
      <c r="B2" s="11" t="s">
        <v>1791</v>
      </c>
      <c r="C2" s="11" t="s">
        <v>1792</v>
      </c>
      <c r="D2" s="2047"/>
      <c r="E2" s="2048"/>
      <c r="F2" s="2049"/>
      <c r="G2" s="2047"/>
      <c r="H2" s="2047"/>
      <c r="I2" s="2047"/>
      <c r="J2" s="2047"/>
      <c r="K2" s="2047"/>
      <c r="L2" s="2047"/>
      <c r="M2" s="2047"/>
      <c r="N2" s="2047"/>
      <c r="O2" s="2047"/>
      <c r="P2" s="2047"/>
      <c r="Q2" s="2047"/>
      <c r="R2" s="2047"/>
      <c r="S2" s="2047"/>
      <c r="T2" s="2047"/>
      <c r="U2" s="2047"/>
      <c r="V2" s="2047"/>
      <c r="W2" s="2047"/>
      <c r="X2" s="2047"/>
      <c r="Y2" s="2047"/>
      <c r="Z2" s="2047"/>
      <c r="AA2" s="2047"/>
      <c r="AB2" s="2047"/>
      <c r="AC2" s="2047"/>
      <c r="AD2" s="2047"/>
      <c r="AE2" s="2047"/>
      <c r="AF2" s="2047"/>
      <c r="AG2" s="2047"/>
      <c r="AH2" s="2047"/>
      <c r="AI2" s="2047"/>
      <c r="AJ2" s="2047"/>
      <c r="AK2" s="2047"/>
      <c r="AL2" s="2047"/>
      <c r="AM2" s="2047"/>
      <c r="AN2" s="2047"/>
      <c r="AO2" s="2047"/>
      <c r="AP2" s="2047"/>
      <c r="AQ2" s="2047"/>
      <c r="AR2" s="2047"/>
      <c r="AS2" s="2047"/>
      <c r="AT2" s="2047"/>
      <c r="AU2" s="2047"/>
      <c r="AV2" s="2865"/>
      <c r="AW2" s="2865"/>
      <c r="AX2" s="2865"/>
      <c r="AY2" s="1256" t="s">
        <v>1793</v>
      </c>
      <c r="AZ2" s="1257" t="s">
        <v>1794</v>
      </c>
      <c r="BA2" s="11" t="s">
        <v>1795</v>
      </c>
      <c r="BB2" s="2047"/>
      <c r="BC2" s="2047"/>
      <c r="BD2" s="2047"/>
      <c r="BE2" s="2047"/>
      <c r="BF2" s="2047"/>
      <c r="BG2" s="2047"/>
      <c r="BH2" s="2047"/>
      <c r="BI2" s="2047"/>
      <c r="BJ2" s="2047"/>
      <c r="BK2" s="2047"/>
      <c r="BL2" s="2047"/>
      <c r="BM2" s="2047"/>
      <c r="BN2" s="2047"/>
      <c r="BO2" s="2047"/>
      <c r="BP2" s="2047"/>
      <c r="BQ2" s="2047"/>
      <c r="BR2" s="2047"/>
      <c r="BS2" s="2047"/>
      <c r="BT2" s="2047"/>
    </row>
    <row r="3" spans="1:72" s="2050" customFormat="1" ht="12.75">
      <c r="A3" s="13">
        <f>E13</f>
        <v>2719.43</v>
      </c>
      <c r="B3" s="14">
        <f>IF(C3="否",G5-AT5,G5)</f>
        <v>26965.789999999986</v>
      </c>
      <c r="C3" s="2051" t="s">
        <v>1796</v>
      </c>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c r="AB3" s="2047"/>
      <c r="AC3" s="2047"/>
      <c r="AD3" s="2047"/>
      <c r="AE3" s="2047"/>
      <c r="AF3" s="2047"/>
      <c r="AG3" s="2047"/>
      <c r="AH3" s="2047"/>
      <c r="AI3" s="2047"/>
      <c r="AJ3" s="2047"/>
      <c r="AK3" s="2047"/>
      <c r="AL3" s="2047"/>
      <c r="AM3" s="2047"/>
      <c r="AN3" s="2047"/>
      <c r="AO3" s="2047"/>
      <c r="AP3" s="2047"/>
      <c r="AQ3" s="2047"/>
      <c r="AR3" s="2047"/>
      <c r="AS3" s="2047"/>
      <c r="AT3" s="2047"/>
      <c r="AU3" s="2047"/>
      <c r="AV3" s="2865"/>
      <c r="AW3" s="2865"/>
      <c r="AX3" s="2865"/>
      <c r="AY3" s="1258"/>
      <c r="AZ3" s="1259"/>
      <c r="BA3" s="1260"/>
      <c r="BB3" s="2047"/>
      <c r="BC3" s="2047"/>
      <c r="BD3" s="2047"/>
      <c r="BE3" s="2047"/>
      <c r="BF3" s="2047"/>
      <c r="BG3" s="2047"/>
      <c r="BH3" s="2047"/>
      <c r="BI3" s="2047"/>
      <c r="BJ3" s="2047"/>
      <c r="BK3" s="2047"/>
      <c r="BL3" s="2047"/>
      <c r="BM3" s="2047"/>
      <c r="BN3" s="2047"/>
      <c r="BO3" s="2047"/>
      <c r="BP3" s="2047"/>
      <c r="BQ3" s="2047"/>
      <c r="BR3" s="2047"/>
      <c r="BS3" s="2047"/>
      <c r="BT3" s="2047"/>
    </row>
    <row r="4" spans="1:72" s="2056" customFormat="1" ht="13.5" thickBot="1">
      <c r="A4" s="2052"/>
      <c r="B4" s="2053"/>
      <c r="C4" s="2054"/>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2047"/>
      <c r="AI4" s="2047"/>
      <c r="AJ4" s="2047"/>
      <c r="AK4" s="2047"/>
      <c r="AL4" s="2047"/>
      <c r="AM4" s="2047"/>
      <c r="AN4" s="2047"/>
      <c r="AO4" s="2047"/>
      <c r="AP4" s="2047"/>
      <c r="AQ4" s="2047"/>
      <c r="AR4" s="2047"/>
      <c r="AS4" s="2047"/>
      <c r="AT4" s="2047"/>
      <c r="AU4" s="2047"/>
      <c r="AV4" s="2865"/>
      <c r="AW4" s="2865"/>
      <c r="AX4" s="2865"/>
      <c r="AY4" s="2047"/>
      <c r="AZ4" s="2047"/>
      <c r="BA4" s="2055"/>
      <c r="BB4" s="2047"/>
      <c r="BC4" s="2047"/>
      <c r="BD4" s="2047"/>
      <c r="BE4" s="2047"/>
      <c r="BF4" s="2047"/>
      <c r="BG4" s="2047"/>
      <c r="BH4" s="2047"/>
      <c r="BI4" s="2047"/>
      <c r="BJ4" s="2047"/>
      <c r="BK4" s="2047"/>
      <c r="BL4" s="2047"/>
      <c r="BM4" s="2047"/>
      <c r="BN4" s="2047"/>
      <c r="BO4" s="2047"/>
      <c r="BP4" s="2047"/>
      <c r="BQ4" s="2047"/>
      <c r="BR4" s="2047"/>
      <c r="BS4" s="2047"/>
      <c r="BT4" s="2047"/>
    </row>
    <row r="5" spans="1:72" s="2050" customFormat="1" ht="12.75">
      <c r="A5" s="15" t="s">
        <v>1797</v>
      </c>
      <c r="B5" s="1789"/>
      <c r="C5" s="1789"/>
      <c r="D5" s="1792"/>
      <c r="E5" s="16" t="s">
        <v>1</v>
      </c>
      <c r="F5" s="16">
        <f>SUM(F13:F587)</f>
        <v>0</v>
      </c>
      <c r="G5" s="16">
        <f>SUM(G13:G587)</f>
        <v>26965.789999999986</v>
      </c>
      <c r="H5" s="16">
        <f t="shared" ref="H5:AT5" si="0">SUM(H13:H656)</f>
        <v>26965.789999999986</v>
      </c>
      <c r="I5" s="16">
        <f t="shared" si="0"/>
        <v>25370.109999999993</v>
      </c>
      <c r="J5" s="16">
        <f t="shared" si="0"/>
        <v>0</v>
      </c>
      <c r="K5" s="16">
        <f t="shared" si="0"/>
        <v>1595.68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2814" t="s">
        <v>1797</v>
      </c>
      <c r="AW5" s="2813"/>
      <c r="AX5" s="2813"/>
      <c r="AY5" s="17" t="s">
        <v>3</v>
      </c>
      <c r="AZ5" s="18">
        <f t="shared" ref="AZ5:BT5" si="1">SUM(AZ13:AZ656)</f>
        <v>26965.789999999986</v>
      </c>
      <c r="BA5" s="18">
        <f t="shared" si="1"/>
        <v>26965.789999999986</v>
      </c>
      <c r="BB5" s="18">
        <f t="shared" si="1"/>
        <v>25370.109999999993</v>
      </c>
      <c r="BC5" s="18">
        <f t="shared" si="1"/>
        <v>1595.68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60" customFormat="1" ht="12.75">
      <c r="A6" s="15" t="s">
        <v>1798</v>
      </c>
      <c r="B6" s="2057"/>
      <c r="C6" s="2057"/>
      <c r="D6" s="2058"/>
      <c r="E6" s="16">
        <f>H6+AC6+AT6</f>
        <v>2719.4300000000003</v>
      </c>
      <c r="F6" s="16" t="s">
        <v>1</v>
      </c>
      <c r="G6" s="16" t="s">
        <v>2</v>
      </c>
      <c r="H6" s="20">
        <f>SUMIF(I$12:AB$12,"总值",I6:AB6)</f>
        <v>2719.4300000000003</v>
      </c>
      <c r="I6" s="16">
        <f t="shared" ref="I6:AB6" si="2">ROUND($A$3*I5/$B$3,2)</f>
        <v>2558.5100000000002</v>
      </c>
      <c r="J6" s="16">
        <f t="shared" si="2"/>
        <v>0</v>
      </c>
      <c r="K6" s="16">
        <f t="shared" si="2"/>
        <v>160.91999999999999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59"/>
      <c r="AV6" s="2814" t="s">
        <v>1798</v>
      </c>
      <c r="AW6" s="2866"/>
      <c r="AX6" s="2866"/>
      <c r="AY6" s="21">
        <f>IF(AY3&gt;0,AY3,ROUND($A$3*AZ5/$B$3,2))</f>
        <v>2719.43</v>
      </c>
      <c r="AZ6" s="16" t="s">
        <v>3</v>
      </c>
      <c r="BA6" s="16">
        <f>ROUND($AY$6*BA5/$AZ$5,2)</f>
        <v>2719.43</v>
      </c>
      <c r="BB6" s="16">
        <f>ROUND($AY$6*BB5/$AZ$5,2)</f>
        <v>2558.5100000000002</v>
      </c>
      <c r="BC6" s="16">
        <f t="shared" ref="BC6:BH6" si="4">ROUND($AY$6*BC5/$AZ$5,2)</f>
        <v>160.91999999999999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50" customFormat="1" ht="24.75">
      <c r="A7" s="2032" t="s">
        <v>1799</v>
      </c>
      <c r="B7" s="2032" t="s">
        <v>1800</v>
      </c>
      <c r="C7" s="2032" t="s">
        <v>1801</v>
      </c>
      <c r="D7" s="2032" t="s">
        <v>1802</v>
      </c>
      <c r="E7" s="2032" t="s">
        <v>1803</v>
      </c>
      <c r="F7" s="2032" t="s">
        <v>1804</v>
      </c>
      <c r="G7" s="2061" t="s">
        <v>1805</v>
      </c>
      <c r="H7" s="2062"/>
      <c r="I7" s="2062"/>
      <c r="J7" s="2062"/>
      <c r="K7" s="2062"/>
      <c r="L7" s="2062"/>
      <c r="M7" s="2062"/>
      <c r="N7" s="2062"/>
      <c r="O7" s="2062"/>
      <c r="P7" s="2062"/>
      <c r="Q7" s="2062"/>
      <c r="R7" s="2062"/>
      <c r="S7" s="2062"/>
      <c r="T7" s="2062"/>
      <c r="U7" s="2062"/>
      <c r="V7" s="2062"/>
      <c r="W7" s="2062"/>
      <c r="X7" s="2062"/>
      <c r="Y7" s="2062"/>
      <c r="Z7" s="2062"/>
      <c r="AA7" s="2062"/>
      <c r="AB7" s="2062"/>
      <c r="AC7" s="2062"/>
      <c r="AD7" s="2062"/>
      <c r="AE7" s="2062"/>
      <c r="AF7" s="2062"/>
      <c r="AG7" s="2062"/>
      <c r="AH7" s="2062"/>
      <c r="AI7" s="2062"/>
      <c r="AJ7" s="2062"/>
      <c r="AK7" s="2062"/>
      <c r="AL7" s="2062"/>
      <c r="AM7" s="2062"/>
      <c r="AN7" s="2062"/>
      <c r="AO7" s="2062"/>
      <c r="AP7" s="2062"/>
      <c r="AQ7" s="2062"/>
      <c r="AR7" s="2062"/>
      <c r="AS7" s="2062"/>
      <c r="AT7" s="1792"/>
      <c r="AU7" s="2062" t="s">
        <v>1806</v>
      </c>
      <c r="AV7" s="25" t="s">
        <v>1807</v>
      </c>
      <c r="AW7" s="2048" t="s">
        <v>1808</v>
      </c>
      <c r="AX7" s="25" t="s">
        <v>1801</v>
      </c>
      <c r="AY7" s="1789" t="s">
        <v>1809</v>
      </c>
      <c r="AZ7" s="2063"/>
      <c r="BA7" s="2062"/>
      <c r="BB7" s="2062"/>
      <c r="BC7" s="2062"/>
      <c r="BD7" s="2062"/>
      <c r="BE7" s="2062"/>
      <c r="BF7" s="2062"/>
      <c r="BG7" s="2062"/>
      <c r="BH7" s="2062"/>
      <c r="BI7" s="2062"/>
      <c r="BJ7" s="2062"/>
      <c r="BK7" s="2062"/>
      <c r="BL7" s="2062"/>
      <c r="BM7" s="2062"/>
      <c r="BN7" s="2062"/>
      <c r="BO7" s="2062"/>
      <c r="BP7" s="2062"/>
      <c r="BQ7" s="2062"/>
      <c r="BR7" s="2062"/>
      <c r="BS7" s="2062"/>
      <c r="BT7" s="2064"/>
    </row>
    <row r="8" spans="1:72" s="2072" customFormat="1" ht="24">
      <c r="A8" s="2065"/>
      <c r="B8" s="2065"/>
      <c r="C8" s="2065"/>
      <c r="D8" s="2065"/>
      <c r="E8" s="2065"/>
      <c r="F8" s="2065"/>
      <c r="G8" s="2066" t="s">
        <v>1810</v>
      </c>
      <c r="H8" s="2067" t="s">
        <v>1811</v>
      </c>
      <c r="I8" s="2068"/>
      <c r="J8" s="1804"/>
      <c r="K8" s="1804"/>
      <c r="L8" s="1804"/>
      <c r="M8" s="1804"/>
      <c r="N8" s="1804"/>
      <c r="O8" s="1804"/>
      <c r="P8" s="1804"/>
      <c r="Q8" s="1804"/>
      <c r="R8" s="1804"/>
      <c r="S8" s="1804"/>
      <c r="T8" s="1804"/>
      <c r="U8" s="1804"/>
      <c r="V8" s="2069"/>
      <c r="W8" s="1804"/>
      <c r="X8" s="1804"/>
      <c r="Y8" s="1804"/>
      <c r="Z8" s="1804"/>
      <c r="AA8" s="2069"/>
      <c r="AB8" s="2070"/>
      <c r="AC8" s="982" t="s">
        <v>1812</v>
      </c>
      <c r="AD8" s="2071"/>
      <c r="AE8" s="2063"/>
      <c r="AF8" s="1804"/>
      <c r="AG8" s="1804"/>
      <c r="AH8" s="1804"/>
      <c r="AI8" s="1804"/>
      <c r="AJ8" s="1804"/>
      <c r="AK8" s="1804"/>
      <c r="AL8" s="1804"/>
      <c r="AM8" s="1804"/>
      <c r="AN8" s="1804"/>
      <c r="AO8" s="1804"/>
      <c r="AP8" s="1804"/>
      <c r="AQ8" s="1804"/>
      <c r="AR8" s="1804"/>
      <c r="AS8" s="1804"/>
      <c r="AT8" s="1279" t="s">
        <v>1813</v>
      </c>
      <c r="AU8" s="2065" t="s">
        <v>1814</v>
      </c>
      <c r="AV8" s="1279"/>
      <c r="AW8" s="2048"/>
      <c r="AX8" s="1279"/>
      <c r="AY8" s="2049" t="s">
        <v>1815</v>
      </c>
      <c r="AZ8" s="1803" t="s">
        <v>1816</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072" customFormat="1" ht="12.75">
      <c r="A9" s="2065"/>
      <c r="B9" s="2065"/>
      <c r="C9" s="2065"/>
      <c r="D9" s="2065"/>
      <c r="E9" s="2065"/>
      <c r="F9" s="2065"/>
      <c r="G9" s="1279"/>
      <c r="H9" s="2073" t="s">
        <v>1817</v>
      </c>
      <c r="I9" s="2074" t="s">
        <v>3435</v>
      </c>
      <c r="J9" s="982"/>
      <c r="K9" s="2074" t="s">
        <v>3435</v>
      </c>
      <c r="L9" s="982"/>
      <c r="M9" s="2074"/>
      <c r="N9" s="982"/>
      <c r="O9" s="2074"/>
      <c r="P9" s="982"/>
      <c r="Q9" s="2074"/>
      <c r="R9" s="982"/>
      <c r="S9" s="2074"/>
      <c r="T9" s="982"/>
      <c r="U9" s="2074"/>
      <c r="V9" s="982"/>
      <c r="W9" s="2074"/>
      <c r="X9" s="2075"/>
      <c r="Y9" s="2074"/>
      <c r="Z9" s="982"/>
      <c r="AA9" s="2074"/>
      <c r="AB9" s="982"/>
      <c r="AC9" s="2066" t="s">
        <v>1817</v>
      </c>
      <c r="AD9" s="15" t="s">
        <v>1818</v>
      </c>
      <c r="AE9" s="1285"/>
      <c r="AF9" s="15" t="s">
        <v>1819</v>
      </c>
      <c r="AG9" s="1285"/>
      <c r="AH9" s="15" t="s">
        <v>1818</v>
      </c>
      <c r="AI9" s="1285"/>
      <c r="AJ9" s="15" t="s">
        <v>1819</v>
      </c>
      <c r="AK9" s="1285"/>
      <c r="AL9" s="15" t="s">
        <v>1818</v>
      </c>
      <c r="AM9" s="1285"/>
      <c r="AN9" s="15" t="s">
        <v>1819</v>
      </c>
      <c r="AO9" s="1285"/>
      <c r="AP9" s="15" t="s">
        <v>1818</v>
      </c>
      <c r="AQ9" s="1285"/>
      <c r="AR9" s="15" t="s">
        <v>1819</v>
      </c>
      <c r="AS9" s="2076"/>
      <c r="AT9" s="2065"/>
      <c r="AU9" s="2065" t="s">
        <v>1820</v>
      </c>
      <c r="AV9" s="1279"/>
      <c r="AW9" s="2048"/>
      <c r="AX9" s="1279"/>
      <c r="AY9" s="28"/>
      <c r="AZ9" s="28" t="s">
        <v>1810</v>
      </c>
      <c r="BA9" s="2077" t="s">
        <v>1821</v>
      </c>
      <c r="BB9" s="2078"/>
      <c r="BC9" s="1325"/>
      <c r="BD9" s="1325"/>
      <c r="BE9" s="1325"/>
      <c r="BF9" s="1325"/>
      <c r="BG9" s="1325"/>
      <c r="BH9" s="1325"/>
      <c r="BI9" s="1325"/>
      <c r="BJ9" s="1325"/>
      <c r="BK9" s="2079"/>
      <c r="BL9" s="15" t="s">
        <v>1822</v>
      </c>
      <c r="BM9" s="1804"/>
      <c r="BN9" s="2068"/>
      <c r="BO9" s="1804"/>
      <c r="BP9" s="1804"/>
      <c r="BQ9" s="1804"/>
      <c r="BR9" s="1804"/>
      <c r="BS9" s="1804"/>
      <c r="BT9" s="26"/>
    </row>
    <row r="10" spans="1:72" s="2072" customFormat="1" ht="12.75">
      <c r="A10" s="2065"/>
      <c r="B10" s="2065"/>
      <c r="C10" s="2065"/>
      <c r="D10" s="2065"/>
      <c r="E10" s="2065"/>
      <c r="F10" s="2065"/>
      <c r="G10" s="1279"/>
      <c r="H10" s="28"/>
      <c r="I10" s="2074" t="s">
        <v>1376</v>
      </c>
      <c r="J10" s="982"/>
      <c r="K10" s="2080" t="s">
        <v>1376</v>
      </c>
      <c r="L10" s="982"/>
      <c r="M10" s="2080"/>
      <c r="N10" s="982"/>
      <c r="O10" s="2080"/>
      <c r="P10" s="982"/>
      <c r="Q10" s="2080"/>
      <c r="R10" s="982"/>
      <c r="S10" s="2080"/>
      <c r="T10" s="982"/>
      <c r="U10" s="2080"/>
      <c r="V10" s="982"/>
      <c r="W10" s="2080"/>
      <c r="X10" s="982"/>
      <c r="Y10" s="2080"/>
      <c r="Z10" s="982"/>
      <c r="AA10" s="2080"/>
      <c r="AB10" s="982"/>
      <c r="AC10" s="1279"/>
      <c r="AD10" s="15" t="s">
        <v>1823</v>
      </c>
      <c r="AE10" s="2081"/>
      <c r="AF10" s="15" t="s">
        <v>1823</v>
      </c>
      <c r="AG10" s="2081"/>
      <c r="AH10" s="15" t="s">
        <v>1824</v>
      </c>
      <c r="AI10" s="2081"/>
      <c r="AJ10" s="15" t="s">
        <v>1824</v>
      </c>
      <c r="AK10" s="2081"/>
      <c r="AL10" s="15" t="s">
        <v>1825</v>
      </c>
      <c r="AM10" s="1285"/>
      <c r="AN10" s="15" t="s">
        <v>1825</v>
      </c>
      <c r="AO10" s="1285"/>
      <c r="AP10" s="15" t="s">
        <v>1826</v>
      </c>
      <c r="AQ10" s="1285"/>
      <c r="AR10" s="15" t="s">
        <v>1826</v>
      </c>
      <c r="AS10" s="1285"/>
      <c r="AT10" s="2065"/>
      <c r="AU10" s="2065"/>
      <c r="AV10" s="1279"/>
      <c r="AW10" s="2048"/>
      <c r="AX10" s="1279"/>
      <c r="AY10" s="28"/>
      <c r="AZ10" s="28"/>
      <c r="BA10" s="2082" t="s">
        <v>1817</v>
      </c>
      <c r="BB10" s="2083" t="str">
        <f>I9</f>
        <v>地上</v>
      </c>
      <c r="BC10" s="29" t="str">
        <f>K9</f>
        <v>地上</v>
      </c>
      <c r="BD10" s="29">
        <f>M9</f>
        <v>0</v>
      </c>
      <c r="BE10" s="29">
        <f>O9</f>
        <v>0</v>
      </c>
      <c r="BF10" s="29">
        <f>Q9</f>
        <v>0</v>
      </c>
      <c r="BG10" s="29">
        <f>S9</f>
        <v>0</v>
      </c>
      <c r="BH10" s="29">
        <f>U9</f>
        <v>0</v>
      </c>
      <c r="BI10" s="29">
        <f>W9</f>
        <v>0</v>
      </c>
      <c r="BJ10" s="29">
        <f>Y9</f>
        <v>0</v>
      </c>
      <c r="BK10" s="29">
        <f>AA9</f>
        <v>0</v>
      </c>
      <c r="BL10" s="25" t="s">
        <v>1817</v>
      </c>
      <c r="BM10" s="1803" t="str">
        <f>AD9</f>
        <v>地上</v>
      </c>
      <c r="BN10" s="29" t="str">
        <f>AF9</f>
        <v>地下</v>
      </c>
      <c r="BO10" s="1803" t="str">
        <f>AH9</f>
        <v>地上</v>
      </c>
      <c r="BP10" s="29" t="str">
        <f>AJ9</f>
        <v>地下</v>
      </c>
      <c r="BQ10" s="1803" t="str">
        <f>AL9</f>
        <v>地上</v>
      </c>
      <c r="BR10" s="29" t="str">
        <f>AN9</f>
        <v>地下</v>
      </c>
      <c r="BS10" s="1803" t="str">
        <f>AP9</f>
        <v>地上</v>
      </c>
      <c r="BT10" s="2084" t="str">
        <f>AR9</f>
        <v>地下</v>
      </c>
    </row>
    <row r="11" spans="1:72" s="2072" customFormat="1" ht="12.75">
      <c r="A11" s="2065"/>
      <c r="B11" s="2065"/>
      <c r="C11" s="2065"/>
      <c r="D11" s="2065"/>
      <c r="E11" s="2065"/>
      <c r="F11" s="2065"/>
      <c r="G11" s="1279"/>
      <c r="H11" s="2082"/>
      <c r="I11" s="2085" t="s">
        <v>3436</v>
      </c>
      <c r="J11" s="2086"/>
      <c r="K11" s="2085" t="s">
        <v>3437</v>
      </c>
      <c r="L11" s="2086"/>
      <c r="M11" s="2085"/>
      <c r="N11" s="2086"/>
      <c r="O11" s="2085"/>
      <c r="P11" s="2086"/>
      <c r="Q11" s="2085"/>
      <c r="R11" s="2086"/>
      <c r="S11" s="2085"/>
      <c r="T11" s="2086"/>
      <c r="U11" s="2085"/>
      <c r="V11" s="2086"/>
      <c r="W11" s="2085"/>
      <c r="X11" s="2086"/>
      <c r="Y11" s="2085"/>
      <c r="Z11" s="2086"/>
      <c r="AA11" s="2085"/>
      <c r="AB11" s="2086"/>
      <c r="AC11" s="1279"/>
      <c r="AD11" s="2087" t="s">
        <v>1827</v>
      </c>
      <c r="AE11" s="1805"/>
      <c r="AF11" s="2087" t="s">
        <v>1827</v>
      </c>
      <c r="AG11" s="1805"/>
      <c r="AH11" s="2087" t="s">
        <v>1828</v>
      </c>
      <c r="AI11" s="2088"/>
      <c r="AJ11" s="2087" t="s">
        <v>1828</v>
      </c>
      <c r="AK11" s="1805"/>
      <c r="AL11" s="1803"/>
      <c r="AM11" s="1805"/>
      <c r="AN11" s="1803"/>
      <c r="AO11" s="1805"/>
      <c r="AP11" s="1803"/>
      <c r="AQ11" s="1805"/>
      <c r="AR11" s="1803"/>
      <c r="AS11" s="1805"/>
      <c r="AT11" s="2048"/>
      <c r="AU11" s="2065"/>
      <c r="AV11" s="1279"/>
      <c r="AW11" s="2048"/>
      <c r="AX11" s="1279"/>
      <c r="AY11" s="28"/>
      <c r="AZ11" s="28"/>
      <c r="BA11" s="28"/>
      <c r="BB11" s="2070" t="str">
        <f>I10</f>
        <v>商业</v>
      </c>
      <c r="BC11" s="2070" t="str">
        <f>K10</f>
        <v>商业</v>
      </c>
      <c r="BD11" s="2070">
        <f>M10</f>
        <v>0</v>
      </c>
      <c r="BE11" s="2070">
        <f>O10</f>
        <v>0</v>
      </c>
      <c r="BF11" s="2070">
        <f>Q10</f>
        <v>0</v>
      </c>
      <c r="BG11" s="2070">
        <f>S10</f>
        <v>0</v>
      </c>
      <c r="BH11" s="2070">
        <f>U10</f>
        <v>0</v>
      </c>
      <c r="BI11" s="2070">
        <f>W10</f>
        <v>0</v>
      </c>
      <c r="BJ11" s="2070">
        <f>Y10</f>
        <v>0</v>
      </c>
      <c r="BK11" s="2070">
        <f>AA10</f>
        <v>0</v>
      </c>
      <c r="BL11" s="1279"/>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089" t="str">
        <f>AR10</f>
        <v>未注明</v>
      </c>
    </row>
    <row r="12" spans="1:72" s="2050" customFormat="1" ht="12.75">
      <c r="A12" s="2090"/>
      <c r="B12" s="2090"/>
      <c r="C12" s="2090"/>
      <c r="D12" s="2090"/>
      <c r="E12" s="2090"/>
      <c r="F12" s="2090"/>
      <c r="G12" s="30"/>
      <c r="H12" s="2091"/>
      <c r="I12" s="1792" t="s">
        <v>1829</v>
      </c>
      <c r="J12" s="11" t="s">
        <v>1830</v>
      </c>
      <c r="K12" s="11" t="s">
        <v>1829</v>
      </c>
      <c r="L12" s="11" t="s">
        <v>1830</v>
      </c>
      <c r="M12" s="11" t="s">
        <v>1829</v>
      </c>
      <c r="N12" s="11" t="s">
        <v>1830</v>
      </c>
      <c r="O12" s="11" t="s">
        <v>1829</v>
      </c>
      <c r="P12" s="11" t="s">
        <v>1830</v>
      </c>
      <c r="Q12" s="11" t="s">
        <v>1829</v>
      </c>
      <c r="R12" s="11" t="s">
        <v>1830</v>
      </c>
      <c r="S12" s="11" t="s">
        <v>1829</v>
      </c>
      <c r="T12" s="11" t="s">
        <v>1830</v>
      </c>
      <c r="U12" s="11" t="s">
        <v>1829</v>
      </c>
      <c r="V12" s="1788" t="s">
        <v>1830</v>
      </c>
      <c r="W12" s="11" t="s">
        <v>1829</v>
      </c>
      <c r="X12" s="11" t="s">
        <v>1830</v>
      </c>
      <c r="Y12" s="11" t="s">
        <v>1829</v>
      </c>
      <c r="Z12" s="11" t="s">
        <v>1830</v>
      </c>
      <c r="AA12" s="11" t="s">
        <v>1829</v>
      </c>
      <c r="AB12" s="11" t="s">
        <v>1830</v>
      </c>
      <c r="AC12" s="2092"/>
      <c r="AD12" s="1792" t="s">
        <v>1829</v>
      </c>
      <c r="AE12" s="11" t="s">
        <v>1830</v>
      </c>
      <c r="AF12" s="11" t="s">
        <v>1829</v>
      </c>
      <c r="AG12" s="11" t="s">
        <v>1830</v>
      </c>
      <c r="AH12" s="11" t="s">
        <v>1829</v>
      </c>
      <c r="AI12" s="11" t="s">
        <v>1830</v>
      </c>
      <c r="AJ12" s="11" t="s">
        <v>1829</v>
      </c>
      <c r="AK12" s="11" t="s">
        <v>1830</v>
      </c>
      <c r="AL12" s="11" t="s">
        <v>1829</v>
      </c>
      <c r="AM12" s="11" t="s">
        <v>1830</v>
      </c>
      <c r="AN12" s="11" t="s">
        <v>1829</v>
      </c>
      <c r="AO12" s="11" t="s">
        <v>1830</v>
      </c>
      <c r="AP12" s="11" t="s">
        <v>1829</v>
      </c>
      <c r="AQ12" s="11" t="s">
        <v>1830</v>
      </c>
      <c r="AR12" s="30" t="s">
        <v>1829</v>
      </c>
      <c r="AS12" s="2090" t="s">
        <v>1830</v>
      </c>
      <c r="AT12" s="2093"/>
      <c r="AU12" s="2090"/>
      <c r="AV12" s="1279"/>
      <c r="AW12" s="2048"/>
      <c r="AX12" s="1279"/>
      <c r="AY12" s="2094"/>
      <c r="AZ12" s="28"/>
      <c r="BA12" s="2082"/>
      <c r="BB12" s="24" t="str">
        <f>I11</f>
        <v>公寓</v>
      </c>
      <c r="BC12" s="2095" t="str">
        <f>K11</f>
        <v>底商</v>
      </c>
      <c r="BD12" s="2095">
        <f>M11</f>
        <v>0</v>
      </c>
      <c r="BE12" s="2070">
        <f>O11</f>
        <v>0</v>
      </c>
      <c r="BF12" s="2070">
        <f>Q11</f>
        <v>0</v>
      </c>
      <c r="BG12" s="2070">
        <f>S11</f>
        <v>0</v>
      </c>
      <c r="BH12" s="2070">
        <f>U11</f>
        <v>0</v>
      </c>
      <c r="BI12" s="2070">
        <f>W11</f>
        <v>0</v>
      </c>
      <c r="BJ12" s="2070">
        <f>Y11</f>
        <v>0</v>
      </c>
      <c r="BK12" s="2070">
        <f>AA11</f>
        <v>0</v>
      </c>
      <c r="BL12" s="1279"/>
      <c r="BM12" s="1803" t="str">
        <f>AD11</f>
        <v>（住宅）</v>
      </c>
      <c r="BN12" s="1803" t="str">
        <f>AF11</f>
        <v>（住宅）</v>
      </c>
      <c r="BO12" s="24" t="str">
        <f>AH11</f>
        <v>（住宅、计出让金）</v>
      </c>
      <c r="BP12" s="24" t="str">
        <f>AJ11</f>
        <v>（住宅、计出让金）</v>
      </c>
      <c r="BQ12" s="24">
        <f>AL11</f>
        <v>0</v>
      </c>
      <c r="BR12" s="24">
        <f>AN11</f>
        <v>0</v>
      </c>
      <c r="BS12" s="25">
        <f>AP11</f>
        <v>0</v>
      </c>
      <c r="BT12" s="2089">
        <f>AR11</f>
        <v>0</v>
      </c>
    </row>
    <row r="13" spans="1:72" s="2050" customFormat="1" ht="12.75">
      <c r="A13" s="1259"/>
      <c r="B13" s="59" t="str">
        <f>面积表!B7</f>
        <v>京（2017）朝不动产权第0064885号</v>
      </c>
      <c r="C13" s="1259" t="str">
        <f>面积表!C7</f>
        <v>1至2层101</v>
      </c>
      <c r="D13" s="2096" t="s">
        <v>3434</v>
      </c>
      <c r="E13" s="2869">
        <v>2719.43</v>
      </c>
      <c r="F13" s="32"/>
      <c r="G13" s="33">
        <f>H13+AC13+AT13</f>
        <v>1595.68</v>
      </c>
      <c r="H13" s="20">
        <f>SUMIF(I$12:AB$12,"总值",I13:AB13)</f>
        <v>1595.68</v>
      </c>
      <c r="I13" s="2097">
        <v>0</v>
      </c>
      <c r="J13" s="2097">
        <v>0</v>
      </c>
      <c r="K13" s="2097">
        <f>面积表!G7</f>
        <v>1595.68</v>
      </c>
      <c r="L13" s="2097">
        <v>0</v>
      </c>
      <c r="M13" s="2097"/>
      <c r="N13" s="2097"/>
      <c r="O13" s="2097"/>
      <c r="P13" s="2097"/>
      <c r="Q13" s="2097"/>
      <c r="R13" s="2097"/>
      <c r="S13" s="2097"/>
      <c r="T13" s="2097"/>
      <c r="U13" s="2097"/>
      <c r="V13" s="2097"/>
      <c r="W13" s="2097"/>
      <c r="X13" s="2097"/>
      <c r="Y13" s="2097"/>
      <c r="Z13" s="2097"/>
      <c r="AA13" s="2097"/>
      <c r="AB13" s="2097"/>
      <c r="AC13" s="16">
        <f>SUMIF(AD$12:AS$12,"总值",AD13:AS13)</f>
        <v>0</v>
      </c>
      <c r="AD13" s="2098"/>
      <c r="AE13" s="2098"/>
      <c r="AF13" s="2098"/>
      <c r="AG13" s="2098"/>
      <c r="AH13" s="2098"/>
      <c r="AI13" s="2098"/>
      <c r="AJ13" s="2098"/>
      <c r="AK13" s="2098"/>
      <c r="AL13" s="2098"/>
      <c r="AM13" s="2098"/>
      <c r="AN13" s="2098"/>
      <c r="AO13" s="2098"/>
      <c r="AP13" s="2098"/>
      <c r="AQ13" s="2098"/>
      <c r="AR13" s="2098"/>
      <c r="AS13" s="2098"/>
      <c r="AT13" s="2099"/>
      <c r="AU13" s="2100"/>
      <c r="AV13" s="24">
        <f t="shared" ref="AV13:AX17" si="6">A13</f>
        <v>0</v>
      </c>
      <c r="AW13" s="24" t="str">
        <f t="shared" si="6"/>
        <v>京（2017）朝不动产权第0064885号</v>
      </c>
      <c r="AX13" s="24" t="str">
        <f t="shared" si="6"/>
        <v>1至2层101</v>
      </c>
      <c r="AY13" s="1792">
        <f>ROUND($AY$6*AZ13/$AZ$5,2)</f>
        <v>160.91999999999999</v>
      </c>
      <c r="AZ13" s="16">
        <f>BA13+BL13</f>
        <v>1595.68</v>
      </c>
      <c r="BA13" s="16">
        <f>SUM(BB13:BK13)</f>
        <v>1595.68</v>
      </c>
      <c r="BB13" s="16">
        <f>IF($D13="是",I13-J13,0)</f>
        <v>0</v>
      </c>
      <c r="BC13" s="16">
        <f>IF($D13="是",K13-L13,0)</f>
        <v>1595.68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50" customFormat="1" ht="12.75">
      <c r="A14" s="1259"/>
      <c r="B14" s="59" t="str">
        <f>面积表!B8</f>
        <v>京（2017）朝不动产权第0019890号</v>
      </c>
      <c r="C14" s="1259" t="str">
        <f>面积表!C8</f>
        <v>301-1</v>
      </c>
      <c r="D14" s="2096" t="s">
        <v>3434</v>
      </c>
      <c r="E14" s="16">
        <f>IF($C$3="是",ROUND($A$3*G14/$B$3,2),ROUND($A$3*(G14-AT14)/$B$3,2))</f>
        <v>8.8800000000000008</v>
      </c>
      <c r="F14" s="32"/>
      <c r="G14" s="33">
        <f>H14+AC14+AT14</f>
        <v>88.04</v>
      </c>
      <c r="H14" s="20">
        <f>SUMIF(I$12:AB$12,"总值",I14:AB14)</f>
        <v>88.04</v>
      </c>
      <c r="I14" s="2097">
        <f>面积表!G8</f>
        <v>88.04</v>
      </c>
      <c r="J14" s="2097">
        <v>0</v>
      </c>
      <c r="K14" s="2097">
        <v>0</v>
      </c>
      <c r="L14" s="2097">
        <v>0</v>
      </c>
      <c r="M14" s="2097"/>
      <c r="N14" s="2097"/>
      <c r="O14" s="2097"/>
      <c r="P14" s="2097"/>
      <c r="Q14" s="2097"/>
      <c r="R14" s="2097"/>
      <c r="S14" s="2097"/>
      <c r="T14" s="2097"/>
      <c r="U14" s="2097"/>
      <c r="V14" s="2097"/>
      <c r="W14" s="2097"/>
      <c r="X14" s="2097"/>
      <c r="Y14" s="2097"/>
      <c r="Z14" s="2097"/>
      <c r="AA14" s="2097"/>
      <c r="AB14" s="2097"/>
      <c r="AC14" s="16">
        <f>SUMIF(AD$12:AS$12,"总值",AD14:AS14)</f>
        <v>0</v>
      </c>
      <c r="AD14" s="2098"/>
      <c r="AE14" s="2098"/>
      <c r="AF14" s="2098"/>
      <c r="AG14" s="2098"/>
      <c r="AH14" s="2098"/>
      <c r="AI14" s="2098"/>
      <c r="AJ14" s="2098"/>
      <c r="AK14" s="2098"/>
      <c r="AL14" s="2098"/>
      <c r="AM14" s="2098"/>
      <c r="AN14" s="2098"/>
      <c r="AO14" s="2098"/>
      <c r="AP14" s="2098"/>
      <c r="AQ14" s="2098"/>
      <c r="AR14" s="2098"/>
      <c r="AS14" s="2098"/>
      <c r="AT14" s="2099"/>
      <c r="AU14" s="2100"/>
      <c r="AV14" s="24">
        <f t="shared" si="6"/>
        <v>0</v>
      </c>
      <c r="AW14" s="24" t="str">
        <f t="shared" si="6"/>
        <v>京（2017）朝不动产权第0019890号</v>
      </c>
      <c r="AX14" s="24" t="str">
        <f t="shared" si="6"/>
        <v>301-1</v>
      </c>
      <c r="AY14" s="1792">
        <f>ROUND($AY$6*AZ14/$AZ$5,2)</f>
        <v>8.8800000000000008</v>
      </c>
      <c r="AZ14" s="16">
        <f>BA14+BL14</f>
        <v>88.04</v>
      </c>
      <c r="BA14" s="16">
        <f>SUM(BB14:BK14)</f>
        <v>88.04</v>
      </c>
      <c r="BB14" s="16">
        <f>IF($D14="是",I14-J14,0)</f>
        <v>88.04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50" customFormat="1" ht="12.75">
      <c r="A15" s="1259"/>
      <c r="B15" s="59" t="str">
        <f>面积表!B9</f>
        <v>京（2017）朝不动产权第0019977号</v>
      </c>
      <c r="C15" s="1259" t="str">
        <f>面积表!C9</f>
        <v>301-2</v>
      </c>
      <c r="D15" s="2096" t="s">
        <v>3434</v>
      </c>
      <c r="E15" s="16">
        <f>IF($C$3="是",ROUND($A$3*G15/$B$3,2),ROUND($A$3*(G15-AT15)/$B$3,2))</f>
        <v>8.07</v>
      </c>
      <c r="F15" s="32"/>
      <c r="G15" s="33">
        <f>H15+AC15+AT15</f>
        <v>80.06</v>
      </c>
      <c r="H15" s="20">
        <f>SUMIF(I$12:AB$12,"总值",I15:AB15)</f>
        <v>80.06</v>
      </c>
      <c r="I15" s="2097">
        <f>面积表!G9</f>
        <v>80.06</v>
      </c>
      <c r="J15" s="2097">
        <v>0</v>
      </c>
      <c r="K15" s="2097">
        <v>0</v>
      </c>
      <c r="L15" s="2097">
        <v>0</v>
      </c>
      <c r="M15" s="2097"/>
      <c r="N15" s="2097"/>
      <c r="O15" s="2097"/>
      <c r="P15" s="2097"/>
      <c r="Q15" s="2097"/>
      <c r="R15" s="2097"/>
      <c r="S15" s="2097"/>
      <c r="T15" s="2097"/>
      <c r="U15" s="2097"/>
      <c r="V15" s="2097"/>
      <c r="W15" s="2097"/>
      <c r="X15" s="2097"/>
      <c r="Y15" s="2097"/>
      <c r="Z15" s="2097"/>
      <c r="AA15" s="2097"/>
      <c r="AB15" s="2097"/>
      <c r="AC15" s="16">
        <f>SUMIF(AD$12:AS$12,"总值",AD15:AS15)</f>
        <v>0</v>
      </c>
      <c r="AD15" s="2098"/>
      <c r="AE15" s="2098"/>
      <c r="AF15" s="2098"/>
      <c r="AG15" s="2098"/>
      <c r="AH15" s="2098"/>
      <c r="AI15" s="2098"/>
      <c r="AJ15" s="2098"/>
      <c r="AK15" s="2098"/>
      <c r="AL15" s="2098"/>
      <c r="AM15" s="2098"/>
      <c r="AN15" s="2098"/>
      <c r="AO15" s="2098"/>
      <c r="AP15" s="2098"/>
      <c r="AQ15" s="2098"/>
      <c r="AR15" s="2098"/>
      <c r="AS15" s="2098"/>
      <c r="AT15" s="2099"/>
      <c r="AU15" s="2100"/>
      <c r="AV15" s="24">
        <f t="shared" si="6"/>
        <v>0</v>
      </c>
      <c r="AW15" s="24" t="str">
        <f t="shared" si="6"/>
        <v>京（2017）朝不动产权第0019977号</v>
      </c>
      <c r="AX15" s="24" t="str">
        <f t="shared" si="6"/>
        <v>301-2</v>
      </c>
      <c r="AY15" s="1792">
        <f>ROUND($AY$6*AZ15/$AZ$5,2)</f>
        <v>8.07</v>
      </c>
      <c r="AZ15" s="16">
        <f>BA15+BL15</f>
        <v>80.06</v>
      </c>
      <c r="BA15" s="16">
        <f>SUM(BB15:BK15)</f>
        <v>80.06</v>
      </c>
      <c r="BB15" s="16">
        <f>IF($D15="是",I15-J15,0)</f>
        <v>80.06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50" customFormat="1" ht="12.75">
      <c r="A16" s="1259"/>
      <c r="B16" s="59" t="str">
        <f>面积表!B10</f>
        <v>京（2017）朝不动产权第0019829号</v>
      </c>
      <c r="C16" s="1259" t="str">
        <f>面积表!C10</f>
        <v>301-3</v>
      </c>
      <c r="D16" s="2096" t="s">
        <v>3434</v>
      </c>
      <c r="E16" s="16">
        <f>IF($C$3="是",ROUND($A$3*G16/$B$3,2),ROUND($A$3*(G16-AT16)/$B$3,2))</f>
        <v>8.07</v>
      </c>
      <c r="F16" s="32"/>
      <c r="G16" s="33">
        <f>H16+AC16+AT16</f>
        <v>80.06</v>
      </c>
      <c r="H16" s="20">
        <f>SUMIF(I$12:AB$12,"总值",I16:AB16)</f>
        <v>80.06</v>
      </c>
      <c r="I16" s="2097">
        <f>面积表!G10</f>
        <v>80.06</v>
      </c>
      <c r="J16" s="2097">
        <v>0</v>
      </c>
      <c r="K16" s="2097">
        <v>0</v>
      </c>
      <c r="L16" s="2097">
        <v>0</v>
      </c>
      <c r="M16" s="2097"/>
      <c r="N16" s="2097"/>
      <c r="O16" s="2097"/>
      <c r="P16" s="2097"/>
      <c r="Q16" s="2097"/>
      <c r="R16" s="2097"/>
      <c r="S16" s="2097"/>
      <c r="T16" s="2097"/>
      <c r="U16" s="2097"/>
      <c r="V16" s="2097"/>
      <c r="W16" s="2097"/>
      <c r="X16" s="2097"/>
      <c r="Y16" s="2097"/>
      <c r="Z16" s="2097"/>
      <c r="AA16" s="2097"/>
      <c r="AB16" s="2097"/>
      <c r="AC16" s="16">
        <f>SUMIF(AD$12:AS$12,"总值",AD16:AS16)</f>
        <v>0</v>
      </c>
      <c r="AD16" s="2098"/>
      <c r="AE16" s="2098"/>
      <c r="AF16" s="2098"/>
      <c r="AG16" s="2098"/>
      <c r="AH16" s="2098"/>
      <c r="AI16" s="2098"/>
      <c r="AJ16" s="2098"/>
      <c r="AK16" s="2098"/>
      <c r="AL16" s="2098"/>
      <c r="AM16" s="2098"/>
      <c r="AN16" s="2098"/>
      <c r="AO16" s="2098"/>
      <c r="AP16" s="2098"/>
      <c r="AQ16" s="2098"/>
      <c r="AR16" s="2098"/>
      <c r="AS16" s="2098"/>
      <c r="AT16" s="2099"/>
      <c r="AU16" s="2100"/>
      <c r="AV16" s="24">
        <f t="shared" si="6"/>
        <v>0</v>
      </c>
      <c r="AW16" s="24" t="str">
        <f t="shared" si="6"/>
        <v>京（2017）朝不动产权第0019829号</v>
      </c>
      <c r="AX16" s="24" t="str">
        <f t="shared" si="6"/>
        <v>301-3</v>
      </c>
      <c r="AY16" s="1792">
        <f>ROUND($AY$6*AZ16/$AZ$5,2)</f>
        <v>8.07</v>
      </c>
      <c r="AZ16" s="16">
        <f>BA16+BL16</f>
        <v>80.06</v>
      </c>
      <c r="BA16" s="16">
        <f>SUM(BB16:BK16)</f>
        <v>80.06</v>
      </c>
      <c r="BB16" s="16">
        <f>IF($D16="是",I16-J16,0)</f>
        <v>80.06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50" customFormat="1" ht="12.75">
      <c r="A17" s="1259"/>
      <c r="B17" s="59" t="str">
        <f>面积表!B11</f>
        <v>京（2017）朝不动产权第0019831号</v>
      </c>
      <c r="C17" s="1259" t="str">
        <f>面积表!C11</f>
        <v>301-4</v>
      </c>
      <c r="D17" s="2096" t="s">
        <v>3434</v>
      </c>
      <c r="E17" s="16">
        <f>IF($C$3="是",ROUND($A$3*G17/$B$3,2),ROUND($A$3*(G17-AT17)/$B$3,2))</f>
        <v>8.07</v>
      </c>
      <c r="F17" s="32"/>
      <c r="G17" s="33">
        <f>H17+AC17+AT17</f>
        <v>80.06</v>
      </c>
      <c r="H17" s="20">
        <f>SUMIF(I$12:AB$12,"总值",I17:AB17)</f>
        <v>80.06</v>
      </c>
      <c r="I17" s="2097">
        <f>面积表!G11</f>
        <v>80.06</v>
      </c>
      <c r="J17" s="2097">
        <v>0</v>
      </c>
      <c r="K17" s="2097">
        <v>0</v>
      </c>
      <c r="L17" s="2097">
        <v>0</v>
      </c>
      <c r="M17" s="2097"/>
      <c r="N17" s="2097"/>
      <c r="O17" s="2097"/>
      <c r="P17" s="2097"/>
      <c r="Q17" s="2097"/>
      <c r="R17" s="2097"/>
      <c r="S17" s="2097"/>
      <c r="T17" s="2097"/>
      <c r="U17" s="2097"/>
      <c r="V17" s="2097"/>
      <c r="W17" s="2097"/>
      <c r="X17" s="2097"/>
      <c r="Y17" s="2097"/>
      <c r="Z17" s="2097"/>
      <c r="AA17" s="2097"/>
      <c r="AB17" s="2097"/>
      <c r="AC17" s="16">
        <f>SUMIF(AD$12:AS$12,"总值",AD17:AS17)</f>
        <v>0</v>
      </c>
      <c r="AD17" s="2098"/>
      <c r="AE17" s="2098"/>
      <c r="AF17" s="2098"/>
      <c r="AG17" s="2098"/>
      <c r="AH17" s="2098"/>
      <c r="AI17" s="2098"/>
      <c r="AJ17" s="2098"/>
      <c r="AK17" s="2098"/>
      <c r="AL17" s="2098"/>
      <c r="AM17" s="2098"/>
      <c r="AN17" s="2098"/>
      <c r="AO17" s="2098"/>
      <c r="AP17" s="2098"/>
      <c r="AQ17" s="2098"/>
      <c r="AR17" s="2098"/>
      <c r="AS17" s="2098"/>
      <c r="AT17" s="2099"/>
      <c r="AU17" s="2100"/>
      <c r="AV17" s="24">
        <f t="shared" si="6"/>
        <v>0</v>
      </c>
      <c r="AW17" s="24" t="str">
        <f t="shared" si="6"/>
        <v>京（2017）朝不动产权第0019831号</v>
      </c>
      <c r="AX17" s="24" t="str">
        <f t="shared" si="6"/>
        <v>301-4</v>
      </c>
      <c r="AY17" s="1792">
        <f>ROUND($AY$6*AZ17/$AZ$5,2)</f>
        <v>8.07</v>
      </c>
      <c r="AZ17" s="16">
        <f>BA17+BL17</f>
        <v>80.06</v>
      </c>
      <c r="BA17" s="16">
        <f>SUM(BB17:BK17)</f>
        <v>80.06</v>
      </c>
      <c r="BB17" s="16">
        <f>IF($D17="是",I17-J17,0)</f>
        <v>80.06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59" t="str">
        <f>面积表!B12</f>
        <v>京（2017）朝不动产权第0019832号</v>
      </c>
      <c r="C18" s="1259" t="str">
        <f>面积表!C12</f>
        <v>301-5</v>
      </c>
      <c r="D18" s="2096" t="s">
        <v>3434</v>
      </c>
      <c r="E18" s="16">
        <f t="shared" ref="E18:E112" si="7">IF($C$3="是",ROUND($A$3*G18/$B$3,2),ROUND($A$3*(G18-AT18)/$B$3,2))</f>
        <v>10.07</v>
      </c>
      <c r="F18" s="32"/>
      <c r="G18" s="33">
        <f t="shared" ref="G18:G109" si="8">H18+AC18+AT18</f>
        <v>99.81</v>
      </c>
      <c r="H18" s="20">
        <f t="shared" ref="H18:H109" si="9">SUMIF(I$12:AB$12,"总值",I18:AB18)</f>
        <v>99.81</v>
      </c>
      <c r="I18" s="2097">
        <f>面积表!G12</f>
        <v>99.81</v>
      </c>
      <c r="J18" s="2097">
        <v>0</v>
      </c>
      <c r="K18" s="2097">
        <v>0</v>
      </c>
      <c r="L18" s="2097">
        <v>0</v>
      </c>
      <c r="M18" s="39"/>
      <c r="N18" s="39"/>
      <c r="O18" s="39"/>
      <c r="P18" s="39"/>
      <c r="Q18" s="39"/>
      <c r="R18" s="39"/>
      <c r="S18" s="39"/>
      <c r="T18" s="39"/>
      <c r="U18" s="39"/>
      <c r="V18" s="39"/>
      <c r="W18" s="39"/>
      <c r="X18" s="39"/>
      <c r="Y18" s="39"/>
      <c r="Z18" s="39"/>
      <c r="AA18" s="39"/>
      <c r="AB18" s="39"/>
      <c r="AC18" s="16">
        <f t="shared" ref="AC18:AC109" si="10">SUMIF(AD$12:AS$12,"总值",AD18:AS18)</f>
        <v>0</v>
      </c>
      <c r="AD18" s="2098"/>
      <c r="AE18" s="2098"/>
      <c r="AF18" s="2098"/>
      <c r="AG18" s="2098"/>
      <c r="AH18" s="2098"/>
      <c r="AI18" s="2098"/>
      <c r="AJ18" s="2098"/>
      <c r="AK18" s="2098"/>
      <c r="AL18" s="2098"/>
      <c r="AM18" s="2098"/>
      <c r="AN18" s="2098"/>
      <c r="AO18" s="2098"/>
      <c r="AP18" s="2098"/>
      <c r="AQ18" s="2098"/>
      <c r="AR18" s="2098"/>
      <c r="AS18" s="2098"/>
      <c r="AT18" s="2099"/>
      <c r="AU18" s="2100"/>
      <c r="AV18" s="24">
        <f t="shared" ref="AV18:AV112" si="11">A18</f>
        <v>0</v>
      </c>
      <c r="AW18" s="24" t="str">
        <f t="shared" ref="AW18:AW112" si="12">B18</f>
        <v>京（2017）朝不动产权第0019832号</v>
      </c>
      <c r="AX18" s="24" t="str">
        <f t="shared" ref="AX18:AX112" si="13">C18</f>
        <v>301-5</v>
      </c>
      <c r="AY18" s="42">
        <f t="shared" ref="AY18:AY109" si="14">ROUND($AY$6*AZ18/$AZ$5,2)</f>
        <v>10.07</v>
      </c>
      <c r="AZ18" s="16">
        <f t="shared" ref="AZ18:AZ109" si="15">BA18+BL18</f>
        <v>99.81</v>
      </c>
      <c r="BA18" s="16">
        <f t="shared" ref="BA18:BA109" si="16">SUM(BB18:BK18)</f>
        <v>99.81</v>
      </c>
      <c r="BB18" s="16">
        <f t="shared" ref="BB18:BB109" si="17">IF($D18="是",I18-J18,0)</f>
        <v>99.81</v>
      </c>
      <c r="BC18" s="16">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59" t="str">
        <f>面积表!B13</f>
        <v>京（2017）朝不动产权第0019777号</v>
      </c>
      <c r="C19" s="1259" t="str">
        <f>面积表!C13</f>
        <v>301-6</v>
      </c>
      <c r="D19" s="2096" t="s">
        <v>3434</v>
      </c>
      <c r="E19" s="16">
        <f t="shared" si="7"/>
        <v>8.4</v>
      </c>
      <c r="F19" s="32"/>
      <c r="G19" s="33">
        <f t="shared" si="8"/>
        <v>83.28</v>
      </c>
      <c r="H19" s="20">
        <f t="shared" si="9"/>
        <v>83.28</v>
      </c>
      <c r="I19" s="2097">
        <f>面积表!G13</f>
        <v>83.28</v>
      </c>
      <c r="J19" s="2097">
        <v>0</v>
      </c>
      <c r="K19" s="2097">
        <v>0</v>
      </c>
      <c r="L19" s="2097">
        <v>0</v>
      </c>
      <c r="M19" s="39"/>
      <c r="N19" s="39"/>
      <c r="O19" s="39"/>
      <c r="P19" s="39"/>
      <c r="Q19" s="39"/>
      <c r="R19" s="39"/>
      <c r="S19" s="39"/>
      <c r="T19" s="39"/>
      <c r="U19" s="39"/>
      <c r="V19" s="39"/>
      <c r="W19" s="39"/>
      <c r="X19" s="39"/>
      <c r="Y19" s="39"/>
      <c r="Z19" s="39"/>
      <c r="AA19" s="39"/>
      <c r="AB19" s="39"/>
      <c r="AC19" s="16">
        <f t="shared" si="10"/>
        <v>0</v>
      </c>
      <c r="AD19" s="2098"/>
      <c r="AE19" s="2098"/>
      <c r="AF19" s="2098"/>
      <c r="AG19" s="2098"/>
      <c r="AH19" s="2098"/>
      <c r="AI19" s="2098"/>
      <c r="AJ19" s="2098"/>
      <c r="AK19" s="2098"/>
      <c r="AL19" s="2098"/>
      <c r="AM19" s="2098"/>
      <c r="AN19" s="2098"/>
      <c r="AO19" s="2098"/>
      <c r="AP19" s="2098"/>
      <c r="AQ19" s="2098"/>
      <c r="AR19" s="2098"/>
      <c r="AS19" s="2098"/>
      <c r="AT19" s="2099"/>
      <c r="AU19" s="2100"/>
      <c r="AV19" s="24">
        <f t="shared" si="11"/>
        <v>0</v>
      </c>
      <c r="AW19" s="24" t="str">
        <f t="shared" si="12"/>
        <v>京（2017）朝不动产权第0019777号</v>
      </c>
      <c r="AX19" s="24" t="str">
        <f t="shared" si="13"/>
        <v>301-6</v>
      </c>
      <c r="AY19" s="42">
        <f t="shared" si="14"/>
        <v>8.4</v>
      </c>
      <c r="AZ19" s="16">
        <f t="shared" si="15"/>
        <v>83.28</v>
      </c>
      <c r="BA19" s="16">
        <f t="shared" si="16"/>
        <v>83.28</v>
      </c>
      <c r="BB19" s="16">
        <f t="shared" si="17"/>
        <v>83.28</v>
      </c>
      <c r="BC19" s="16">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59" t="str">
        <f>面积表!B14</f>
        <v>京（2017）朝不动产权第0016811号</v>
      </c>
      <c r="C20" s="1259" t="str">
        <f>面积表!C14</f>
        <v>301-7</v>
      </c>
      <c r="D20" s="2096" t="s">
        <v>3434</v>
      </c>
      <c r="E20" s="16">
        <f t="shared" si="7"/>
        <v>10.87</v>
      </c>
      <c r="F20" s="32"/>
      <c r="G20" s="33">
        <f t="shared" si="8"/>
        <v>107.74</v>
      </c>
      <c r="H20" s="20">
        <f t="shared" si="9"/>
        <v>107.74</v>
      </c>
      <c r="I20" s="2097">
        <f>面积表!G14</f>
        <v>107.74</v>
      </c>
      <c r="J20" s="2097">
        <v>0</v>
      </c>
      <c r="K20" s="2097">
        <v>0</v>
      </c>
      <c r="L20" s="2097">
        <v>0</v>
      </c>
      <c r="M20" s="39"/>
      <c r="N20" s="39"/>
      <c r="O20" s="39"/>
      <c r="P20" s="39"/>
      <c r="Q20" s="39"/>
      <c r="R20" s="39"/>
      <c r="S20" s="39"/>
      <c r="T20" s="39"/>
      <c r="U20" s="39"/>
      <c r="V20" s="39"/>
      <c r="W20" s="39"/>
      <c r="X20" s="39"/>
      <c r="Y20" s="39"/>
      <c r="Z20" s="39"/>
      <c r="AA20" s="39"/>
      <c r="AB20" s="39"/>
      <c r="AC20" s="16">
        <f t="shared" si="10"/>
        <v>0</v>
      </c>
      <c r="AD20" s="2098"/>
      <c r="AE20" s="2098"/>
      <c r="AF20" s="2098"/>
      <c r="AG20" s="2098"/>
      <c r="AH20" s="2098"/>
      <c r="AI20" s="2098"/>
      <c r="AJ20" s="2098"/>
      <c r="AK20" s="2098"/>
      <c r="AL20" s="2098"/>
      <c r="AM20" s="2098"/>
      <c r="AN20" s="2098"/>
      <c r="AO20" s="2098"/>
      <c r="AP20" s="2098"/>
      <c r="AQ20" s="2098"/>
      <c r="AR20" s="2098"/>
      <c r="AS20" s="2098"/>
      <c r="AT20" s="2099"/>
      <c r="AU20" s="2100"/>
      <c r="AV20" s="24">
        <f t="shared" si="11"/>
        <v>0</v>
      </c>
      <c r="AW20" s="24" t="str">
        <f t="shared" si="12"/>
        <v>京（2017）朝不动产权第0016811号</v>
      </c>
      <c r="AX20" s="24" t="str">
        <f t="shared" si="13"/>
        <v>301-7</v>
      </c>
      <c r="AY20" s="42">
        <f t="shared" si="14"/>
        <v>10.87</v>
      </c>
      <c r="AZ20" s="16">
        <f t="shared" si="15"/>
        <v>107.74</v>
      </c>
      <c r="BA20" s="16">
        <f t="shared" si="16"/>
        <v>107.74</v>
      </c>
      <c r="BB20" s="16">
        <f t="shared" si="17"/>
        <v>107.74</v>
      </c>
      <c r="BC20" s="16">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59" t="str">
        <f>面积表!B15</f>
        <v>京（2017）朝不动产权第0019833号</v>
      </c>
      <c r="C21" s="1259" t="str">
        <f>面积表!C15</f>
        <v>301-8</v>
      </c>
      <c r="D21" s="2096" t="s">
        <v>3434</v>
      </c>
      <c r="E21" s="16">
        <f t="shared" si="7"/>
        <v>8.84</v>
      </c>
      <c r="F21" s="32"/>
      <c r="G21" s="33">
        <f t="shared" si="8"/>
        <v>87.64</v>
      </c>
      <c r="H21" s="20">
        <f t="shared" si="9"/>
        <v>87.64</v>
      </c>
      <c r="I21" s="2097">
        <f>面积表!G15</f>
        <v>87.64</v>
      </c>
      <c r="J21" s="2097">
        <v>0</v>
      </c>
      <c r="K21" s="2097">
        <v>0</v>
      </c>
      <c r="L21" s="2097">
        <v>0</v>
      </c>
      <c r="M21" s="39"/>
      <c r="N21" s="39"/>
      <c r="O21" s="39"/>
      <c r="P21" s="39"/>
      <c r="Q21" s="39"/>
      <c r="R21" s="39"/>
      <c r="S21" s="39"/>
      <c r="T21" s="39"/>
      <c r="U21" s="39"/>
      <c r="V21" s="39"/>
      <c r="W21" s="39"/>
      <c r="X21" s="39"/>
      <c r="Y21" s="39"/>
      <c r="Z21" s="39"/>
      <c r="AA21" s="39"/>
      <c r="AB21" s="39"/>
      <c r="AC21" s="16">
        <f t="shared" si="10"/>
        <v>0</v>
      </c>
      <c r="AD21" s="2098"/>
      <c r="AE21" s="2098"/>
      <c r="AF21" s="2098"/>
      <c r="AG21" s="2098"/>
      <c r="AH21" s="2098"/>
      <c r="AI21" s="2098"/>
      <c r="AJ21" s="2098"/>
      <c r="AK21" s="2098"/>
      <c r="AL21" s="2098"/>
      <c r="AM21" s="2098"/>
      <c r="AN21" s="2098"/>
      <c r="AO21" s="2098"/>
      <c r="AP21" s="2098"/>
      <c r="AQ21" s="2098"/>
      <c r="AR21" s="2098"/>
      <c r="AS21" s="2098"/>
      <c r="AT21" s="2099"/>
      <c r="AU21" s="2100"/>
      <c r="AV21" s="24">
        <f t="shared" si="11"/>
        <v>0</v>
      </c>
      <c r="AW21" s="24" t="str">
        <f t="shared" si="12"/>
        <v>京（2017）朝不动产权第0019833号</v>
      </c>
      <c r="AX21" s="24" t="str">
        <f t="shared" si="13"/>
        <v>301-8</v>
      </c>
      <c r="AY21" s="42">
        <f t="shared" si="14"/>
        <v>8.84</v>
      </c>
      <c r="AZ21" s="16">
        <f t="shared" si="15"/>
        <v>87.64</v>
      </c>
      <c r="BA21" s="16">
        <f t="shared" si="16"/>
        <v>87.64</v>
      </c>
      <c r="BB21" s="16">
        <f t="shared" si="17"/>
        <v>87.64</v>
      </c>
      <c r="BC21" s="16">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59" t="str">
        <f>面积表!B16</f>
        <v>京（2017）朝不动产权第0025333号</v>
      </c>
      <c r="C22" s="1259" t="str">
        <f>面积表!C16</f>
        <v>301-9</v>
      </c>
      <c r="D22" s="2096" t="s">
        <v>3434</v>
      </c>
      <c r="E22" s="16">
        <f t="shared" si="7"/>
        <v>8.07</v>
      </c>
      <c r="F22" s="32"/>
      <c r="G22" s="33">
        <f t="shared" si="8"/>
        <v>80.06</v>
      </c>
      <c r="H22" s="20">
        <f t="shared" si="9"/>
        <v>80.06</v>
      </c>
      <c r="I22" s="2097">
        <f>面积表!G16</f>
        <v>80.06</v>
      </c>
      <c r="J22" s="2097">
        <v>0</v>
      </c>
      <c r="K22" s="2097">
        <v>0</v>
      </c>
      <c r="L22" s="2097">
        <v>0</v>
      </c>
      <c r="M22" s="39"/>
      <c r="N22" s="39"/>
      <c r="O22" s="39"/>
      <c r="P22" s="39"/>
      <c r="Q22" s="39"/>
      <c r="R22" s="39"/>
      <c r="S22" s="39"/>
      <c r="T22" s="39"/>
      <c r="U22" s="39"/>
      <c r="V22" s="39"/>
      <c r="W22" s="39"/>
      <c r="X22" s="39"/>
      <c r="Y22" s="39"/>
      <c r="Z22" s="39"/>
      <c r="AA22" s="39"/>
      <c r="AB22" s="39"/>
      <c r="AC22" s="16">
        <f t="shared" si="10"/>
        <v>0</v>
      </c>
      <c r="AD22" s="2098"/>
      <c r="AE22" s="2098"/>
      <c r="AF22" s="2098"/>
      <c r="AG22" s="2098"/>
      <c r="AH22" s="2098"/>
      <c r="AI22" s="2098"/>
      <c r="AJ22" s="2098"/>
      <c r="AK22" s="2098"/>
      <c r="AL22" s="2098"/>
      <c r="AM22" s="2098"/>
      <c r="AN22" s="2098"/>
      <c r="AO22" s="2098"/>
      <c r="AP22" s="2098"/>
      <c r="AQ22" s="2098"/>
      <c r="AR22" s="2098"/>
      <c r="AS22" s="2098"/>
      <c r="AT22" s="2099"/>
      <c r="AU22" s="2100"/>
      <c r="AV22" s="24">
        <f t="shared" si="11"/>
        <v>0</v>
      </c>
      <c r="AW22" s="24" t="str">
        <f t="shared" si="12"/>
        <v>京（2017）朝不动产权第0025333号</v>
      </c>
      <c r="AX22" s="24" t="str">
        <f t="shared" si="13"/>
        <v>301-9</v>
      </c>
      <c r="AY22" s="42">
        <f t="shared" si="14"/>
        <v>8.07</v>
      </c>
      <c r="AZ22" s="16">
        <f t="shared" si="15"/>
        <v>80.06</v>
      </c>
      <c r="BA22" s="16">
        <f t="shared" si="16"/>
        <v>80.06</v>
      </c>
      <c r="BB22" s="16">
        <f t="shared" si="17"/>
        <v>80.06</v>
      </c>
      <c r="BC22" s="16">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59" t="str">
        <f>面积表!B17</f>
        <v>京（2017）朝不动产权第0025332号</v>
      </c>
      <c r="C23" s="1259" t="str">
        <f>面积表!C17</f>
        <v>301-10</v>
      </c>
      <c r="D23" s="2096" t="s">
        <v>3434</v>
      </c>
      <c r="E23" s="16">
        <f t="shared" si="7"/>
        <v>8.07</v>
      </c>
      <c r="F23" s="32"/>
      <c r="G23" s="33">
        <f t="shared" si="8"/>
        <v>80.06</v>
      </c>
      <c r="H23" s="20">
        <f t="shared" si="9"/>
        <v>80.06</v>
      </c>
      <c r="I23" s="2097">
        <f>面积表!G17</f>
        <v>80.06</v>
      </c>
      <c r="J23" s="2097">
        <v>0</v>
      </c>
      <c r="K23" s="2097">
        <v>0</v>
      </c>
      <c r="L23" s="2097">
        <v>0</v>
      </c>
      <c r="M23" s="39"/>
      <c r="N23" s="39"/>
      <c r="O23" s="39"/>
      <c r="P23" s="39"/>
      <c r="Q23" s="39"/>
      <c r="R23" s="39"/>
      <c r="S23" s="39"/>
      <c r="T23" s="39"/>
      <c r="U23" s="39"/>
      <c r="V23" s="39"/>
      <c r="W23" s="39"/>
      <c r="X23" s="39"/>
      <c r="Y23" s="39"/>
      <c r="Z23" s="39"/>
      <c r="AA23" s="39"/>
      <c r="AB23" s="39"/>
      <c r="AC23" s="16">
        <f t="shared" si="10"/>
        <v>0</v>
      </c>
      <c r="AD23" s="2098"/>
      <c r="AE23" s="2098"/>
      <c r="AF23" s="2098"/>
      <c r="AG23" s="2098"/>
      <c r="AH23" s="2098"/>
      <c r="AI23" s="2098"/>
      <c r="AJ23" s="2098"/>
      <c r="AK23" s="2098"/>
      <c r="AL23" s="2098"/>
      <c r="AM23" s="2098"/>
      <c r="AN23" s="2098"/>
      <c r="AO23" s="2098"/>
      <c r="AP23" s="2098"/>
      <c r="AQ23" s="2098"/>
      <c r="AR23" s="2098"/>
      <c r="AS23" s="2098"/>
      <c r="AT23" s="2099"/>
      <c r="AU23" s="2100"/>
      <c r="AV23" s="24">
        <f t="shared" si="11"/>
        <v>0</v>
      </c>
      <c r="AW23" s="24" t="str">
        <f t="shared" si="12"/>
        <v>京（2017）朝不动产权第0025332号</v>
      </c>
      <c r="AX23" s="24" t="str">
        <f t="shared" si="13"/>
        <v>301-10</v>
      </c>
      <c r="AY23" s="42">
        <f t="shared" si="14"/>
        <v>8.07</v>
      </c>
      <c r="AZ23" s="16">
        <f t="shared" si="15"/>
        <v>80.06</v>
      </c>
      <c r="BA23" s="16">
        <f t="shared" si="16"/>
        <v>80.06</v>
      </c>
      <c r="BB23" s="16">
        <f t="shared" si="17"/>
        <v>80.06</v>
      </c>
      <c r="BC23" s="16">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59" t="str">
        <f>面积表!B18</f>
        <v>京（2017）朝不动产权第0025315号</v>
      </c>
      <c r="C24" s="1259" t="str">
        <f>面积表!C18</f>
        <v>301-11</v>
      </c>
      <c r="D24" s="2096" t="s">
        <v>3434</v>
      </c>
      <c r="E24" s="16">
        <f t="shared" si="7"/>
        <v>8.07</v>
      </c>
      <c r="F24" s="32"/>
      <c r="G24" s="33">
        <f t="shared" si="8"/>
        <v>80.06</v>
      </c>
      <c r="H24" s="20">
        <f t="shared" si="9"/>
        <v>80.06</v>
      </c>
      <c r="I24" s="2097">
        <f>面积表!G18</f>
        <v>80.06</v>
      </c>
      <c r="J24" s="2097">
        <v>0</v>
      </c>
      <c r="K24" s="2097">
        <v>0</v>
      </c>
      <c r="L24" s="2097">
        <v>0</v>
      </c>
      <c r="M24" s="39"/>
      <c r="N24" s="39"/>
      <c r="O24" s="39"/>
      <c r="P24" s="39"/>
      <c r="Q24" s="39"/>
      <c r="R24" s="39"/>
      <c r="S24" s="39"/>
      <c r="T24" s="39"/>
      <c r="U24" s="39"/>
      <c r="V24" s="39"/>
      <c r="W24" s="39"/>
      <c r="X24" s="39"/>
      <c r="Y24" s="39"/>
      <c r="Z24" s="39"/>
      <c r="AA24" s="39"/>
      <c r="AB24" s="39"/>
      <c r="AC24" s="16">
        <f t="shared" si="10"/>
        <v>0</v>
      </c>
      <c r="AD24" s="2098"/>
      <c r="AE24" s="2098"/>
      <c r="AF24" s="2098"/>
      <c r="AG24" s="2098"/>
      <c r="AH24" s="2098"/>
      <c r="AI24" s="2098"/>
      <c r="AJ24" s="2098"/>
      <c r="AK24" s="2098"/>
      <c r="AL24" s="2098"/>
      <c r="AM24" s="2098"/>
      <c r="AN24" s="2098"/>
      <c r="AO24" s="2098"/>
      <c r="AP24" s="2098"/>
      <c r="AQ24" s="2098"/>
      <c r="AR24" s="2098"/>
      <c r="AS24" s="2098"/>
      <c r="AT24" s="2099"/>
      <c r="AU24" s="2100"/>
      <c r="AV24" s="24">
        <f t="shared" si="11"/>
        <v>0</v>
      </c>
      <c r="AW24" s="24" t="str">
        <f t="shared" si="12"/>
        <v>京（2017）朝不动产权第0025315号</v>
      </c>
      <c r="AX24" s="24" t="str">
        <f t="shared" si="13"/>
        <v>301-11</v>
      </c>
      <c r="AY24" s="42">
        <f t="shared" si="14"/>
        <v>8.07</v>
      </c>
      <c r="AZ24" s="16">
        <f t="shared" si="15"/>
        <v>80.06</v>
      </c>
      <c r="BA24" s="16">
        <f t="shared" si="16"/>
        <v>80.06</v>
      </c>
      <c r="BB24" s="16">
        <f t="shared" si="17"/>
        <v>80.06</v>
      </c>
      <c r="BC24" s="16">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59" t="str">
        <f>面积表!B19</f>
        <v>京（2017）朝不动产权第0027481号</v>
      </c>
      <c r="C25" s="1259" t="str">
        <f>面积表!C19</f>
        <v>301-12</v>
      </c>
      <c r="D25" s="2096" t="s">
        <v>3434</v>
      </c>
      <c r="E25" s="16">
        <f t="shared" si="7"/>
        <v>10.050000000000001</v>
      </c>
      <c r="F25" s="32"/>
      <c r="G25" s="33">
        <f t="shared" si="8"/>
        <v>99.64</v>
      </c>
      <c r="H25" s="20">
        <f t="shared" si="9"/>
        <v>99.64</v>
      </c>
      <c r="I25" s="2097">
        <f>面积表!G19</f>
        <v>99.64</v>
      </c>
      <c r="J25" s="2097">
        <v>0</v>
      </c>
      <c r="K25" s="2097">
        <v>0</v>
      </c>
      <c r="L25" s="2097">
        <v>0</v>
      </c>
      <c r="M25" s="39"/>
      <c r="N25" s="39"/>
      <c r="O25" s="39"/>
      <c r="P25" s="39"/>
      <c r="Q25" s="39"/>
      <c r="R25" s="39"/>
      <c r="S25" s="39"/>
      <c r="T25" s="39"/>
      <c r="U25" s="39"/>
      <c r="V25" s="39"/>
      <c r="W25" s="39"/>
      <c r="X25" s="39"/>
      <c r="Y25" s="39"/>
      <c r="Z25" s="39"/>
      <c r="AA25" s="39"/>
      <c r="AB25" s="39"/>
      <c r="AC25" s="16">
        <f t="shared" si="10"/>
        <v>0</v>
      </c>
      <c r="AD25" s="2098"/>
      <c r="AE25" s="2098"/>
      <c r="AF25" s="2098"/>
      <c r="AG25" s="2098"/>
      <c r="AH25" s="2098"/>
      <c r="AI25" s="2098"/>
      <c r="AJ25" s="2098"/>
      <c r="AK25" s="2098"/>
      <c r="AL25" s="2098"/>
      <c r="AM25" s="2098"/>
      <c r="AN25" s="2098"/>
      <c r="AO25" s="2098"/>
      <c r="AP25" s="2098"/>
      <c r="AQ25" s="2098"/>
      <c r="AR25" s="2098"/>
      <c r="AS25" s="2098"/>
      <c r="AT25" s="2099"/>
      <c r="AU25" s="2100"/>
      <c r="AV25" s="24">
        <f t="shared" si="11"/>
        <v>0</v>
      </c>
      <c r="AW25" s="24" t="str">
        <f t="shared" si="12"/>
        <v>京（2017）朝不动产权第0027481号</v>
      </c>
      <c r="AX25" s="24" t="str">
        <f t="shared" si="13"/>
        <v>301-12</v>
      </c>
      <c r="AY25" s="42">
        <f t="shared" si="14"/>
        <v>10.050000000000001</v>
      </c>
      <c r="AZ25" s="16">
        <f t="shared" si="15"/>
        <v>99.64</v>
      </c>
      <c r="BA25" s="16">
        <f t="shared" si="16"/>
        <v>99.64</v>
      </c>
      <c r="BB25" s="16">
        <f t="shared" si="17"/>
        <v>99.64</v>
      </c>
      <c r="BC25" s="16">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59" t="str">
        <f>面积表!B20</f>
        <v>京（2017）朝不动产权第0027486号</v>
      </c>
      <c r="C26" s="1259" t="str">
        <f>面积表!C20</f>
        <v>301-13</v>
      </c>
      <c r="D26" s="2096" t="s">
        <v>3434</v>
      </c>
      <c r="E26" s="16">
        <f t="shared" si="7"/>
        <v>8.36</v>
      </c>
      <c r="F26" s="32"/>
      <c r="G26" s="33">
        <f t="shared" si="8"/>
        <v>82.89</v>
      </c>
      <c r="H26" s="20">
        <f t="shared" si="9"/>
        <v>82.89</v>
      </c>
      <c r="I26" s="2097">
        <f>面积表!G20</f>
        <v>82.89</v>
      </c>
      <c r="J26" s="2097">
        <v>0</v>
      </c>
      <c r="K26" s="2097">
        <v>0</v>
      </c>
      <c r="L26" s="2097">
        <v>0</v>
      </c>
      <c r="M26" s="39"/>
      <c r="N26" s="39"/>
      <c r="O26" s="39"/>
      <c r="P26" s="39"/>
      <c r="Q26" s="39"/>
      <c r="R26" s="39"/>
      <c r="S26" s="39"/>
      <c r="T26" s="39"/>
      <c r="U26" s="39"/>
      <c r="V26" s="39"/>
      <c r="W26" s="39"/>
      <c r="X26" s="39"/>
      <c r="Y26" s="39"/>
      <c r="Z26" s="39"/>
      <c r="AA26" s="39"/>
      <c r="AB26" s="39"/>
      <c r="AC26" s="16">
        <f t="shared" si="10"/>
        <v>0</v>
      </c>
      <c r="AD26" s="2098"/>
      <c r="AE26" s="2098"/>
      <c r="AF26" s="2098"/>
      <c r="AG26" s="2098"/>
      <c r="AH26" s="2098"/>
      <c r="AI26" s="2098"/>
      <c r="AJ26" s="2098"/>
      <c r="AK26" s="2098"/>
      <c r="AL26" s="2098"/>
      <c r="AM26" s="2098"/>
      <c r="AN26" s="2098"/>
      <c r="AO26" s="2098"/>
      <c r="AP26" s="2098"/>
      <c r="AQ26" s="2098"/>
      <c r="AR26" s="2098"/>
      <c r="AS26" s="2098"/>
      <c r="AT26" s="2099"/>
      <c r="AU26" s="2100"/>
      <c r="AV26" s="24">
        <f t="shared" si="11"/>
        <v>0</v>
      </c>
      <c r="AW26" s="24" t="str">
        <f t="shared" si="12"/>
        <v>京（2017）朝不动产权第0027486号</v>
      </c>
      <c r="AX26" s="24" t="str">
        <f t="shared" si="13"/>
        <v>301-13</v>
      </c>
      <c r="AY26" s="42">
        <f t="shared" si="14"/>
        <v>8.36</v>
      </c>
      <c r="AZ26" s="16">
        <f t="shared" si="15"/>
        <v>82.89</v>
      </c>
      <c r="BA26" s="16">
        <f t="shared" si="16"/>
        <v>82.89</v>
      </c>
      <c r="BB26" s="16">
        <f t="shared" si="17"/>
        <v>82.89</v>
      </c>
      <c r="BC26" s="16">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59" t="str">
        <f>面积表!B21</f>
        <v>京（2017）朝不动产权第0025338号</v>
      </c>
      <c r="C27" s="1259" t="str">
        <f>面积表!C21</f>
        <v>301-14</v>
      </c>
      <c r="D27" s="2096" t="s">
        <v>3434</v>
      </c>
      <c r="E27" s="16">
        <f t="shared" si="7"/>
        <v>7.65</v>
      </c>
      <c r="F27" s="32"/>
      <c r="G27" s="33">
        <f t="shared" si="8"/>
        <v>75.83</v>
      </c>
      <c r="H27" s="20">
        <f t="shared" si="9"/>
        <v>75.83</v>
      </c>
      <c r="I27" s="2097">
        <f>面积表!G21</f>
        <v>75.83</v>
      </c>
      <c r="J27" s="2097">
        <v>0</v>
      </c>
      <c r="K27" s="2097">
        <v>0</v>
      </c>
      <c r="L27" s="2097">
        <v>0</v>
      </c>
      <c r="M27" s="39"/>
      <c r="N27" s="39"/>
      <c r="O27" s="39"/>
      <c r="P27" s="39"/>
      <c r="Q27" s="39"/>
      <c r="R27" s="39"/>
      <c r="S27" s="39"/>
      <c r="T27" s="39"/>
      <c r="U27" s="39"/>
      <c r="V27" s="39"/>
      <c r="W27" s="39"/>
      <c r="X27" s="39"/>
      <c r="Y27" s="39"/>
      <c r="Z27" s="39"/>
      <c r="AA27" s="39"/>
      <c r="AB27" s="39"/>
      <c r="AC27" s="16">
        <f t="shared" si="10"/>
        <v>0</v>
      </c>
      <c r="AD27" s="2098"/>
      <c r="AE27" s="2098"/>
      <c r="AF27" s="2098"/>
      <c r="AG27" s="2098"/>
      <c r="AH27" s="2098"/>
      <c r="AI27" s="2098"/>
      <c r="AJ27" s="2098"/>
      <c r="AK27" s="2098"/>
      <c r="AL27" s="2098"/>
      <c r="AM27" s="2098"/>
      <c r="AN27" s="2098"/>
      <c r="AO27" s="2098"/>
      <c r="AP27" s="2098"/>
      <c r="AQ27" s="2098"/>
      <c r="AR27" s="2098"/>
      <c r="AS27" s="2098"/>
      <c r="AT27" s="2099"/>
      <c r="AU27" s="2100"/>
      <c r="AV27" s="24">
        <f t="shared" si="11"/>
        <v>0</v>
      </c>
      <c r="AW27" s="24" t="str">
        <f t="shared" si="12"/>
        <v>京（2017）朝不动产权第0025338号</v>
      </c>
      <c r="AX27" s="24" t="str">
        <f t="shared" si="13"/>
        <v>301-14</v>
      </c>
      <c r="AY27" s="42">
        <f t="shared" si="14"/>
        <v>7.65</v>
      </c>
      <c r="AZ27" s="16">
        <f t="shared" si="15"/>
        <v>75.83</v>
      </c>
      <c r="BA27" s="16">
        <f t="shared" si="16"/>
        <v>75.83</v>
      </c>
      <c r="BB27" s="16">
        <f t="shared" si="17"/>
        <v>75.83</v>
      </c>
      <c r="BC27" s="16">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59" t="str">
        <f>面积表!B22</f>
        <v>京（2017）朝不动产权第0027446号</v>
      </c>
      <c r="C28" s="1259" t="str">
        <f>面积表!C22</f>
        <v>401-1</v>
      </c>
      <c r="D28" s="2096" t="s">
        <v>3434</v>
      </c>
      <c r="E28" s="16">
        <f t="shared" si="7"/>
        <v>8.8800000000000008</v>
      </c>
      <c r="F28" s="32"/>
      <c r="G28" s="33">
        <f t="shared" si="8"/>
        <v>88.04</v>
      </c>
      <c r="H28" s="20">
        <f t="shared" si="9"/>
        <v>88.04</v>
      </c>
      <c r="I28" s="2097">
        <f>面积表!G22</f>
        <v>88.04</v>
      </c>
      <c r="J28" s="2097">
        <v>0</v>
      </c>
      <c r="K28" s="2097">
        <v>0</v>
      </c>
      <c r="L28" s="2097">
        <v>0</v>
      </c>
      <c r="M28" s="39"/>
      <c r="N28" s="39"/>
      <c r="O28" s="39"/>
      <c r="P28" s="39"/>
      <c r="Q28" s="39"/>
      <c r="R28" s="39"/>
      <c r="S28" s="39"/>
      <c r="T28" s="39"/>
      <c r="U28" s="39"/>
      <c r="V28" s="39"/>
      <c r="W28" s="39"/>
      <c r="X28" s="39"/>
      <c r="Y28" s="39"/>
      <c r="Z28" s="39"/>
      <c r="AA28" s="39"/>
      <c r="AB28" s="39"/>
      <c r="AC28" s="16">
        <f t="shared" si="10"/>
        <v>0</v>
      </c>
      <c r="AD28" s="2098"/>
      <c r="AE28" s="2098"/>
      <c r="AF28" s="2098"/>
      <c r="AG28" s="2098"/>
      <c r="AH28" s="2098"/>
      <c r="AI28" s="2098"/>
      <c r="AJ28" s="2098"/>
      <c r="AK28" s="2098"/>
      <c r="AL28" s="2098"/>
      <c r="AM28" s="2098"/>
      <c r="AN28" s="2098"/>
      <c r="AO28" s="2098"/>
      <c r="AP28" s="2098"/>
      <c r="AQ28" s="2098"/>
      <c r="AR28" s="2098"/>
      <c r="AS28" s="2098"/>
      <c r="AT28" s="2099"/>
      <c r="AU28" s="2100"/>
      <c r="AV28" s="24">
        <f t="shared" si="11"/>
        <v>0</v>
      </c>
      <c r="AW28" s="24" t="str">
        <f t="shared" si="12"/>
        <v>京（2017）朝不动产权第0027446号</v>
      </c>
      <c r="AX28" s="24" t="str">
        <f t="shared" si="13"/>
        <v>401-1</v>
      </c>
      <c r="AY28" s="42">
        <f t="shared" si="14"/>
        <v>8.8800000000000008</v>
      </c>
      <c r="AZ28" s="16">
        <f t="shared" si="15"/>
        <v>88.04</v>
      </c>
      <c r="BA28" s="16">
        <f t="shared" si="16"/>
        <v>88.04</v>
      </c>
      <c r="BB28" s="16">
        <f t="shared" si="17"/>
        <v>88.04</v>
      </c>
      <c r="BC28" s="16">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59" t="str">
        <f>面积表!B23</f>
        <v>京（2017）朝不动产权第0025298号</v>
      </c>
      <c r="C29" s="1259" t="str">
        <f>面积表!C23</f>
        <v>401-2</v>
      </c>
      <c r="D29" s="2096" t="s">
        <v>3434</v>
      </c>
      <c r="E29" s="16">
        <f t="shared" si="7"/>
        <v>8.07</v>
      </c>
      <c r="F29" s="32"/>
      <c r="G29" s="33">
        <f t="shared" si="8"/>
        <v>80.06</v>
      </c>
      <c r="H29" s="20">
        <f t="shared" si="9"/>
        <v>80.06</v>
      </c>
      <c r="I29" s="2097">
        <f>面积表!G23</f>
        <v>80.06</v>
      </c>
      <c r="J29" s="2097">
        <v>0</v>
      </c>
      <c r="K29" s="2097">
        <v>0</v>
      </c>
      <c r="L29" s="2097">
        <v>0</v>
      </c>
      <c r="M29" s="39"/>
      <c r="N29" s="39"/>
      <c r="O29" s="39"/>
      <c r="P29" s="39"/>
      <c r="Q29" s="39"/>
      <c r="R29" s="39"/>
      <c r="S29" s="39"/>
      <c r="T29" s="39"/>
      <c r="U29" s="39"/>
      <c r="V29" s="39"/>
      <c r="W29" s="39"/>
      <c r="X29" s="39"/>
      <c r="Y29" s="39"/>
      <c r="Z29" s="39"/>
      <c r="AA29" s="39"/>
      <c r="AB29" s="39"/>
      <c r="AC29" s="16">
        <f t="shared" si="10"/>
        <v>0</v>
      </c>
      <c r="AD29" s="2098"/>
      <c r="AE29" s="2098"/>
      <c r="AF29" s="2098"/>
      <c r="AG29" s="2098"/>
      <c r="AH29" s="2098"/>
      <c r="AI29" s="2098"/>
      <c r="AJ29" s="2098"/>
      <c r="AK29" s="2098"/>
      <c r="AL29" s="2098"/>
      <c r="AM29" s="2098"/>
      <c r="AN29" s="2098"/>
      <c r="AO29" s="2098"/>
      <c r="AP29" s="2098"/>
      <c r="AQ29" s="2098"/>
      <c r="AR29" s="2098"/>
      <c r="AS29" s="2098"/>
      <c r="AT29" s="2099"/>
      <c r="AU29" s="2100"/>
      <c r="AV29" s="24">
        <f t="shared" si="11"/>
        <v>0</v>
      </c>
      <c r="AW29" s="24" t="str">
        <f t="shared" si="12"/>
        <v>京（2017）朝不动产权第0025298号</v>
      </c>
      <c r="AX29" s="24" t="str">
        <f t="shared" si="13"/>
        <v>401-2</v>
      </c>
      <c r="AY29" s="42">
        <f t="shared" si="14"/>
        <v>8.07</v>
      </c>
      <c r="AZ29" s="16">
        <f t="shared" si="15"/>
        <v>80.06</v>
      </c>
      <c r="BA29" s="16">
        <f t="shared" si="16"/>
        <v>80.06</v>
      </c>
      <c r="BB29" s="16">
        <f t="shared" si="17"/>
        <v>80.06</v>
      </c>
      <c r="BC29" s="16">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59" t="str">
        <f>面积表!B24</f>
        <v>京（2017）朝不动产权第0025299号</v>
      </c>
      <c r="C30" s="1259" t="str">
        <f>面积表!C24</f>
        <v>401-3</v>
      </c>
      <c r="D30" s="2096" t="s">
        <v>3434</v>
      </c>
      <c r="E30" s="16">
        <f t="shared" si="7"/>
        <v>8.07</v>
      </c>
      <c r="F30" s="32"/>
      <c r="G30" s="33">
        <f t="shared" si="8"/>
        <v>80.06</v>
      </c>
      <c r="H30" s="20">
        <f t="shared" si="9"/>
        <v>80.06</v>
      </c>
      <c r="I30" s="2097">
        <f>面积表!G24</f>
        <v>80.06</v>
      </c>
      <c r="J30" s="2097">
        <v>0</v>
      </c>
      <c r="K30" s="2097">
        <v>0</v>
      </c>
      <c r="L30" s="2097">
        <v>0</v>
      </c>
      <c r="M30" s="39"/>
      <c r="N30" s="39"/>
      <c r="O30" s="39"/>
      <c r="P30" s="39"/>
      <c r="Q30" s="39"/>
      <c r="R30" s="39"/>
      <c r="S30" s="39"/>
      <c r="T30" s="39"/>
      <c r="U30" s="39"/>
      <c r="V30" s="39"/>
      <c r="W30" s="39"/>
      <c r="X30" s="39"/>
      <c r="Y30" s="39"/>
      <c r="Z30" s="39"/>
      <c r="AA30" s="39"/>
      <c r="AB30" s="39"/>
      <c r="AC30" s="16">
        <f t="shared" si="10"/>
        <v>0</v>
      </c>
      <c r="AD30" s="2098"/>
      <c r="AE30" s="2098"/>
      <c r="AF30" s="2098"/>
      <c r="AG30" s="2098"/>
      <c r="AH30" s="2098"/>
      <c r="AI30" s="2098"/>
      <c r="AJ30" s="2098"/>
      <c r="AK30" s="2098"/>
      <c r="AL30" s="2098"/>
      <c r="AM30" s="2098"/>
      <c r="AN30" s="2098"/>
      <c r="AO30" s="2098"/>
      <c r="AP30" s="2098"/>
      <c r="AQ30" s="2098"/>
      <c r="AR30" s="2098"/>
      <c r="AS30" s="2098"/>
      <c r="AT30" s="2099"/>
      <c r="AU30" s="2100"/>
      <c r="AV30" s="24">
        <f t="shared" si="11"/>
        <v>0</v>
      </c>
      <c r="AW30" s="24" t="str">
        <f t="shared" si="12"/>
        <v>京（2017）朝不动产权第0025299号</v>
      </c>
      <c r="AX30" s="24" t="str">
        <f t="shared" si="13"/>
        <v>401-3</v>
      </c>
      <c r="AY30" s="42">
        <f t="shared" si="14"/>
        <v>8.07</v>
      </c>
      <c r="AZ30" s="16">
        <f t="shared" si="15"/>
        <v>80.06</v>
      </c>
      <c r="BA30" s="16">
        <f t="shared" si="16"/>
        <v>80.06</v>
      </c>
      <c r="BB30" s="16">
        <f t="shared" si="17"/>
        <v>80.06</v>
      </c>
      <c r="BC30" s="16">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59" t="str">
        <f>面积表!B25</f>
        <v>京（2017）朝不动产权第0025336号</v>
      </c>
      <c r="C31" s="1259" t="str">
        <f>面积表!C25</f>
        <v>401-4</v>
      </c>
      <c r="D31" s="2096" t="s">
        <v>3434</v>
      </c>
      <c r="E31" s="16">
        <f t="shared" si="7"/>
        <v>8.07</v>
      </c>
      <c r="F31" s="32"/>
      <c r="G31" s="33">
        <f t="shared" si="8"/>
        <v>80.06</v>
      </c>
      <c r="H31" s="20">
        <f t="shared" si="9"/>
        <v>80.06</v>
      </c>
      <c r="I31" s="2097">
        <f>面积表!G25</f>
        <v>80.06</v>
      </c>
      <c r="J31" s="2097">
        <v>0</v>
      </c>
      <c r="K31" s="2097">
        <v>0</v>
      </c>
      <c r="L31" s="2097">
        <v>0</v>
      </c>
      <c r="M31" s="39"/>
      <c r="N31" s="39"/>
      <c r="O31" s="39"/>
      <c r="P31" s="39"/>
      <c r="Q31" s="39"/>
      <c r="R31" s="39"/>
      <c r="S31" s="39"/>
      <c r="T31" s="39"/>
      <c r="U31" s="39"/>
      <c r="V31" s="39"/>
      <c r="W31" s="39"/>
      <c r="X31" s="39"/>
      <c r="Y31" s="39"/>
      <c r="Z31" s="39"/>
      <c r="AA31" s="39"/>
      <c r="AB31" s="39"/>
      <c r="AC31" s="16">
        <f t="shared" si="10"/>
        <v>0</v>
      </c>
      <c r="AD31" s="2098"/>
      <c r="AE31" s="2098"/>
      <c r="AF31" s="2098"/>
      <c r="AG31" s="2098"/>
      <c r="AH31" s="2098"/>
      <c r="AI31" s="2098"/>
      <c r="AJ31" s="2098"/>
      <c r="AK31" s="2098"/>
      <c r="AL31" s="2098"/>
      <c r="AM31" s="2098"/>
      <c r="AN31" s="2098"/>
      <c r="AO31" s="2098"/>
      <c r="AP31" s="2098"/>
      <c r="AQ31" s="2098"/>
      <c r="AR31" s="2098"/>
      <c r="AS31" s="2098"/>
      <c r="AT31" s="2099"/>
      <c r="AU31" s="2100"/>
      <c r="AV31" s="24">
        <f t="shared" si="11"/>
        <v>0</v>
      </c>
      <c r="AW31" s="24" t="str">
        <f t="shared" si="12"/>
        <v>京（2017）朝不动产权第0025336号</v>
      </c>
      <c r="AX31" s="24" t="str">
        <f t="shared" si="13"/>
        <v>401-4</v>
      </c>
      <c r="AY31" s="42">
        <f t="shared" si="14"/>
        <v>8.07</v>
      </c>
      <c r="AZ31" s="16">
        <f t="shared" si="15"/>
        <v>80.06</v>
      </c>
      <c r="BA31" s="16">
        <f t="shared" si="16"/>
        <v>80.06</v>
      </c>
      <c r="BB31" s="16">
        <f t="shared" si="17"/>
        <v>80.06</v>
      </c>
      <c r="BC31" s="16">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59" t="str">
        <f>面积表!B26</f>
        <v>京（2017）朝不动产权第0025337号</v>
      </c>
      <c r="C32" s="1259" t="str">
        <f>面积表!C26</f>
        <v>401-5</v>
      </c>
      <c r="D32" s="2096" t="s">
        <v>3434</v>
      </c>
      <c r="E32" s="16">
        <f t="shared" si="7"/>
        <v>10.07</v>
      </c>
      <c r="F32" s="32"/>
      <c r="G32" s="33">
        <f t="shared" si="8"/>
        <v>99.81</v>
      </c>
      <c r="H32" s="20">
        <f t="shared" si="9"/>
        <v>99.81</v>
      </c>
      <c r="I32" s="2097">
        <f>面积表!G26</f>
        <v>99.81</v>
      </c>
      <c r="J32" s="2097">
        <v>0</v>
      </c>
      <c r="K32" s="2097">
        <v>0</v>
      </c>
      <c r="L32" s="2097">
        <v>0</v>
      </c>
      <c r="M32" s="39"/>
      <c r="N32" s="39"/>
      <c r="O32" s="39"/>
      <c r="P32" s="39"/>
      <c r="Q32" s="39"/>
      <c r="R32" s="39"/>
      <c r="S32" s="39"/>
      <c r="T32" s="39"/>
      <c r="U32" s="39"/>
      <c r="V32" s="39"/>
      <c r="W32" s="39"/>
      <c r="X32" s="39"/>
      <c r="Y32" s="39"/>
      <c r="Z32" s="39"/>
      <c r="AA32" s="39"/>
      <c r="AB32" s="39"/>
      <c r="AC32" s="16">
        <f t="shared" si="10"/>
        <v>0</v>
      </c>
      <c r="AD32" s="2098"/>
      <c r="AE32" s="2098"/>
      <c r="AF32" s="2098"/>
      <c r="AG32" s="2098"/>
      <c r="AH32" s="2098"/>
      <c r="AI32" s="2098"/>
      <c r="AJ32" s="2098"/>
      <c r="AK32" s="2098"/>
      <c r="AL32" s="2098"/>
      <c r="AM32" s="2098"/>
      <c r="AN32" s="2098"/>
      <c r="AO32" s="2098"/>
      <c r="AP32" s="2098"/>
      <c r="AQ32" s="2098"/>
      <c r="AR32" s="2098"/>
      <c r="AS32" s="2098"/>
      <c r="AT32" s="2099"/>
      <c r="AU32" s="2100"/>
      <c r="AV32" s="24">
        <f t="shared" si="11"/>
        <v>0</v>
      </c>
      <c r="AW32" s="24" t="str">
        <f t="shared" si="12"/>
        <v>京（2017）朝不动产权第0025337号</v>
      </c>
      <c r="AX32" s="24" t="str">
        <f t="shared" si="13"/>
        <v>401-5</v>
      </c>
      <c r="AY32" s="42">
        <f t="shared" si="14"/>
        <v>10.07</v>
      </c>
      <c r="AZ32" s="16">
        <f t="shared" si="15"/>
        <v>99.81</v>
      </c>
      <c r="BA32" s="16">
        <f t="shared" si="16"/>
        <v>99.81</v>
      </c>
      <c r="BB32" s="16">
        <f t="shared" si="17"/>
        <v>99.81</v>
      </c>
      <c r="BC32" s="16">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59" t="str">
        <f>面积表!B27</f>
        <v>京（2017）朝不动产权第0025341号</v>
      </c>
      <c r="C33" s="1259" t="str">
        <f>面积表!C27</f>
        <v>401-6</v>
      </c>
      <c r="D33" s="2096" t="s">
        <v>3434</v>
      </c>
      <c r="E33" s="16">
        <f t="shared" si="7"/>
        <v>8.4</v>
      </c>
      <c r="F33" s="32"/>
      <c r="G33" s="33">
        <f t="shared" si="8"/>
        <v>83.28</v>
      </c>
      <c r="H33" s="20">
        <f t="shared" si="9"/>
        <v>83.28</v>
      </c>
      <c r="I33" s="2097">
        <f>面积表!G27</f>
        <v>83.28</v>
      </c>
      <c r="J33" s="2097">
        <v>0</v>
      </c>
      <c r="K33" s="2097">
        <v>0</v>
      </c>
      <c r="L33" s="2097">
        <v>0</v>
      </c>
      <c r="M33" s="39"/>
      <c r="N33" s="39"/>
      <c r="O33" s="39"/>
      <c r="P33" s="39"/>
      <c r="Q33" s="39"/>
      <c r="R33" s="39"/>
      <c r="S33" s="39"/>
      <c r="T33" s="39"/>
      <c r="U33" s="39"/>
      <c r="V33" s="39"/>
      <c r="W33" s="39"/>
      <c r="X33" s="39"/>
      <c r="Y33" s="39"/>
      <c r="Z33" s="39"/>
      <c r="AA33" s="39"/>
      <c r="AB33" s="39"/>
      <c r="AC33" s="16">
        <f t="shared" si="10"/>
        <v>0</v>
      </c>
      <c r="AD33" s="2098"/>
      <c r="AE33" s="2098"/>
      <c r="AF33" s="2098"/>
      <c r="AG33" s="2098"/>
      <c r="AH33" s="2098"/>
      <c r="AI33" s="2098"/>
      <c r="AJ33" s="2098"/>
      <c r="AK33" s="2098"/>
      <c r="AL33" s="2098"/>
      <c r="AM33" s="2098"/>
      <c r="AN33" s="2098"/>
      <c r="AO33" s="2098"/>
      <c r="AP33" s="2098"/>
      <c r="AQ33" s="2098"/>
      <c r="AR33" s="2098"/>
      <c r="AS33" s="2098"/>
      <c r="AT33" s="2099"/>
      <c r="AU33" s="2100"/>
      <c r="AV33" s="24">
        <f t="shared" si="11"/>
        <v>0</v>
      </c>
      <c r="AW33" s="24" t="str">
        <f t="shared" si="12"/>
        <v>京（2017）朝不动产权第0025341号</v>
      </c>
      <c r="AX33" s="24" t="str">
        <f t="shared" si="13"/>
        <v>401-6</v>
      </c>
      <c r="AY33" s="42">
        <f t="shared" si="14"/>
        <v>8.4</v>
      </c>
      <c r="AZ33" s="16">
        <f t="shared" si="15"/>
        <v>83.28</v>
      </c>
      <c r="BA33" s="16">
        <f t="shared" si="16"/>
        <v>83.28</v>
      </c>
      <c r="BB33" s="16">
        <f t="shared" si="17"/>
        <v>83.28</v>
      </c>
      <c r="BC33" s="16">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59" t="str">
        <f>面积表!B28</f>
        <v>京（2017）朝不动产权第0025266号</v>
      </c>
      <c r="C34" s="1259" t="str">
        <f>面积表!C28</f>
        <v>401-7</v>
      </c>
      <c r="D34" s="2096" t="s">
        <v>3434</v>
      </c>
      <c r="E34" s="16">
        <f t="shared" si="7"/>
        <v>10.87</v>
      </c>
      <c r="F34" s="32"/>
      <c r="G34" s="33">
        <f t="shared" si="8"/>
        <v>107.74</v>
      </c>
      <c r="H34" s="20">
        <f t="shared" si="9"/>
        <v>107.74</v>
      </c>
      <c r="I34" s="2097">
        <f>面积表!G28</f>
        <v>107.74</v>
      </c>
      <c r="J34" s="2097">
        <v>0</v>
      </c>
      <c r="K34" s="2097">
        <v>0</v>
      </c>
      <c r="L34" s="2097">
        <v>0</v>
      </c>
      <c r="M34" s="39"/>
      <c r="N34" s="39"/>
      <c r="O34" s="39"/>
      <c r="P34" s="39"/>
      <c r="Q34" s="39"/>
      <c r="R34" s="39"/>
      <c r="S34" s="39"/>
      <c r="T34" s="39"/>
      <c r="U34" s="39"/>
      <c r="V34" s="39"/>
      <c r="W34" s="39"/>
      <c r="X34" s="39"/>
      <c r="Y34" s="39"/>
      <c r="Z34" s="39"/>
      <c r="AA34" s="39"/>
      <c r="AB34" s="39"/>
      <c r="AC34" s="16">
        <f t="shared" si="10"/>
        <v>0</v>
      </c>
      <c r="AD34" s="2098"/>
      <c r="AE34" s="2098"/>
      <c r="AF34" s="2098"/>
      <c r="AG34" s="2098"/>
      <c r="AH34" s="2098"/>
      <c r="AI34" s="2098"/>
      <c r="AJ34" s="2098"/>
      <c r="AK34" s="2098"/>
      <c r="AL34" s="2098"/>
      <c r="AM34" s="2098"/>
      <c r="AN34" s="2098"/>
      <c r="AO34" s="2098"/>
      <c r="AP34" s="2098"/>
      <c r="AQ34" s="2098"/>
      <c r="AR34" s="2098"/>
      <c r="AS34" s="2098"/>
      <c r="AT34" s="2099"/>
      <c r="AU34" s="2100"/>
      <c r="AV34" s="24">
        <f t="shared" si="11"/>
        <v>0</v>
      </c>
      <c r="AW34" s="24" t="str">
        <f t="shared" si="12"/>
        <v>京（2017）朝不动产权第0025266号</v>
      </c>
      <c r="AX34" s="24" t="str">
        <f t="shared" si="13"/>
        <v>401-7</v>
      </c>
      <c r="AY34" s="42">
        <f t="shared" si="14"/>
        <v>10.87</v>
      </c>
      <c r="AZ34" s="16">
        <f t="shared" si="15"/>
        <v>107.74</v>
      </c>
      <c r="BA34" s="16">
        <f t="shared" si="16"/>
        <v>107.74</v>
      </c>
      <c r="BB34" s="16">
        <f t="shared" si="17"/>
        <v>107.74</v>
      </c>
      <c r="BC34" s="16">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59" t="str">
        <f>面积表!B29</f>
        <v>京（2017）朝不动产权第0025329号</v>
      </c>
      <c r="C35" s="1259" t="str">
        <f>面积表!C29</f>
        <v>401-8</v>
      </c>
      <c r="D35" s="2096" t="s">
        <v>3434</v>
      </c>
      <c r="E35" s="16">
        <f t="shared" si="7"/>
        <v>8.84</v>
      </c>
      <c r="F35" s="32"/>
      <c r="G35" s="33">
        <f t="shared" si="8"/>
        <v>87.64</v>
      </c>
      <c r="H35" s="20">
        <f t="shared" si="9"/>
        <v>87.64</v>
      </c>
      <c r="I35" s="2097">
        <f>面积表!G29</f>
        <v>87.64</v>
      </c>
      <c r="J35" s="2097">
        <v>0</v>
      </c>
      <c r="K35" s="2097">
        <v>0</v>
      </c>
      <c r="L35" s="2097">
        <v>0</v>
      </c>
      <c r="M35" s="39"/>
      <c r="N35" s="39"/>
      <c r="O35" s="39"/>
      <c r="P35" s="39"/>
      <c r="Q35" s="39"/>
      <c r="R35" s="39"/>
      <c r="S35" s="39"/>
      <c r="T35" s="39"/>
      <c r="U35" s="39"/>
      <c r="V35" s="39"/>
      <c r="W35" s="39"/>
      <c r="X35" s="39"/>
      <c r="Y35" s="39"/>
      <c r="Z35" s="39"/>
      <c r="AA35" s="39"/>
      <c r="AB35" s="39"/>
      <c r="AC35" s="16">
        <f t="shared" si="10"/>
        <v>0</v>
      </c>
      <c r="AD35" s="2098"/>
      <c r="AE35" s="2098"/>
      <c r="AF35" s="2098"/>
      <c r="AG35" s="2098"/>
      <c r="AH35" s="2098"/>
      <c r="AI35" s="2098"/>
      <c r="AJ35" s="2098"/>
      <c r="AK35" s="2098"/>
      <c r="AL35" s="2098"/>
      <c r="AM35" s="2098"/>
      <c r="AN35" s="2098"/>
      <c r="AO35" s="2098"/>
      <c r="AP35" s="2098"/>
      <c r="AQ35" s="2098"/>
      <c r="AR35" s="2098"/>
      <c r="AS35" s="2098"/>
      <c r="AT35" s="2099"/>
      <c r="AU35" s="2100"/>
      <c r="AV35" s="24">
        <f t="shared" si="11"/>
        <v>0</v>
      </c>
      <c r="AW35" s="24" t="str">
        <f t="shared" si="12"/>
        <v>京（2017）朝不动产权第0025329号</v>
      </c>
      <c r="AX35" s="24" t="str">
        <f t="shared" si="13"/>
        <v>401-8</v>
      </c>
      <c r="AY35" s="42">
        <f t="shared" si="14"/>
        <v>8.84</v>
      </c>
      <c r="AZ35" s="16">
        <f t="shared" si="15"/>
        <v>87.64</v>
      </c>
      <c r="BA35" s="16">
        <f t="shared" si="16"/>
        <v>87.64</v>
      </c>
      <c r="BB35" s="16">
        <f t="shared" si="17"/>
        <v>87.64</v>
      </c>
      <c r="BC35" s="16">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59" t="str">
        <f>面积表!B30</f>
        <v>京（2017）朝不动产权第0025331号</v>
      </c>
      <c r="C36" s="1259" t="str">
        <f>面积表!C30</f>
        <v>401-9</v>
      </c>
      <c r="D36" s="2096" t="s">
        <v>3434</v>
      </c>
      <c r="E36" s="16">
        <f t="shared" si="7"/>
        <v>8.07</v>
      </c>
      <c r="F36" s="32"/>
      <c r="G36" s="33">
        <f t="shared" si="8"/>
        <v>80.06</v>
      </c>
      <c r="H36" s="20">
        <f t="shared" si="9"/>
        <v>80.06</v>
      </c>
      <c r="I36" s="2097">
        <f>面积表!G30</f>
        <v>80.06</v>
      </c>
      <c r="J36" s="2097">
        <v>0</v>
      </c>
      <c r="K36" s="2097">
        <v>0</v>
      </c>
      <c r="L36" s="2097">
        <v>0</v>
      </c>
      <c r="M36" s="39"/>
      <c r="N36" s="39"/>
      <c r="O36" s="39"/>
      <c r="P36" s="39"/>
      <c r="Q36" s="39"/>
      <c r="R36" s="39"/>
      <c r="S36" s="39"/>
      <c r="T36" s="39"/>
      <c r="U36" s="39"/>
      <c r="V36" s="39"/>
      <c r="W36" s="39"/>
      <c r="X36" s="39"/>
      <c r="Y36" s="39"/>
      <c r="Z36" s="39"/>
      <c r="AA36" s="39"/>
      <c r="AB36" s="39"/>
      <c r="AC36" s="16">
        <f t="shared" si="10"/>
        <v>0</v>
      </c>
      <c r="AD36" s="2098"/>
      <c r="AE36" s="2098"/>
      <c r="AF36" s="2098"/>
      <c r="AG36" s="2098"/>
      <c r="AH36" s="2098"/>
      <c r="AI36" s="2098"/>
      <c r="AJ36" s="2098"/>
      <c r="AK36" s="2098"/>
      <c r="AL36" s="2098"/>
      <c r="AM36" s="2098"/>
      <c r="AN36" s="2098"/>
      <c r="AO36" s="2098"/>
      <c r="AP36" s="2098"/>
      <c r="AQ36" s="2098"/>
      <c r="AR36" s="2098"/>
      <c r="AS36" s="2098"/>
      <c r="AT36" s="2099"/>
      <c r="AU36" s="2100"/>
      <c r="AV36" s="24">
        <f t="shared" si="11"/>
        <v>0</v>
      </c>
      <c r="AW36" s="24" t="str">
        <f t="shared" si="12"/>
        <v>京（2017）朝不动产权第0025331号</v>
      </c>
      <c r="AX36" s="24" t="str">
        <f t="shared" si="13"/>
        <v>401-9</v>
      </c>
      <c r="AY36" s="42">
        <f t="shared" si="14"/>
        <v>8.07</v>
      </c>
      <c r="AZ36" s="16">
        <f t="shared" si="15"/>
        <v>80.06</v>
      </c>
      <c r="BA36" s="16">
        <f t="shared" si="16"/>
        <v>80.06</v>
      </c>
      <c r="BB36" s="16">
        <f t="shared" si="17"/>
        <v>80.06</v>
      </c>
      <c r="BC36" s="16">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59" t="str">
        <f>面积表!B31</f>
        <v>京（2017）朝不动产权第0025340号</v>
      </c>
      <c r="C37" s="1259" t="str">
        <f>面积表!C31</f>
        <v>401-10</v>
      </c>
      <c r="D37" s="2096" t="s">
        <v>3434</v>
      </c>
      <c r="E37" s="16">
        <f t="shared" si="7"/>
        <v>8.07</v>
      </c>
      <c r="F37" s="32"/>
      <c r="G37" s="33">
        <f t="shared" si="8"/>
        <v>80.06</v>
      </c>
      <c r="H37" s="20">
        <f t="shared" si="9"/>
        <v>80.06</v>
      </c>
      <c r="I37" s="2097">
        <f>面积表!G31</f>
        <v>80.06</v>
      </c>
      <c r="J37" s="2097">
        <v>0</v>
      </c>
      <c r="K37" s="2097">
        <v>0</v>
      </c>
      <c r="L37" s="2097">
        <v>0</v>
      </c>
      <c r="M37" s="39"/>
      <c r="N37" s="39"/>
      <c r="O37" s="39"/>
      <c r="P37" s="39"/>
      <c r="Q37" s="39"/>
      <c r="R37" s="39"/>
      <c r="S37" s="39"/>
      <c r="T37" s="39"/>
      <c r="U37" s="39"/>
      <c r="V37" s="39"/>
      <c r="W37" s="39"/>
      <c r="X37" s="39"/>
      <c r="Y37" s="39"/>
      <c r="Z37" s="39"/>
      <c r="AA37" s="39"/>
      <c r="AB37" s="39"/>
      <c r="AC37" s="16">
        <f t="shared" si="10"/>
        <v>0</v>
      </c>
      <c r="AD37" s="2098"/>
      <c r="AE37" s="2098"/>
      <c r="AF37" s="2098"/>
      <c r="AG37" s="2098"/>
      <c r="AH37" s="2098"/>
      <c r="AI37" s="2098"/>
      <c r="AJ37" s="2098"/>
      <c r="AK37" s="2098"/>
      <c r="AL37" s="2098"/>
      <c r="AM37" s="2098"/>
      <c r="AN37" s="2098"/>
      <c r="AO37" s="2098"/>
      <c r="AP37" s="2098"/>
      <c r="AQ37" s="2098"/>
      <c r="AR37" s="2098"/>
      <c r="AS37" s="2098"/>
      <c r="AT37" s="2099"/>
      <c r="AU37" s="2100"/>
      <c r="AV37" s="24">
        <f t="shared" si="11"/>
        <v>0</v>
      </c>
      <c r="AW37" s="24" t="str">
        <f t="shared" si="12"/>
        <v>京（2017）朝不动产权第0025340号</v>
      </c>
      <c r="AX37" s="24" t="str">
        <f t="shared" si="13"/>
        <v>401-10</v>
      </c>
      <c r="AY37" s="42">
        <f t="shared" si="14"/>
        <v>8.07</v>
      </c>
      <c r="AZ37" s="16">
        <f t="shared" si="15"/>
        <v>80.06</v>
      </c>
      <c r="BA37" s="16">
        <f t="shared" si="16"/>
        <v>80.06</v>
      </c>
      <c r="BB37" s="16">
        <f t="shared" si="17"/>
        <v>80.06</v>
      </c>
      <c r="BC37" s="16">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59" t="str">
        <f>面积表!B32</f>
        <v>京（2017）朝不动产权第0027491号</v>
      </c>
      <c r="C38" s="1259" t="str">
        <f>面积表!C32</f>
        <v>401-11</v>
      </c>
      <c r="D38" s="2096" t="s">
        <v>3434</v>
      </c>
      <c r="E38" s="16">
        <f t="shared" si="7"/>
        <v>8.07</v>
      </c>
      <c r="F38" s="32"/>
      <c r="G38" s="33">
        <f t="shared" si="8"/>
        <v>80.06</v>
      </c>
      <c r="H38" s="20">
        <f t="shared" si="9"/>
        <v>80.06</v>
      </c>
      <c r="I38" s="2097">
        <f>面积表!G32</f>
        <v>80.06</v>
      </c>
      <c r="J38" s="2097">
        <v>0</v>
      </c>
      <c r="K38" s="2097">
        <v>0</v>
      </c>
      <c r="L38" s="2097">
        <v>0</v>
      </c>
      <c r="M38" s="39"/>
      <c r="N38" s="39"/>
      <c r="O38" s="39"/>
      <c r="P38" s="39"/>
      <c r="Q38" s="39"/>
      <c r="R38" s="39"/>
      <c r="S38" s="39"/>
      <c r="T38" s="39"/>
      <c r="U38" s="39"/>
      <c r="V38" s="39"/>
      <c r="W38" s="39"/>
      <c r="X38" s="39"/>
      <c r="Y38" s="39"/>
      <c r="Z38" s="39"/>
      <c r="AA38" s="39"/>
      <c r="AB38" s="39"/>
      <c r="AC38" s="16">
        <f t="shared" si="10"/>
        <v>0</v>
      </c>
      <c r="AD38" s="2098"/>
      <c r="AE38" s="2098"/>
      <c r="AF38" s="2098"/>
      <c r="AG38" s="2098"/>
      <c r="AH38" s="2098"/>
      <c r="AI38" s="2098"/>
      <c r="AJ38" s="2098"/>
      <c r="AK38" s="2098"/>
      <c r="AL38" s="2098"/>
      <c r="AM38" s="2098"/>
      <c r="AN38" s="2098"/>
      <c r="AO38" s="2098"/>
      <c r="AP38" s="2098"/>
      <c r="AQ38" s="2098"/>
      <c r="AR38" s="2098"/>
      <c r="AS38" s="2098"/>
      <c r="AT38" s="2099"/>
      <c r="AU38" s="2100"/>
      <c r="AV38" s="24">
        <f t="shared" si="11"/>
        <v>0</v>
      </c>
      <c r="AW38" s="24" t="str">
        <f t="shared" si="12"/>
        <v>京（2017）朝不动产权第0027491号</v>
      </c>
      <c r="AX38" s="24" t="str">
        <f t="shared" si="13"/>
        <v>401-11</v>
      </c>
      <c r="AY38" s="42">
        <f t="shared" si="14"/>
        <v>8.07</v>
      </c>
      <c r="AZ38" s="16">
        <f t="shared" si="15"/>
        <v>80.06</v>
      </c>
      <c r="BA38" s="16">
        <f t="shared" si="16"/>
        <v>80.06</v>
      </c>
      <c r="BB38" s="16">
        <f t="shared" si="17"/>
        <v>80.06</v>
      </c>
      <c r="BC38" s="16">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59" t="str">
        <f>面积表!B33</f>
        <v>京（2017）朝不动产权第0027500号</v>
      </c>
      <c r="C39" s="1259" t="str">
        <f>面积表!C33</f>
        <v>401-12</v>
      </c>
      <c r="D39" s="2096" t="s">
        <v>3434</v>
      </c>
      <c r="E39" s="16">
        <f t="shared" si="7"/>
        <v>10.050000000000001</v>
      </c>
      <c r="F39" s="32"/>
      <c r="G39" s="33">
        <f t="shared" si="8"/>
        <v>99.64</v>
      </c>
      <c r="H39" s="20">
        <f t="shared" si="9"/>
        <v>99.64</v>
      </c>
      <c r="I39" s="2097">
        <f>面积表!G33</f>
        <v>99.64</v>
      </c>
      <c r="J39" s="2097">
        <v>0</v>
      </c>
      <c r="K39" s="2097">
        <v>0</v>
      </c>
      <c r="L39" s="2097">
        <v>0</v>
      </c>
      <c r="M39" s="39"/>
      <c r="N39" s="39"/>
      <c r="O39" s="39"/>
      <c r="P39" s="39"/>
      <c r="Q39" s="39"/>
      <c r="R39" s="39"/>
      <c r="S39" s="39"/>
      <c r="T39" s="39"/>
      <c r="U39" s="39"/>
      <c r="V39" s="39"/>
      <c r="W39" s="39"/>
      <c r="X39" s="39"/>
      <c r="Y39" s="39"/>
      <c r="Z39" s="39"/>
      <c r="AA39" s="39"/>
      <c r="AB39" s="39"/>
      <c r="AC39" s="16">
        <f t="shared" si="10"/>
        <v>0</v>
      </c>
      <c r="AD39" s="2098"/>
      <c r="AE39" s="2098"/>
      <c r="AF39" s="2098"/>
      <c r="AG39" s="2098"/>
      <c r="AH39" s="2098"/>
      <c r="AI39" s="2098"/>
      <c r="AJ39" s="2098"/>
      <c r="AK39" s="2098"/>
      <c r="AL39" s="2098"/>
      <c r="AM39" s="2098"/>
      <c r="AN39" s="2098"/>
      <c r="AO39" s="2098"/>
      <c r="AP39" s="2098"/>
      <c r="AQ39" s="2098"/>
      <c r="AR39" s="2098"/>
      <c r="AS39" s="2098"/>
      <c r="AT39" s="2099"/>
      <c r="AU39" s="2100"/>
      <c r="AV39" s="24">
        <f t="shared" si="11"/>
        <v>0</v>
      </c>
      <c r="AW39" s="24" t="str">
        <f t="shared" si="12"/>
        <v>京（2017）朝不动产权第0027500号</v>
      </c>
      <c r="AX39" s="24" t="str">
        <f t="shared" si="13"/>
        <v>401-12</v>
      </c>
      <c r="AY39" s="42">
        <f t="shared" si="14"/>
        <v>10.050000000000001</v>
      </c>
      <c r="AZ39" s="16">
        <f t="shared" si="15"/>
        <v>99.64</v>
      </c>
      <c r="BA39" s="16">
        <f t="shared" si="16"/>
        <v>99.64</v>
      </c>
      <c r="BB39" s="16">
        <f t="shared" si="17"/>
        <v>99.64</v>
      </c>
      <c r="BC39" s="16">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59" t="str">
        <f>面积表!B34</f>
        <v>京（2017）朝不动产权第0027508号</v>
      </c>
      <c r="C40" s="1259" t="str">
        <f>面积表!C34</f>
        <v>401-13</v>
      </c>
      <c r="D40" s="2096" t="s">
        <v>3434</v>
      </c>
      <c r="E40" s="16">
        <f t="shared" si="7"/>
        <v>8.36</v>
      </c>
      <c r="F40" s="32"/>
      <c r="G40" s="33">
        <f t="shared" si="8"/>
        <v>82.89</v>
      </c>
      <c r="H40" s="20">
        <f t="shared" si="9"/>
        <v>82.89</v>
      </c>
      <c r="I40" s="2097">
        <f>面积表!G34</f>
        <v>82.89</v>
      </c>
      <c r="J40" s="2097">
        <v>0</v>
      </c>
      <c r="K40" s="2097">
        <v>0</v>
      </c>
      <c r="L40" s="2097">
        <v>0</v>
      </c>
      <c r="M40" s="39"/>
      <c r="N40" s="39"/>
      <c r="O40" s="39"/>
      <c r="P40" s="39"/>
      <c r="Q40" s="39"/>
      <c r="R40" s="39"/>
      <c r="S40" s="39"/>
      <c r="T40" s="39"/>
      <c r="U40" s="39"/>
      <c r="V40" s="39"/>
      <c r="W40" s="39"/>
      <c r="X40" s="39"/>
      <c r="Y40" s="39"/>
      <c r="Z40" s="39"/>
      <c r="AA40" s="39"/>
      <c r="AB40" s="39"/>
      <c r="AC40" s="16">
        <f t="shared" si="10"/>
        <v>0</v>
      </c>
      <c r="AD40" s="2098"/>
      <c r="AE40" s="2098"/>
      <c r="AF40" s="2098"/>
      <c r="AG40" s="2098"/>
      <c r="AH40" s="2098"/>
      <c r="AI40" s="2098"/>
      <c r="AJ40" s="2098"/>
      <c r="AK40" s="2098"/>
      <c r="AL40" s="2098"/>
      <c r="AM40" s="2098"/>
      <c r="AN40" s="2098"/>
      <c r="AO40" s="2098"/>
      <c r="AP40" s="2098"/>
      <c r="AQ40" s="2098"/>
      <c r="AR40" s="2098"/>
      <c r="AS40" s="2098"/>
      <c r="AT40" s="2099"/>
      <c r="AU40" s="2100"/>
      <c r="AV40" s="24">
        <f t="shared" si="11"/>
        <v>0</v>
      </c>
      <c r="AW40" s="24" t="str">
        <f t="shared" si="12"/>
        <v>京（2017）朝不动产权第0027508号</v>
      </c>
      <c r="AX40" s="24" t="str">
        <f t="shared" si="13"/>
        <v>401-13</v>
      </c>
      <c r="AY40" s="42">
        <f t="shared" si="14"/>
        <v>8.36</v>
      </c>
      <c r="AZ40" s="16">
        <f t="shared" si="15"/>
        <v>82.89</v>
      </c>
      <c r="BA40" s="16">
        <f t="shared" si="16"/>
        <v>82.89</v>
      </c>
      <c r="BB40" s="16">
        <f t="shared" si="17"/>
        <v>82.89</v>
      </c>
      <c r="BC40" s="16">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59" t="str">
        <f>面积表!B35</f>
        <v>京（2017）朝不动产权第0027512号</v>
      </c>
      <c r="C41" s="1259" t="str">
        <f>面积表!C35</f>
        <v>401-14</v>
      </c>
      <c r="D41" s="2096" t="s">
        <v>3434</v>
      </c>
      <c r="E41" s="16">
        <f t="shared" si="7"/>
        <v>7.65</v>
      </c>
      <c r="F41" s="32"/>
      <c r="G41" s="33">
        <f t="shared" si="8"/>
        <v>75.83</v>
      </c>
      <c r="H41" s="20">
        <f t="shared" si="9"/>
        <v>75.83</v>
      </c>
      <c r="I41" s="2097">
        <f>面积表!G35</f>
        <v>75.83</v>
      </c>
      <c r="J41" s="2097">
        <v>0</v>
      </c>
      <c r="K41" s="2097">
        <v>0</v>
      </c>
      <c r="L41" s="2097">
        <v>0</v>
      </c>
      <c r="M41" s="39"/>
      <c r="N41" s="39"/>
      <c r="O41" s="39"/>
      <c r="P41" s="39"/>
      <c r="Q41" s="39"/>
      <c r="R41" s="39"/>
      <c r="S41" s="39"/>
      <c r="T41" s="39"/>
      <c r="U41" s="39"/>
      <c r="V41" s="39"/>
      <c r="W41" s="39"/>
      <c r="X41" s="39"/>
      <c r="Y41" s="39"/>
      <c r="Z41" s="39"/>
      <c r="AA41" s="39"/>
      <c r="AB41" s="39"/>
      <c r="AC41" s="16">
        <f t="shared" si="10"/>
        <v>0</v>
      </c>
      <c r="AD41" s="2098"/>
      <c r="AE41" s="2098"/>
      <c r="AF41" s="2098"/>
      <c r="AG41" s="2098"/>
      <c r="AH41" s="2098"/>
      <c r="AI41" s="2098"/>
      <c r="AJ41" s="2098"/>
      <c r="AK41" s="2098"/>
      <c r="AL41" s="2098"/>
      <c r="AM41" s="2098"/>
      <c r="AN41" s="2098"/>
      <c r="AO41" s="2098"/>
      <c r="AP41" s="2098"/>
      <c r="AQ41" s="2098"/>
      <c r="AR41" s="2098"/>
      <c r="AS41" s="2098"/>
      <c r="AT41" s="2099"/>
      <c r="AU41" s="2100"/>
      <c r="AV41" s="24">
        <f t="shared" si="11"/>
        <v>0</v>
      </c>
      <c r="AW41" s="24" t="str">
        <f t="shared" si="12"/>
        <v>京（2017）朝不动产权第0027512号</v>
      </c>
      <c r="AX41" s="24" t="str">
        <f t="shared" si="13"/>
        <v>401-14</v>
      </c>
      <c r="AY41" s="42">
        <f t="shared" si="14"/>
        <v>7.65</v>
      </c>
      <c r="AZ41" s="16">
        <f t="shared" si="15"/>
        <v>75.83</v>
      </c>
      <c r="BA41" s="16">
        <f t="shared" si="16"/>
        <v>75.83</v>
      </c>
      <c r="BB41" s="16">
        <f t="shared" si="17"/>
        <v>75.83</v>
      </c>
      <c r="BC41" s="16">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59" t="str">
        <f>面积表!B36</f>
        <v>京（2017）朝不动产权第0019778号</v>
      </c>
      <c r="C42" s="1259" t="str">
        <f>面积表!C36</f>
        <v>501-1</v>
      </c>
      <c r="D42" s="2096" t="s">
        <v>3434</v>
      </c>
      <c r="E42" s="16">
        <f t="shared" si="7"/>
        <v>8.8800000000000008</v>
      </c>
      <c r="F42" s="32"/>
      <c r="G42" s="33">
        <f t="shared" si="8"/>
        <v>88.04</v>
      </c>
      <c r="H42" s="20">
        <f t="shared" si="9"/>
        <v>88.04</v>
      </c>
      <c r="I42" s="2097">
        <f>面积表!G36</f>
        <v>88.04</v>
      </c>
      <c r="J42" s="2097">
        <v>0</v>
      </c>
      <c r="K42" s="2097">
        <v>0</v>
      </c>
      <c r="L42" s="2097">
        <v>0</v>
      </c>
      <c r="M42" s="39"/>
      <c r="N42" s="39"/>
      <c r="O42" s="39"/>
      <c r="P42" s="39"/>
      <c r="Q42" s="39"/>
      <c r="R42" s="39"/>
      <c r="S42" s="39"/>
      <c r="T42" s="39"/>
      <c r="U42" s="39"/>
      <c r="V42" s="39"/>
      <c r="W42" s="39"/>
      <c r="X42" s="39"/>
      <c r="Y42" s="39"/>
      <c r="Z42" s="39"/>
      <c r="AA42" s="39"/>
      <c r="AB42" s="39"/>
      <c r="AC42" s="16">
        <f t="shared" si="10"/>
        <v>0</v>
      </c>
      <c r="AD42" s="2098"/>
      <c r="AE42" s="2098"/>
      <c r="AF42" s="2098"/>
      <c r="AG42" s="2098"/>
      <c r="AH42" s="2098"/>
      <c r="AI42" s="2098"/>
      <c r="AJ42" s="2098"/>
      <c r="AK42" s="2098"/>
      <c r="AL42" s="2098"/>
      <c r="AM42" s="2098"/>
      <c r="AN42" s="2098"/>
      <c r="AO42" s="2098"/>
      <c r="AP42" s="2098"/>
      <c r="AQ42" s="2098"/>
      <c r="AR42" s="2098"/>
      <c r="AS42" s="2098"/>
      <c r="AT42" s="2099"/>
      <c r="AU42" s="2100"/>
      <c r="AV42" s="24">
        <f t="shared" si="11"/>
        <v>0</v>
      </c>
      <c r="AW42" s="24" t="str">
        <f t="shared" si="12"/>
        <v>京（2017）朝不动产权第0019778号</v>
      </c>
      <c r="AX42" s="24" t="str">
        <f t="shared" si="13"/>
        <v>501-1</v>
      </c>
      <c r="AY42" s="42">
        <f t="shared" si="14"/>
        <v>8.8800000000000008</v>
      </c>
      <c r="AZ42" s="16">
        <f t="shared" si="15"/>
        <v>88.04</v>
      </c>
      <c r="BA42" s="16">
        <f t="shared" si="16"/>
        <v>88.04</v>
      </c>
      <c r="BB42" s="16">
        <f t="shared" si="17"/>
        <v>88.04</v>
      </c>
      <c r="BC42" s="16">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59" t="str">
        <f>面积表!B37</f>
        <v>京（2017）朝不动产权第0019780号</v>
      </c>
      <c r="C43" s="1259" t="str">
        <f>面积表!C37</f>
        <v>501-2</v>
      </c>
      <c r="D43" s="2096" t="s">
        <v>3434</v>
      </c>
      <c r="E43" s="16">
        <f t="shared" si="7"/>
        <v>8.07</v>
      </c>
      <c r="F43" s="32"/>
      <c r="G43" s="33">
        <f t="shared" si="8"/>
        <v>80.06</v>
      </c>
      <c r="H43" s="20">
        <f t="shared" si="9"/>
        <v>80.06</v>
      </c>
      <c r="I43" s="2097">
        <f>面积表!G37</f>
        <v>80.06</v>
      </c>
      <c r="J43" s="2097">
        <v>0</v>
      </c>
      <c r="K43" s="2097">
        <v>0</v>
      </c>
      <c r="L43" s="2097">
        <v>0</v>
      </c>
      <c r="M43" s="39"/>
      <c r="N43" s="39"/>
      <c r="O43" s="39"/>
      <c r="P43" s="39"/>
      <c r="Q43" s="39"/>
      <c r="R43" s="39"/>
      <c r="S43" s="39"/>
      <c r="T43" s="39"/>
      <c r="U43" s="39"/>
      <c r="V43" s="39"/>
      <c r="W43" s="39"/>
      <c r="X43" s="39"/>
      <c r="Y43" s="39"/>
      <c r="Z43" s="39"/>
      <c r="AA43" s="39"/>
      <c r="AB43" s="39"/>
      <c r="AC43" s="16">
        <f t="shared" si="10"/>
        <v>0</v>
      </c>
      <c r="AD43" s="2098"/>
      <c r="AE43" s="2098"/>
      <c r="AF43" s="2098"/>
      <c r="AG43" s="2098"/>
      <c r="AH43" s="2098"/>
      <c r="AI43" s="2098"/>
      <c r="AJ43" s="2098"/>
      <c r="AK43" s="2098"/>
      <c r="AL43" s="2098"/>
      <c r="AM43" s="2098"/>
      <c r="AN43" s="2098"/>
      <c r="AO43" s="2098"/>
      <c r="AP43" s="2098"/>
      <c r="AQ43" s="2098"/>
      <c r="AR43" s="2098"/>
      <c r="AS43" s="2098"/>
      <c r="AT43" s="2099"/>
      <c r="AU43" s="2100"/>
      <c r="AV43" s="24">
        <f t="shared" si="11"/>
        <v>0</v>
      </c>
      <c r="AW43" s="24" t="str">
        <f t="shared" si="12"/>
        <v>京（2017）朝不动产权第0019780号</v>
      </c>
      <c r="AX43" s="24" t="str">
        <f t="shared" si="13"/>
        <v>501-2</v>
      </c>
      <c r="AY43" s="42">
        <f t="shared" si="14"/>
        <v>8.07</v>
      </c>
      <c r="AZ43" s="16">
        <f t="shared" si="15"/>
        <v>80.06</v>
      </c>
      <c r="BA43" s="16">
        <f t="shared" si="16"/>
        <v>80.06</v>
      </c>
      <c r="BB43" s="16">
        <f t="shared" si="17"/>
        <v>80.06</v>
      </c>
      <c r="BC43" s="16">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59" t="str">
        <f>面积表!B38</f>
        <v>京（2017）朝不动产权第0019782号</v>
      </c>
      <c r="C44" s="1259" t="str">
        <f>面积表!C38</f>
        <v>501-3</v>
      </c>
      <c r="D44" s="2096" t="s">
        <v>3434</v>
      </c>
      <c r="E44" s="16">
        <f t="shared" si="7"/>
        <v>8.07</v>
      </c>
      <c r="F44" s="32"/>
      <c r="G44" s="33">
        <f t="shared" si="8"/>
        <v>80.06</v>
      </c>
      <c r="H44" s="20">
        <f t="shared" si="9"/>
        <v>80.06</v>
      </c>
      <c r="I44" s="2097">
        <f>面积表!G38</f>
        <v>80.06</v>
      </c>
      <c r="J44" s="2097">
        <v>0</v>
      </c>
      <c r="K44" s="2097">
        <v>0</v>
      </c>
      <c r="L44" s="2097">
        <v>0</v>
      </c>
      <c r="M44" s="39"/>
      <c r="N44" s="39"/>
      <c r="O44" s="39"/>
      <c r="P44" s="39"/>
      <c r="Q44" s="39"/>
      <c r="R44" s="39"/>
      <c r="S44" s="39"/>
      <c r="T44" s="39"/>
      <c r="U44" s="39"/>
      <c r="V44" s="39"/>
      <c r="W44" s="39"/>
      <c r="X44" s="39"/>
      <c r="Y44" s="39"/>
      <c r="Z44" s="39"/>
      <c r="AA44" s="39"/>
      <c r="AB44" s="39"/>
      <c r="AC44" s="16">
        <f t="shared" si="10"/>
        <v>0</v>
      </c>
      <c r="AD44" s="2098"/>
      <c r="AE44" s="2098"/>
      <c r="AF44" s="2098"/>
      <c r="AG44" s="2098"/>
      <c r="AH44" s="2098"/>
      <c r="AI44" s="2098"/>
      <c r="AJ44" s="2098"/>
      <c r="AK44" s="2098"/>
      <c r="AL44" s="2098"/>
      <c r="AM44" s="2098"/>
      <c r="AN44" s="2098"/>
      <c r="AO44" s="2098"/>
      <c r="AP44" s="2098"/>
      <c r="AQ44" s="2098"/>
      <c r="AR44" s="2098"/>
      <c r="AS44" s="2098"/>
      <c r="AT44" s="2099"/>
      <c r="AU44" s="2100"/>
      <c r="AV44" s="24">
        <f t="shared" si="11"/>
        <v>0</v>
      </c>
      <c r="AW44" s="24" t="str">
        <f t="shared" si="12"/>
        <v>京（2017）朝不动产权第0019782号</v>
      </c>
      <c r="AX44" s="24" t="str">
        <f t="shared" si="13"/>
        <v>501-3</v>
      </c>
      <c r="AY44" s="42">
        <f t="shared" si="14"/>
        <v>8.07</v>
      </c>
      <c r="AZ44" s="16">
        <f t="shared" si="15"/>
        <v>80.06</v>
      </c>
      <c r="BA44" s="16">
        <f t="shared" si="16"/>
        <v>80.06</v>
      </c>
      <c r="BB44" s="16">
        <f t="shared" si="17"/>
        <v>80.06</v>
      </c>
      <c r="BC44" s="16">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59" t="str">
        <f>面积表!B39</f>
        <v>京（2017）朝不动产权第0019976号</v>
      </c>
      <c r="C45" s="1259" t="str">
        <f>面积表!C39</f>
        <v>501-4</v>
      </c>
      <c r="D45" s="2096" t="s">
        <v>3434</v>
      </c>
      <c r="E45" s="16">
        <f t="shared" si="7"/>
        <v>8.07</v>
      </c>
      <c r="F45" s="32"/>
      <c r="G45" s="33">
        <f t="shared" si="8"/>
        <v>80.06</v>
      </c>
      <c r="H45" s="20">
        <f t="shared" si="9"/>
        <v>80.06</v>
      </c>
      <c r="I45" s="2097">
        <f>面积表!G39</f>
        <v>80.06</v>
      </c>
      <c r="J45" s="2097">
        <v>0</v>
      </c>
      <c r="K45" s="2097">
        <v>0</v>
      </c>
      <c r="L45" s="2097">
        <v>0</v>
      </c>
      <c r="M45" s="39"/>
      <c r="N45" s="39"/>
      <c r="O45" s="39"/>
      <c r="P45" s="39"/>
      <c r="Q45" s="39"/>
      <c r="R45" s="39"/>
      <c r="S45" s="39"/>
      <c r="T45" s="39"/>
      <c r="U45" s="39"/>
      <c r="V45" s="39"/>
      <c r="W45" s="39"/>
      <c r="X45" s="39"/>
      <c r="Y45" s="39"/>
      <c r="Z45" s="39"/>
      <c r="AA45" s="39"/>
      <c r="AB45" s="39"/>
      <c r="AC45" s="16">
        <f t="shared" si="10"/>
        <v>0</v>
      </c>
      <c r="AD45" s="2098"/>
      <c r="AE45" s="2098"/>
      <c r="AF45" s="2098"/>
      <c r="AG45" s="2098"/>
      <c r="AH45" s="2098"/>
      <c r="AI45" s="2098"/>
      <c r="AJ45" s="2098"/>
      <c r="AK45" s="2098"/>
      <c r="AL45" s="2098"/>
      <c r="AM45" s="2098"/>
      <c r="AN45" s="2098"/>
      <c r="AO45" s="2098"/>
      <c r="AP45" s="2098"/>
      <c r="AQ45" s="2098"/>
      <c r="AR45" s="2098"/>
      <c r="AS45" s="2098"/>
      <c r="AT45" s="2099"/>
      <c r="AU45" s="2100"/>
      <c r="AV45" s="24">
        <f t="shared" si="11"/>
        <v>0</v>
      </c>
      <c r="AW45" s="24" t="str">
        <f t="shared" si="12"/>
        <v>京（2017）朝不动产权第0019976号</v>
      </c>
      <c r="AX45" s="24" t="str">
        <f t="shared" si="13"/>
        <v>501-4</v>
      </c>
      <c r="AY45" s="42">
        <f t="shared" si="14"/>
        <v>8.07</v>
      </c>
      <c r="AZ45" s="16">
        <f t="shared" si="15"/>
        <v>80.06</v>
      </c>
      <c r="BA45" s="16">
        <f t="shared" si="16"/>
        <v>80.06</v>
      </c>
      <c r="BB45" s="16">
        <f t="shared" si="17"/>
        <v>80.06</v>
      </c>
      <c r="BC45" s="16">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59" t="str">
        <f>面积表!B40</f>
        <v>京（2017）朝不动产权第0019804号</v>
      </c>
      <c r="C46" s="1259" t="str">
        <f>面积表!C40</f>
        <v>501-5</v>
      </c>
      <c r="D46" s="2096" t="s">
        <v>3434</v>
      </c>
      <c r="E46" s="16">
        <f t="shared" si="7"/>
        <v>10.07</v>
      </c>
      <c r="F46" s="32"/>
      <c r="G46" s="33">
        <f t="shared" si="8"/>
        <v>99.81</v>
      </c>
      <c r="H46" s="20">
        <f t="shared" si="9"/>
        <v>99.81</v>
      </c>
      <c r="I46" s="2097">
        <f>面积表!G40</f>
        <v>99.81</v>
      </c>
      <c r="J46" s="2097">
        <v>0</v>
      </c>
      <c r="K46" s="2097">
        <v>0</v>
      </c>
      <c r="L46" s="2097">
        <v>0</v>
      </c>
      <c r="M46" s="39"/>
      <c r="N46" s="39"/>
      <c r="O46" s="39"/>
      <c r="P46" s="39"/>
      <c r="Q46" s="39"/>
      <c r="R46" s="39"/>
      <c r="S46" s="39"/>
      <c r="T46" s="39"/>
      <c r="U46" s="39"/>
      <c r="V46" s="39"/>
      <c r="W46" s="39"/>
      <c r="X46" s="39"/>
      <c r="Y46" s="39"/>
      <c r="Z46" s="39"/>
      <c r="AA46" s="39"/>
      <c r="AB46" s="39"/>
      <c r="AC46" s="16">
        <f t="shared" si="10"/>
        <v>0</v>
      </c>
      <c r="AD46" s="2098"/>
      <c r="AE46" s="2098"/>
      <c r="AF46" s="2098"/>
      <c r="AG46" s="2098"/>
      <c r="AH46" s="2098"/>
      <c r="AI46" s="2098"/>
      <c r="AJ46" s="2098"/>
      <c r="AK46" s="2098"/>
      <c r="AL46" s="2098"/>
      <c r="AM46" s="2098"/>
      <c r="AN46" s="2098"/>
      <c r="AO46" s="2098"/>
      <c r="AP46" s="2098"/>
      <c r="AQ46" s="2098"/>
      <c r="AR46" s="2098"/>
      <c r="AS46" s="2098"/>
      <c r="AT46" s="2099"/>
      <c r="AU46" s="2100"/>
      <c r="AV46" s="24">
        <f t="shared" si="11"/>
        <v>0</v>
      </c>
      <c r="AW46" s="24" t="str">
        <f t="shared" si="12"/>
        <v>京（2017）朝不动产权第0019804号</v>
      </c>
      <c r="AX46" s="24" t="str">
        <f t="shared" si="13"/>
        <v>501-5</v>
      </c>
      <c r="AY46" s="42">
        <f t="shared" si="14"/>
        <v>10.07</v>
      </c>
      <c r="AZ46" s="16">
        <f t="shared" si="15"/>
        <v>99.81</v>
      </c>
      <c r="BA46" s="16">
        <f t="shared" si="16"/>
        <v>99.81</v>
      </c>
      <c r="BB46" s="16">
        <f t="shared" si="17"/>
        <v>99.81</v>
      </c>
      <c r="BC46" s="16">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59" t="str">
        <f>面积表!B41</f>
        <v>京（2017）朝不动产权第0019785号</v>
      </c>
      <c r="C47" s="1259" t="str">
        <f>面积表!C41</f>
        <v>501-6</v>
      </c>
      <c r="D47" s="2096" t="s">
        <v>3434</v>
      </c>
      <c r="E47" s="16">
        <f t="shared" si="7"/>
        <v>8.4</v>
      </c>
      <c r="F47" s="32"/>
      <c r="G47" s="33">
        <f t="shared" si="8"/>
        <v>83.28</v>
      </c>
      <c r="H47" s="20">
        <f t="shared" si="9"/>
        <v>83.28</v>
      </c>
      <c r="I47" s="2097">
        <f>面积表!G41</f>
        <v>83.28</v>
      </c>
      <c r="J47" s="2097">
        <v>0</v>
      </c>
      <c r="K47" s="2097">
        <v>0</v>
      </c>
      <c r="L47" s="2097">
        <v>0</v>
      </c>
      <c r="M47" s="39"/>
      <c r="N47" s="39"/>
      <c r="O47" s="39"/>
      <c r="P47" s="39"/>
      <c r="Q47" s="39"/>
      <c r="R47" s="39"/>
      <c r="S47" s="39"/>
      <c r="T47" s="39"/>
      <c r="U47" s="39"/>
      <c r="V47" s="39"/>
      <c r="W47" s="39"/>
      <c r="X47" s="39"/>
      <c r="Y47" s="39"/>
      <c r="Z47" s="39"/>
      <c r="AA47" s="39"/>
      <c r="AB47" s="39"/>
      <c r="AC47" s="16">
        <f t="shared" si="10"/>
        <v>0</v>
      </c>
      <c r="AD47" s="2098"/>
      <c r="AE47" s="2098"/>
      <c r="AF47" s="2098"/>
      <c r="AG47" s="2098"/>
      <c r="AH47" s="2098"/>
      <c r="AI47" s="2098"/>
      <c r="AJ47" s="2098"/>
      <c r="AK47" s="2098"/>
      <c r="AL47" s="2098"/>
      <c r="AM47" s="2098"/>
      <c r="AN47" s="2098"/>
      <c r="AO47" s="2098"/>
      <c r="AP47" s="2098"/>
      <c r="AQ47" s="2098"/>
      <c r="AR47" s="2098"/>
      <c r="AS47" s="2098"/>
      <c r="AT47" s="2099"/>
      <c r="AU47" s="2100"/>
      <c r="AV47" s="24">
        <f t="shared" si="11"/>
        <v>0</v>
      </c>
      <c r="AW47" s="24" t="str">
        <f t="shared" si="12"/>
        <v>京（2017）朝不动产权第0019785号</v>
      </c>
      <c r="AX47" s="24" t="str">
        <f t="shared" si="13"/>
        <v>501-6</v>
      </c>
      <c r="AY47" s="42">
        <f t="shared" si="14"/>
        <v>8.4</v>
      </c>
      <c r="AZ47" s="16">
        <f t="shared" si="15"/>
        <v>83.28</v>
      </c>
      <c r="BA47" s="16">
        <f t="shared" si="16"/>
        <v>83.28</v>
      </c>
      <c r="BB47" s="16">
        <f t="shared" si="17"/>
        <v>83.28</v>
      </c>
      <c r="BC47" s="16">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59" t="str">
        <f>面积表!B42</f>
        <v>京（2017）朝不动产权第0019836号</v>
      </c>
      <c r="C48" s="1259" t="str">
        <f>面积表!C42</f>
        <v>501-7</v>
      </c>
      <c r="D48" s="2096" t="s">
        <v>3434</v>
      </c>
      <c r="E48" s="16">
        <f t="shared" si="7"/>
        <v>10.87</v>
      </c>
      <c r="F48" s="32"/>
      <c r="G48" s="33">
        <f t="shared" si="8"/>
        <v>107.74</v>
      </c>
      <c r="H48" s="20">
        <f t="shared" si="9"/>
        <v>107.74</v>
      </c>
      <c r="I48" s="2097">
        <f>面积表!G42</f>
        <v>107.74</v>
      </c>
      <c r="J48" s="2097">
        <v>0</v>
      </c>
      <c r="K48" s="2097">
        <v>0</v>
      </c>
      <c r="L48" s="2097">
        <v>0</v>
      </c>
      <c r="M48" s="39"/>
      <c r="N48" s="39"/>
      <c r="O48" s="39"/>
      <c r="P48" s="39"/>
      <c r="Q48" s="39"/>
      <c r="R48" s="39"/>
      <c r="S48" s="39"/>
      <c r="T48" s="39"/>
      <c r="U48" s="39"/>
      <c r="V48" s="39"/>
      <c r="W48" s="39"/>
      <c r="X48" s="39"/>
      <c r="Y48" s="39"/>
      <c r="Z48" s="39"/>
      <c r="AA48" s="39"/>
      <c r="AB48" s="39"/>
      <c r="AC48" s="16">
        <f t="shared" si="10"/>
        <v>0</v>
      </c>
      <c r="AD48" s="2098"/>
      <c r="AE48" s="2098"/>
      <c r="AF48" s="2098"/>
      <c r="AG48" s="2098"/>
      <c r="AH48" s="2098"/>
      <c r="AI48" s="2098"/>
      <c r="AJ48" s="2098"/>
      <c r="AK48" s="2098"/>
      <c r="AL48" s="2098"/>
      <c r="AM48" s="2098"/>
      <c r="AN48" s="2098"/>
      <c r="AO48" s="2098"/>
      <c r="AP48" s="2098"/>
      <c r="AQ48" s="2098"/>
      <c r="AR48" s="2098"/>
      <c r="AS48" s="2098"/>
      <c r="AT48" s="2099"/>
      <c r="AU48" s="2100"/>
      <c r="AV48" s="24">
        <f t="shared" si="11"/>
        <v>0</v>
      </c>
      <c r="AW48" s="24" t="str">
        <f t="shared" si="12"/>
        <v>京（2017）朝不动产权第0019836号</v>
      </c>
      <c r="AX48" s="24" t="str">
        <f t="shared" si="13"/>
        <v>501-7</v>
      </c>
      <c r="AY48" s="42">
        <f t="shared" si="14"/>
        <v>10.87</v>
      </c>
      <c r="AZ48" s="16">
        <f t="shared" si="15"/>
        <v>107.74</v>
      </c>
      <c r="BA48" s="16">
        <f t="shared" si="16"/>
        <v>107.74</v>
      </c>
      <c r="BB48" s="16">
        <f t="shared" si="17"/>
        <v>107.74</v>
      </c>
      <c r="BC48" s="16">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59" t="str">
        <f>面积表!B43</f>
        <v>京（2017）朝不动产权第0027518号</v>
      </c>
      <c r="C49" s="1259" t="str">
        <f>面积表!C43</f>
        <v>501-8</v>
      </c>
      <c r="D49" s="2096" t="s">
        <v>3434</v>
      </c>
      <c r="E49" s="16">
        <f t="shared" si="7"/>
        <v>8.84</v>
      </c>
      <c r="F49" s="32"/>
      <c r="G49" s="33">
        <f t="shared" si="8"/>
        <v>87.64</v>
      </c>
      <c r="H49" s="20">
        <f t="shared" si="9"/>
        <v>87.64</v>
      </c>
      <c r="I49" s="2097">
        <f>面积表!G43</f>
        <v>87.64</v>
      </c>
      <c r="J49" s="2097">
        <v>0</v>
      </c>
      <c r="K49" s="2097">
        <v>0</v>
      </c>
      <c r="L49" s="2097">
        <v>0</v>
      </c>
      <c r="M49" s="39"/>
      <c r="N49" s="39"/>
      <c r="O49" s="39"/>
      <c r="P49" s="39"/>
      <c r="Q49" s="39"/>
      <c r="R49" s="39"/>
      <c r="S49" s="39"/>
      <c r="T49" s="39"/>
      <c r="U49" s="39"/>
      <c r="V49" s="39"/>
      <c r="W49" s="39"/>
      <c r="X49" s="39"/>
      <c r="Y49" s="39"/>
      <c r="Z49" s="39"/>
      <c r="AA49" s="39"/>
      <c r="AB49" s="39"/>
      <c r="AC49" s="16">
        <f t="shared" si="10"/>
        <v>0</v>
      </c>
      <c r="AD49" s="2098"/>
      <c r="AE49" s="2098"/>
      <c r="AF49" s="2098"/>
      <c r="AG49" s="2098"/>
      <c r="AH49" s="2098"/>
      <c r="AI49" s="2098"/>
      <c r="AJ49" s="2098"/>
      <c r="AK49" s="2098"/>
      <c r="AL49" s="2098"/>
      <c r="AM49" s="2098"/>
      <c r="AN49" s="2098"/>
      <c r="AO49" s="2098"/>
      <c r="AP49" s="2098"/>
      <c r="AQ49" s="2098"/>
      <c r="AR49" s="2098"/>
      <c r="AS49" s="2098"/>
      <c r="AT49" s="2099"/>
      <c r="AU49" s="2100"/>
      <c r="AV49" s="24">
        <f t="shared" si="11"/>
        <v>0</v>
      </c>
      <c r="AW49" s="24" t="str">
        <f t="shared" si="12"/>
        <v>京（2017）朝不动产权第0027518号</v>
      </c>
      <c r="AX49" s="24" t="str">
        <f t="shared" si="13"/>
        <v>501-8</v>
      </c>
      <c r="AY49" s="42">
        <f t="shared" si="14"/>
        <v>8.84</v>
      </c>
      <c r="AZ49" s="16">
        <f t="shared" si="15"/>
        <v>87.64</v>
      </c>
      <c r="BA49" s="16">
        <f t="shared" si="16"/>
        <v>87.64</v>
      </c>
      <c r="BB49" s="16">
        <f t="shared" si="17"/>
        <v>87.64</v>
      </c>
      <c r="BC49" s="16">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59" t="str">
        <f>面积表!B44</f>
        <v>京（2017）朝不动产权第0025313号</v>
      </c>
      <c r="C50" s="1259" t="str">
        <f>面积表!C44</f>
        <v>501-9</v>
      </c>
      <c r="D50" s="2096" t="s">
        <v>3434</v>
      </c>
      <c r="E50" s="16">
        <f t="shared" si="7"/>
        <v>8.07</v>
      </c>
      <c r="F50" s="32"/>
      <c r="G50" s="33">
        <f t="shared" si="8"/>
        <v>80.06</v>
      </c>
      <c r="H50" s="20">
        <f t="shared" si="9"/>
        <v>80.06</v>
      </c>
      <c r="I50" s="2097">
        <f>面积表!G44</f>
        <v>80.06</v>
      </c>
      <c r="J50" s="2097">
        <v>0</v>
      </c>
      <c r="K50" s="2097">
        <v>0</v>
      </c>
      <c r="L50" s="2097">
        <v>0</v>
      </c>
      <c r="M50" s="39"/>
      <c r="N50" s="39"/>
      <c r="O50" s="39"/>
      <c r="P50" s="39"/>
      <c r="Q50" s="39"/>
      <c r="R50" s="39"/>
      <c r="S50" s="39"/>
      <c r="T50" s="39"/>
      <c r="U50" s="39"/>
      <c r="V50" s="39"/>
      <c r="W50" s="39"/>
      <c r="X50" s="39"/>
      <c r="Y50" s="39"/>
      <c r="Z50" s="39"/>
      <c r="AA50" s="39"/>
      <c r="AB50" s="39"/>
      <c r="AC50" s="16">
        <f t="shared" si="10"/>
        <v>0</v>
      </c>
      <c r="AD50" s="2098"/>
      <c r="AE50" s="2098"/>
      <c r="AF50" s="2098"/>
      <c r="AG50" s="2098"/>
      <c r="AH50" s="2098"/>
      <c r="AI50" s="2098"/>
      <c r="AJ50" s="2098"/>
      <c r="AK50" s="2098"/>
      <c r="AL50" s="2098"/>
      <c r="AM50" s="2098"/>
      <c r="AN50" s="2098"/>
      <c r="AO50" s="2098"/>
      <c r="AP50" s="2098"/>
      <c r="AQ50" s="2098"/>
      <c r="AR50" s="2098"/>
      <c r="AS50" s="2098"/>
      <c r="AT50" s="2099"/>
      <c r="AU50" s="2100"/>
      <c r="AV50" s="24">
        <f t="shared" si="11"/>
        <v>0</v>
      </c>
      <c r="AW50" s="24" t="str">
        <f t="shared" si="12"/>
        <v>京（2017）朝不动产权第0025313号</v>
      </c>
      <c r="AX50" s="24" t="str">
        <f t="shared" si="13"/>
        <v>501-9</v>
      </c>
      <c r="AY50" s="42">
        <f t="shared" si="14"/>
        <v>8.07</v>
      </c>
      <c r="AZ50" s="16">
        <f t="shared" si="15"/>
        <v>80.06</v>
      </c>
      <c r="BA50" s="16">
        <f t="shared" si="16"/>
        <v>80.06</v>
      </c>
      <c r="BB50" s="16">
        <f t="shared" si="17"/>
        <v>80.06</v>
      </c>
      <c r="BC50" s="16">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59" t="str">
        <f>面积表!B45</f>
        <v>京（2017）朝不动产权第0025327号</v>
      </c>
      <c r="C51" s="1259" t="str">
        <f>面积表!C45</f>
        <v>501-10</v>
      </c>
      <c r="D51" s="2096" t="s">
        <v>3434</v>
      </c>
      <c r="E51" s="16">
        <f t="shared" si="7"/>
        <v>8.07</v>
      </c>
      <c r="F51" s="32"/>
      <c r="G51" s="33">
        <f t="shared" si="8"/>
        <v>80.06</v>
      </c>
      <c r="H51" s="20">
        <f t="shared" si="9"/>
        <v>80.06</v>
      </c>
      <c r="I51" s="2097">
        <f>面积表!G45</f>
        <v>80.06</v>
      </c>
      <c r="J51" s="2097">
        <v>0</v>
      </c>
      <c r="K51" s="2097">
        <v>0</v>
      </c>
      <c r="L51" s="2097">
        <v>0</v>
      </c>
      <c r="M51" s="39"/>
      <c r="N51" s="39"/>
      <c r="O51" s="39"/>
      <c r="P51" s="39"/>
      <c r="Q51" s="39"/>
      <c r="R51" s="39"/>
      <c r="S51" s="39"/>
      <c r="T51" s="39"/>
      <c r="U51" s="39"/>
      <c r="V51" s="39"/>
      <c r="W51" s="39"/>
      <c r="X51" s="39"/>
      <c r="Y51" s="39"/>
      <c r="Z51" s="39"/>
      <c r="AA51" s="39"/>
      <c r="AB51" s="39"/>
      <c r="AC51" s="16">
        <f t="shared" si="10"/>
        <v>0</v>
      </c>
      <c r="AD51" s="2098"/>
      <c r="AE51" s="2098"/>
      <c r="AF51" s="2098"/>
      <c r="AG51" s="2098"/>
      <c r="AH51" s="2098"/>
      <c r="AI51" s="2098"/>
      <c r="AJ51" s="2098"/>
      <c r="AK51" s="2098"/>
      <c r="AL51" s="2098"/>
      <c r="AM51" s="2098"/>
      <c r="AN51" s="2098"/>
      <c r="AO51" s="2098"/>
      <c r="AP51" s="2098"/>
      <c r="AQ51" s="2098"/>
      <c r="AR51" s="2098"/>
      <c r="AS51" s="2098"/>
      <c r="AT51" s="2099"/>
      <c r="AU51" s="2100"/>
      <c r="AV51" s="24">
        <f t="shared" si="11"/>
        <v>0</v>
      </c>
      <c r="AW51" s="24" t="str">
        <f t="shared" si="12"/>
        <v>京（2017）朝不动产权第0025327号</v>
      </c>
      <c r="AX51" s="24" t="str">
        <f t="shared" si="13"/>
        <v>501-10</v>
      </c>
      <c r="AY51" s="42">
        <f t="shared" si="14"/>
        <v>8.07</v>
      </c>
      <c r="AZ51" s="16">
        <f t="shared" si="15"/>
        <v>80.06</v>
      </c>
      <c r="BA51" s="16">
        <f t="shared" si="16"/>
        <v>80.06</v>
      </c>
      <c r="BB51" s="16">
        <f t="shared" si="17"/>
        <v>80.06</v>
      </c>
      <c r="BC51" s="16">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59" t="str">
        <f>面积表!B46</f>
        <v>京（2017）朝不动产权第0025317号</v>
      </c>
      <c r="C52" s="1259" t="str">
        <f>面积表!C46</f>
        <v>501-11</v>
      </c>
      <c r="D52" s="2096" t="s">
        <v>3434</v>
      </c>
      <c r="E52" s="16">
        <f t="shared" si="7"/>
        <v>8.07</v>
      </c>
      <c r="F52" s="32"/>
      <c r="G52" s="33">
        <f t="shared" si="8"/>
        <v>80.06</v>
      </c>
      <c r="H52" s="20">
        <f t="shared" si="9"/>
        <v>80.06</v>
      </c>
      <c r="I52" s="2097">
        <f>面积表!G46</f>
        <v>80.06</v>
      </c>
      <c r="J52" s="2097">
        <v>0</v>
      </c>
      <c r="K52" s="2097">
        <v>0</v>
      </c>
      <c r="L52" s="2097">
        <v>0</v>
      </c>
      <c r="M52" s="39"/>
      <c r="N52" s="39"/>
      <c r="O52" s="39"/>
      <c r="P52" s="39"/>
      <c r="Q52" s="39"/>
      <c r="R52" s="39"/>
      <c r="S52" s="39"/>
      <c r="T52" s="39"/>
      <c r="U52" s="39"/>
      <c r="V52" s="39"/>
      <c r="W52" s="39"/>
      <c r="X52" s="39"/>
      <c r="Y52" s="39"/>
      <c r="Z52" s="39"/>
      <c r="AA52" s="39"/>
      <c r="AB52" s="39"/>
      <c r="AC52" s="16">
        <f t="shared" si="10"/>
        <v>0</v>
      </c>
      <c r="AD52" s="2098"/>
      <c r="AE52" s="2098"/>
      <c r="AF52" s="2098"/>
      <c r="AG52" s="2098"/>
      <c r="AH52" s="2098"/>
      <c r="AI52" s="2098"/>
      <c r="AJ52" s="2098"/>
      <c r="AK52" s="2098"/>
      <c r="AL52" s="2098"/>
      <c r="AM52" s="2098"/>
      <c r="AN52" s="2098"/>
      <c r="AO52" s="2098"/>
      <c r="AP52" s="2098"/>
      <c r="AQ52" s="2098"/>
      <c r="AR52" s="2098"/>
      <c r="AS52" s="2098"/>
      <c r="AT52" s="2099"/>
      <c r="AU52" s="2100"/>
      <c r="AV52" s="24">
        <f t="shared" si="11"/>
        <v>0</v>
      </c>
      <c r="AW52" s="24" t="str">
        <f t="shared" si="12"/>
        <v>京（2017）朝不动产权第0025317号</v>
      </c>
      <c r="AX52" s="24" t="str">
        <f t="shared" si="13"/>
        <v>501-11</v>
      </c>
      <c r="AY52" s="42">
        <f t="shared" si="14"/>
        <v>8.07</v>
      </c>
      <c r="AZ52" s="16">
        <f t="shared" si="15"/>
        <v>80.06</v>
      </c>
      <c r="BA52" s="16">
        <f t="shared" si="16"/>
        <v>80.06</v>
      </c>
      <c r="BB52" s="16">
        <f t="shared" si="17"/>
        <v>80.06</v>
      </c>
      <c r="BC52" s="16">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59" t="str">
        <f>面积表!B47</f>
        <v>京（2017）朝不动产权第0025319号</v>
      </c>
      <c r="C53" s="1259" t="str">
        <f>面积表!C47</f>
        <v>501-12</v>
      </c>
      <c r="D53" s="2096" t="s">
        <v>3434</v>
      </c>
      <c r="E53" s="16">
        <f t="shared" si="7"/>
        <v>10.050000000000001</v>
      </c>
      <c r="F53" s="32"/>
      <c r="G53" s="33">
        <f t="shared" si="8"/>
        <v>99.64</v>
      </c>
      <c r="H53" s="20">
        <f t="shared" si="9"/>
        <v>99.64</v>
      </c>
      <c r="I53" s="2097">
        <f>面积表!G47</f>
        <v>99.64</v>
      </c>
      <c r="J53" s="2097">
        <v>0</v>
      </c>
      <c r="K53" s="2097">
        <v>0</v>
      </c>
      <c r="L53" s="2097">
        <v>0</v>
      </c>
      <c r="M53" s="39"/>
      <c r="N53" s="39"/>
      <c r="O53" s="39"/>
      <c r="P53" s="39"/>
      <c r="Q53" s="39"/>
      <c r="R53" s="39"/>
      <c r="S53" s="39"/>
      <c r="T53" s="39"/>
      <c r="U53" s="39"/>
      <c r="V53" s="39"/>
      <c r="W53" s="39"/>
      <c r="X53" s="39"/>
      <c r="Y53" s="39"/>
      <c r="Z53" s="39"/>
      <c r="AA53" s="39"/>
      <c r="AB53" s="39"/>
      <c r="AC53" s="16">
        <f t="shared" si="10"/>
        <v>0</v>
      </c>
      <c r="AD53" s="2098"/>
      <c r="AE53" s="2098"/>
      <c r="AF53" s="2098"/>
      <c r="AG53" s="2098"/>
      <c r="AH53" s="2098"/>
      <c r="AI53" s="2098"/>
      <c r="AJ53" s="2098"/>
      <c r="AK53" s="2098"/>
      <c r="AL53" s="2098"/>
      <c r="AM53" s="2098"/>
      <c r="AN53" s="2098"/>
      <c r="AO53" s="2098"/>
      <c r="AP53" s="2098"/>
      <c r="AQ53" s="2098"/>
      <c r="AR53" s="2098"/>
      <c r="AS53" s="2098"/>
      <c r="AT53" s="2099"/>
      <c r="AU53" s="2100"/>
      <c r="AV53" s="24">
        <f t="shared" si="11"/>
        <v>0</v>
      </c>
      <c r="AW53" s="24" t="str">
        <f t="shared" si="12"/>
        <v>京（2017）朝不动产权第0025319号</v>
      </c>
      <c r="AX53" s="24" t="str">
        <f t="shared" si="13"/>
        <v>501-12</v>
      </c>
      <c r="AY53" s="42">
        <f t="shared" si="14"/>
        <v>10.050000000000001</v>
      </c>
      <c r="AZ53" s="16">
        <f t="shared" si="15"/>
        <v>99.64</v>
      </c>
      <c r="BA53" s="16">
        <f t="shared" si="16"/>
        <v>99.64</v>
      </c>
      <c r="BB53" s="16">
        <f t="shared" si="17"/>
        <v>99.64</v>
      </c>
      <c r="BC53" s="16">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59" t="str">
        <f>面积表!B48</f>
        <v>京（2017）朝不动产权第0025326号</v>
      </c>
      <c r="C54" s="1259" t="str">
        <f>面积表!C48</f>
        <v>501-13</v>
      </c>
      <c r="D54" s="2096" t="s">
        <v>3434</v>
      </c>
      <c r="E54" s="16">
        <f t="shared" si="7"/>
        <v>8.36</v>
      </c>
      <c r="F54" s="32"/>
      <c r="G54" s="33">
        <f t="shared" si="8"/>
        <v>82.89</v>
      </c>
      <c r="H54" s="20">
        <f t="shared" si="9"/>
        <v>82.89</v>
      </c>
      <c r="I54" s="2097">
        <f>面积表!G48</f>
        <v>82.89</v>
      </c>
      <c r="J54" s="2097">
        <v>0</v>
      </c>
      <c r="K54" s="2097">
        <v>0</v>
      </c>
      <c r="L54" s="2097">
        <v>0</v>
      </c>
      <c r="M54" s="39"/>
      <c r="N54" s="39"/>
      <c r="O54" s="39"/>
      <c r="P54" s="39"/>
      <c r="Q54" s="39"/>
      <c r="R54" s="39"/>
      <c r="S54" s="39"/>
      <c r="T54" s="39"/>
      <c r="U54" s="39"/>
      <c r="V54" s="39"/>
      <c r="W54" s="39"/>
      <c r="X54" s="39"/>
      <c r="Y54" s="39"/>
      <c r="Z54" s="39"/>
      <c r="AA54" s="39"/>
      <c r="AB54" s="39"/>
      <c r="AC54" s="16">
        <f t="shared" si="10"/>
        <v>0</v>
      </c>
      <c r="AD54" s="2098"/>
      <c r="AE54" s="2098"/>
      <c r="AF54" s="2098"/>
      <c r="AG54" s="2098"/>
      <c r="AH54" s="2098"/>
      <c r="AI54" s="2098"/>
      <c r="AJ54" s="2098"/>
      <c r="AK54" s="2098"/>
      <c r="AL54" s="2098"/>
      <c r="AM54" s="2098"/>
      <c r="AN54" s="2098"/>
      <c r="AO54" s="2098"/>
      <c r="AP54" s="2098"/>
      <c r="AQ54" s="2098"/>
      <c r="AR54" s="2098"/>
      <c r="AS54" s="2098"/>
      <c r="AT54" s="2099"/>
      <c r="AU54" s="2100"/>
      <c r="AV54" s="24">
        <f t="shared" si="11"/>
        <v>0</v>
      </c>
      <c r="AW54" s="24" t="str">
        <f t="shared" si="12"/>
        <v>京（2017）朝不动产权第0025326号</v>
      </c>
      <c r="AX54" s="24" t="str">
        <f t="shared" si="13"/>
        <v>501-13</v>
      </c>
      <c r="AY54" s="42">
        <f t="shared" si="14"/>
        <v>8.36</v>
      </c>
      <c r="AZ54" s="16">
        <f t="shared" si="15"/>
        <v>82.89</v>
      </c>
      <c r="BA54" s="16">
        <f t="shared" si="16"/>
        <v>82.89</v>
      </c>
      <c r="BB54" s="16">
        <f t="shared" si="17"/>
        <v>82.89</v>
      </c>
      <c r="BC54" s="16">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59" t="str">
        <f>面积表!B49</f>
        <v>京（2017）朝不动产权第0025252号</v>
      </c>
      <c r="C55" s="1259" t="str">
        <f>面积表!C49</f>
        <v>501-14</v>
      </c>
      <c r="D55" s="2096" t="s">
        <v>3434</v>
      </c>
      <c r="E55" s="16">
        <f t="shared" si="7"/>
        <v>7.65</v>
      </c>
      <c r="F55" s="32"/>
      <c r="G55" s="33">
        <f t="shared" si="8"/>
        <v>75.83</v>
      </c>
      <c r="H55" s="20">
        <f t="shared" si="9"/>
        <v>75.83</v>
      </c>
      <c r="I55" s="2097">
        <f>面积表!G49</f>
        <v>75.83</v>
      </c>
      <c r="J55" s="2097">
        <v>0</v>
      </c>
      <c r="K55" s="2097">
        <v>0</v>
      </c>
      <c r="L55" s="2097">
        <v>0</v>
      </c>
      <c r="M55" s="39"/>
      <c r="N55" s="39"/>
      <c r="O55" s="39"/>
      <c r="P55" s="39"/>
      <c r="Q55" s="39"/>
      <c r="R55" s="39"/>
      <c r="S55" s="39"/>
      <c r="T55" s="39"/>
      <c r="U55" s="39"/>
      <c r="V55" s="39"/>
      <c r="W55" s="39"/>
      <c r="X55" s="39"/>
      <c r="Y55" s="39"/>
      <c r="Z55" s="39"/>
      <c r="AA55" s="39"/>
      <c r="AB55" s="39"/>
      <c r="AC55" s="16">
        <f t="shared" si="10"/>
        <v>0</v>
      </c>
      <c r="AD55" s="2098"/>
      <c r="AE55" s="2098"/>
      <c r="AF55" s="2098"/>
      <c r="AG55" s="2098"/>
      <c r="AH55" s="2098"/>
      <c r="AI55" s="2098"/>
      <c r="AJ55" s="2098"/>
      <c r="AK55" s="2098"/>
      <c r="AL55" s="2098"/>
      <c r="AM55" s="2098"/>
      <c r="AN55" s="2098"/>
      <c r="AO55" s="2098"/>
      <c r="AP55" s="2098"/>
      <c r="AQ55" s="2098"/>
      <c r="AR55" s="2098"/>
      <c r="AS55" s="2098"/>
      <c r="AT55" s="2099"/>
      <c r="AU55" s="2100"/>
      <c r="AV55" s="24">
        <f t="shared" si="11"/>
        <v>0</v>
      </c>
      <c r="AW55" s="24" t="str">
        <f t="shared" si="12"/>
        <v>京（2017）朝不动产权第0025252号</v>
      </c>
      <c r="AX55" s="24" t="str">
        <f t="shared" si="13"/>
        <v>501-14</v>
      </c>
      <c r="AY55" s="42">
        <f t="shared" si="14"/>
        <v>7.65</v>
      </c>
      <c r="AZ55" s="16">
        <f t="shared" si="15"/>
        <v>75.83</v>
      </c>
      <c r="BA55" s="16">
        <f t="shared" si="16"/>
        <v>75.83</v>
      </c>
      <c r="BB55" s="16">
        <f t="shared" si="17"/>
        <v>75.83</v>
      </c>
      <c r="BC55" s="16">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59" t="str">
        <f>面积表!B50</f>
        <v>京（2017）朝不动产权第0025246号</v>
      </c>
      <c r="C56" s="1259" t="str">
        <f>面积表!C50</f>
        <v>601-1</v>
      </c>
      <c r="D56" s="2096" t="s">
        <v>3434</v>
      </c>
      <c r="E56" s="16">
        <f t="shared" si="7"/>
        <v>8.8800000000000008</v>
      </c>
      <c r="F56" s="32"/>
      <c r="G56" s="33">
        <f t="shared" si="8"/>
        <v>88.04</v>
      </c>
      <c r="H56" s="20">
        <f t="shared" si="9"/>
        <v>88.04</v>
      </c>
      <c r="I56" s="2097">
        <f>面积表!G50</f>
        <v>88.04</v>
      </c>
      <c r="J56" s="2097">
        <v>0</v>
      </c>
      <c r="K56" s="2097">
        <v>0</v>
      </c>
      <c r="L56" s="2097">
        <v>0</v>
      </c>
      <c r="M56" s="39"/>
      <c r="N56" s="39"/>
      <c r="O56" s="39"/>
      <c r="P56" s="39"/>
      <c r="Q56" s="39"/>
      <c r="R56" s="39"/>
      <c r="S56" s="39"/>
      <c r="T56" s="39"/>
      <c r="U56" s="39"/>
      <c r="V56" s="39"/>
      <c r="W56" s="39"/>
      <c r="X56" s="39"/>
      <c r="Y56" s="39"/>
      <c r="Z56" s="39"/>
      <c r="AA56" s="39"/>
      <c r="AB56" s="39"/>
      <c r="AC56" s="16">
        <f t="shared" si="10"/>
        <v>0</v>
      </c>
      <c r="AD56" s="2098"/>
      <c r="AE56" s="2098"/>
      <c r="AF56" s="2098"/>
      <c r="AG56" s="2098"/>
      <c r="AH56" s="2098"/>
      <c r="AI56" s="2098"/>
      <c r="AJ56" s="2098"/>
      <c r="AK56" s="2098"/>
      <c r="AL56" s="2098"/>
      <c r="AM56" s="2098"/>
      <c r="AN56" s="2098"/>
      <c r="AO56" s="2098"/>
      <c r="AP56" s="2098"/>
      <c r="AQ56" s="2098"/>
      <c r="AR56" s="2098"/>
      <c r="AS56" s="2098"/>
      <c r="AT56" s="2099"/>
      <c r="AU56" s="2100"/>
      <c r="AV56" s="24">
        <f t="shared" si="11"/>
        <v>0</v>
      </c>
      <c r="AW56" s="24" t="str">
        <f t="shared" si="12"/>
        <v>京（2017）朝不动产权第0025246号</v>
      </c>
      <c r="AX56" s="24" t="str">
        <f t="shared" si="13"/>
        <v>601-1</v>
      </c>
      <c r="AY56" s="42">
        <f t="shared" si="14"/>
        <v>8.8800000000000008</v>
      </c>
      <c r="AZ56" s="16">
        <f t="shared" si="15"/>
        <v>88.04</v>
      </c>
      <c r="BA56" s="16">
        <f t="shared" si="16"/>
        <v>88.04</v>
      </c>
      <c r="BB56" s="16">
        <f t="shared" si="17"/>
        <v>88.04</v>
      </c>
      <c r="BC56" s="16">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59" t="str">
        <f>面积表!B51</f>
        <v>京（2017）朝不动产权第0019837号</v>
      </c>
      <c r="C57" s="1259" t="str">
        <f>面积表!C51</f>
        <v>601-2</v>
      </c>
      <c r="D57" s="2096" t="s">
        <v>3434</v>
      </c>
      <c r="E57" s="16">
        <f t="shared" si="7"/>
        <v>8.07</v>
      </c>
      <c r="F57" s="32"/>
      <c r="G57" s="33">
        <f t="shared" si="8"/>
        <v>80.06</v>
      </c>
      <c r="H57" s="20">
        <f t="shared" si="9"/>
        <v>80.06</v>
      </c>
      <c r="I57" s="2097">
        <f>面积表!G51</f>
        <v>80.06</v>
      </c>
      <c r="J57" s="2097">
        <v>0</v>
      </c>
      <c r="K57" s="2097">
        <v>0</v>
      </c>
      <c r="L57" s="2097">
        <v>0</v>
      </c>
      <c r="M57" s="39"/>
      <c r="N57" s="39"/>
      <c r="O57" s="39"/>
      <c r="P57" s="39"/>
      <c r="Q57" s="39"/>
      <c r="R57" s="39"/>
      <c r="S57" s="39"/>
      <c r="T57" s="39"/>
      <c r="U57" s="39"/>
      <c r="V57" s="39"/>
      <c r="W57" s="39"/>
      <c r="X57" s="39"/>
      <c r="Y57" s="39"/>
      <c r="Z57" s="39"/>
      <c r="AA57" s="39"/>
      <c r="AB57" s="39"/>
      <c r="AC57" s="16">
        <f t="shared" si="10"/>
        <v>0</v>
      </c>
      <c r="AD57" s="2098"/>
      <c r="AE57" s="2098"/>
      <c r="AF57" s="2098"/>
      <c r="AG57" s="2098"/>
      <c r="AH57" s="2098"/>
      <c r="AI57" s="2098"/>
      <c r="AJ57" s="2098"/>
      <c r="AK57" s="2098"/>
      <c r="AL57" s="2098"/>
      <c r="AM57" s="2098"/>
      <c r="AN57" s="2098"/>
      <c r="AO57" s="2098"/>
      <c r="AP57" s="2098"/>
      <c r="AQ57" s="2098"/>
      <c r="AR57" s="2098"/>
      <c r="AS57" s="2098"/>
      <c r="AT57" s="2099"/>
      <c r="AU57" s="2100"/>
      <c r="AV57" s="24">
        <f t="shared" si="11"/>
        <v>0</v>
      </c>
      <c r="AW57" s="24" t="str">
        <f t="shared" si="12"/>
        <v>京（2017）朝不动产权第0019837号</v>
      </c>
      <c r="AX57" s="24" t="str">
        <f t="shared" si="13"/>
        <v>601-2</v>
      </c>
      <c r="AY57" s="42">
        <f t="shared" si="14"/>
        <v>8.07</v>
      </c>
      <c r="AZ57" s="16">
        <f t="shared" si="15"/>
        <v>80.06</v>
      </c>
      <c r="BA57" s="16">
        <f t="shared" si="16"/>
        <v>80.06</v>
      </c>
      <c r="BB57" s="16">
        <f t="shared" si="17"/>
        <v>80.06</v>
      </c>
      <c r="BC57" s="16">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59" t="str">
        <f>面积表!B52</f>
        <v>京（2017）朝不动产权第0019964号</v>
      </c>
      <c r="C58" s="1259" t="str">
        <f>面积表!C52</f>
        <v>601-3</v>
      </c>
      <c r="D58" s="2096" t="s">
        <v>3434</v>
      </c>
      <c r="E58" s="16">
        <f t="shared" si="7"/>
        <v>8.07</v>
      </c>
      <c r="F58" s="32"/>
      <c r="G58" s="33">
        <f t="shared" si="8"/>
        <v>80.06</v>
      </c>
      <c r="H58" s="20">
        <f t="shared" si="9"/>
        <v>80.06</v>
      </c>
      <c r="I58" s="2097">
        <f>面积表!G52</f>
        <v>80.06</v>
      </c>
      <c r="J58" s="2097">
        <v>0</v>
      </c>
      <c r="K58" s="2097">
        <v>0</v>
      </c>
      <c r="L58" s="2097">
        <v>0</v>
      </c>
      <c r="M58" s="39"/>
      <c r="N58" s="39"/>
      <c r="O58" s="39"/>
      <c r="P58" s="39"/>
      <c r="Q58" s="39"/>
      <c r="R58" s="39"/>
      <c r="S58" s="39"/>
      <c r="T58" s="39"/>
      <c r="U58" s="39"/>
      <c r="V58" s="39"/>
      <c r="W58" s="39"/>
      <c r="X58" s="39"/>
      <c r="Y58" s="39"/>
      <c r="Z58" s="39"/>
      <c r="AA58" s="39"/>
      <c r="AB58" s="39"/>
      <c r="AC58" s="16">
        <f t="shared" si="10"/>
        <v>0</v>
      </c>
      <c r="AD58" s="2098"/>
      <c r="AE58" s="2098"/>
      <c r="AF58" s="2098"/>
      <c r="AG58" s="2098"/>
      <c r="AH58" s="2098"/>
      <c r="AI58" s="2098"/>
      <c r="AJ58" s="2098"/>
      <c r="AK58" s="2098"/>
      <c r="AL58" s="2098"/>
      <c r="AM58" s="2098"/>
      <c r="AN58" s="2098"/>
      <c r="AO58" s="2098"/>
      <c r="AP58" s="2098"/>
      <c r="AQ58" s="2098"/>
      <c r="AR58" s="2098"/>
      <c r="AS58" s="2098"/>
      <c r="AT58" s="2099"/>
      <c r="AU58" s="2100"/>
      <c r="AV58" s="24">
        <f t="shared" si="11"/>
        <v>0</v>
      </c>
      <c r="AW58" s="24" t="str">
        <f t="shared" si="12"/>
        <v>京（2017）朝不动产权第0019964号</v>
      </c>
      <c r="AX58" s="24" t="str">
        <f t="shared" si="13"/>
        <v>601-3</v>
      </c>
      <c r="AY58" s="42">
        <f t="shared" si="14"/>
        <v>8.07</v>
      </c>
      <c r="AZ58" s="16">
        <f t="shared" si="15"/>
        <v>80.06</v>
      </c>
      <c r="BA58" s="16">
        <f t="shared" si="16"/>
        <v>80.06</v>
      </c>
      <c r="BB58" s="16">
        <f t="shared" si="17"/>
        <v>80.06</v>
      </c>
      <c r="BC58" s="16">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59" t="str">
        <f>面积表!B53</f>
        <v>京（2017）朝不动产权第0025247号</v>
      </c>
      <c r="C59" s="1259" t="str">
        <f>面积表!C53</f>
        <v>601-4</v>
      </c>
      <c r="D59" s="2096" t="s">
        <v>3434</v>
      </c>
      <c r="E59" s="16">
        <f t="shared" si="7"/>
        <v>8.07</v>
      </c>
      <c r="F59" s="32"/>
      <c r="G59" s="33">
        <f t="shared" si="8"/>
        <v>80.06</v>
      </c>
      <c r="H59" s="20">
        <f t="shared" si="9"/>
        <v>80.06</v>
      </c>
      <c r="I59" s="2097">
        <f>面积表!G53</f>
        <v>80.06</v>
      </c>
      <c r="J59" s="2097">
        <v>0</v>
      </c>
      <c r="K59" s="2097">
        <v>0</v>
      </c>
      <c r="L59" s="2097">
        <v>0</v>
      </c>
      <c r="M59" s="39"/>
      <c r="N59" s="39"/>
      <c r="O59" s="39"/>
      <c r="P59" s="39"/>
      <c r="Q59" s="39"/>
      <c r="R59" s="39"/>
      <c r="S59" s="39"/>
      <c r="T59" s="39"/>
      <c r="U59" s="39"/>
      <c r="V59" s="39"/>
      <c r="W59" s="39"/>
      <c r="X59" s="39"/>
      <c r="Y59" s="39"/>
      <c r="Z59" s="39"/>
      <c r="AA59" s="39"/>
      <c r="AB59" s="39"/>
      <c r="AC59" s="16">
        <f t="shared" si="10"/>
        <v>0</v>
      </c>
      <c r="AD59" s="2098"/>
      <c r="AE59" s="2098"/>
      <c r="AF59" s="2098"/>
      <c r="AG59" s="2098"/>
      <c r="AH59" s="2098"/>
      <c r="AI59" s="2098"/>
      <c r="AJ59" s="2098"/>
      <c r="AK59" s="2098"/>
      <c r="AL59" s="2098"/>
      <c r="AM59" s="2098"/>
      <c r="AN59" s="2098"/>
      <c r="AO59" s="2098"/>
      <c r="AP59" s="2098"/>
      <c r="AQ59" s="2098"/>
      <c r="AR59" s="2098"/>
      <c r="AS59" s="2098"/>
      <c r="AT59" s="2099"/>
      <c r="AU59" s="2100"/>
      <c r="AV59" s="24">
        <f t="shared" si="11"/>
        <v>0</v>
      </c>
      <c r="AW59" s="24" t="str">
        <f t="shared" si="12"/>
        <v>京（2017）朝不动产权第0025247号</v>
      </c>
      <c r="AX59" s="24" t="str">
        <f t="shared" si="13"/>
        <v>601-4</v>
      </c>
      <c r="AY59" s="42">
        <f t="shared" si="14"/>
        <v>8.07</v>
      </c>
      <c r="AZ59" s="16">
        <f t="shared" si="15"/>
        <v>80.06</v>
      </c>
      <c r="BA59" s="16">
        <f t="shared" si="16"/>
        <v>80.06</v>
      </c>
      <c r="BB59" s="16">
        <f t="shared" si="17"/>
        <v>80.06</v>
      </c>
      <c r="BC59" s="16">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59" t="str">
        <f>面积表!B54</f>
        <v>京（2017）朝不动产权第0025250号</v>
      </c>
      <c r="C60" s="1259" t="str">
        <f>面积表!C54</f>
        <v>601-5</v>
      </c>
      <c r="D60" s="2096" t="s">
        <v>3434</v>
      </c>
      <c r="E60" s="16">
        <f t="shared" si="7"/>
        <v>10.07</v>
      </c>
      <c r="F60" s="32"/>
      <c r="G60" s="33">
        <f t="shared" si="8"/>
        <v>99.81</v>
      </c>
      <c r="H60" s="20">
        <f t="shared" si="9"/>
        <v>99.81</v>
      </c>
      <c r="I60" s="2097">
        <f>面积表!G54</f>
        <v>99.81</v>
      </c>
      <c r="J60" s="2097">
        <v>0</v>
      </c>
      <c r="K60" s="2097">
        <v>0</v>
      </c>
      <c r="L60" s="2097">
        <v>0</v>
      </c>
      <c r="M60" s="39"/>
      <c r="N60" s="39"/>
      <c r="O60" s="39"/>
      <c r="P60" s="39"/>
      <c r="Q60" s="39"/>
      <c r="R60" s="39"/>
      <c r="S60" s="39"/>
      <c r="T60" s="39"/>
      <c r="U60" s="39"/>
      <c r="V60" s="39"/>
      <c r="W60" s="39"/>
      <c r="X60" s="39"/>
      <c r="Y60" s="39"/>
      <c r="Z60" s="39"/>
      <c r="AA60" s="39"/>
      <c r="AB60" s="39"/>
      <c r="AC60" s="16">
        <f t="shared" si="10"/>
        <v>0</v>
      </c>
      <c r="AD60" s="2098"/>
      <c r="AE60" s="2098"/>
      <c r="AF60" s="2098"/>
      <c r="AG60" s="2098"/>
      <c r="AH60" s="2098"/>
      <c r="AI60" s="2098"/>
      <c r="AJ60" s="2098"/>
      <c r="AK60" s="2098"/>
      <c r="AL60" s="2098"/>
      <c r="AM60" s="2098"/>
      <c r="AN60" s="2098"/>
      <c r="AO60" s="2098"/>
      <c r="AP60" s="2098"/>
      <c r="AQ60" s="2098"/>
      <c r="AR60" s="2098"/>
      <c r="AS60" s="2098"/>
      <c r="AT60" s="2099"/>
      <c r="AU60" s="2100"/>
      <c r="AV60" s="24">
        <f t="shared" si="11"/>
        <v>0</v>
      </c>
      <c r="AW60" s="24" t="str">
        <f t="shared" si="12"/>
        <v>京（2017）朝不动产权第0025250号</v>
      </c>
      <c r="AX60" s="24" t="str">
        <f t="shared" si="13"/>
        <v>601-5</v>
      </c>
      <c r="AY60" s="42">
        <f t="shared" si="14"/>
        <v>10.07</v>
      </c>
      <c r="AZ60" s="16">
        <f t="shared" si="15"/>
        <v>99.81</v>
      </c>
      <c r="BA60" s="16">
        <f t="shared" si="16"/>
        <v>99.81</v>
      </c>
      <c r="BB60" s="16">
        <f t="shared" si="17"/>
        <v>99.81</v>
      </c>
      <c r="BC60" s="16">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59" t="str">
        <f>面积表!B55</f>
        <v>京（2017）朝不动产权第0019956号</v>
      </c>
      <c r="C61" s="1259" t="str">
        <f>面积表!C55</f>
        <v>601-6</v>
      </c>
      <c r="D61" s="2096" t="s">
        <v>3434</v>
      </c>
      <c r="E61" s="16">
        <f t="shared" si="7"/>
        <v>8.4</v>
      </c>
      <c r="F61" s="32"/>
      <c r="G61" s="33">
        <f t="shared" si="8"/>
        <v>83.28</v>
      </c>
      <c r="H61" s="20">
        <f t="shared" si="9"/>
        <v>83.28</v>
      </c>
      <c r="I61" s="2097">
        <f>面积表!G55</f>
        <v>83.28</v>
      </c>
      <c r="J61" s="2097">
        <v>0</v>
      </c>
      <c r="K61" s="2097">
        <v>0</v>
      </c>
      <c r="L61" s="2097">
        <v>0</v>
      </c>
      <c r="M61" s="39"/>
      <c r="N61" s="39"/>
      <c r="O61" s="39"/>
      <c r="P61" s="39"/>
      <c r="Q61" s="39"/>
      <c r="R61" s="39"/>
      <c r="S61" s="39"/>
      <c r="T61" s="39"/>
      <c r="U61" s="39"/>
      <c r="V61" s="39"/>
      <c r="W61" s="39"/>
      <c r="X61" s="39"/>
      <c r="Y61" s="39"/>
      <c r="Z61" s="39"/>
      <c r="AA61" s="39"/>
      <c r="AB61" s="39"/>
      <c r="AC61" s="16">
        <f t="shared" si="10"/>
        <v>0</v>
      </c>
      <c r="AD61" s="2098"/>
      <c r="AE61" s="2098"/>
      <c r="AF61" s="2098"/>
      <c r="AG61" s="2098"/>
      <c r="AH61" s="2098"/>
      <c r="AI61" s="2098"/>
      <c r="AJ61" s="2098"/>
      <c r="AK61" s="2098"/>
      <c r="AL61" s="2098"/>
      <c r="AM61" s="2098"/>
      <c r="AN61" s="2098"/>
      <c r="AO61" s="2098"/>
      <c r="AP61" s="2098"/>
      <c r="AQ61" s="2098"/>
      <c r="AR61" s="2098"/>
      <c r="AS61" s="2098"/>
      <c r="AT61" s="2099"/>
      <c r="AU61" s="2100"/>
      <c r="AV61" s="24">
        <f t="shared" si="11"/>
        <v>0</v>
      </c>
      <c r="AW61" s="24" t="str">
        <f t="shared" si="12"/>
        <v>京（2017）朝不动产权第0019956号</v>
      </c>
      <c r="AX61" s="24" t="str">
        <f t="shared" si="13"/>
        <v>601-6</v>
      </c>
      <c r="AY61" s="42">
        <f t="shared" si="14"/>
        <v>8.4</v>
      </c>
      <c r="AZ61" s="16">
        <f t="shared" si="15"/>
        <v>83.28</v>
      </c>
      <c r="BA61" s="16">
        <f t="shared" si="16"/>
        <v>83.28</v>
      </c>
      <c r="BB61" s="16">
        <f t="shared" si="17"/>
        <v>83.28</v>
      </c>
      <c r="BC61" s="16">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59" t="str">
        <f>面积表!B56</f>
        <v>京（2017）朝不动产权第0025249号</v>
      </c>
      <c r="C62" s="1259" t="str">
        <f>面积表!C56</f>
        <v>601-7</v>
      </c>
      <c r="D62" s="2096" t="s">
        <v>3434</v>
      </c>
      <c r="E62" s="16">
        <f t="shared" si="7"/>
        <v>10.87</v>
      </c>
      <c r="F62" s="32"/>
      <c r="G62" s="33">
        <f t="shared" si="8"/>
        <v>107.74</v>
      </c>
      <c r="H62" s="20">
        <f t="shared" si="9"/>
        <v>107.74</v>
      </c>
      <c r="I62" s="2097">
        <f>面积表!G56</f>
        <v>107.74</v>
      </c>
      <c r="J62" s="2097">
        <v>0</v>
      </c>
      <c r="K62" s="2097">
        <v>0</v>
      </c>
      <c r="L62" s="2097">
        <v>0</v>
      </c>
      <c r="M62" s="39"/>
      <c r="N62" s="39"/>
      <c r="O62" s="39"/>
      <c r="P62" s="39"/>
      <c r="Q62" s="39"/>
      <c r="R62" s="39"/>
      <c r="S62" s="39"/>
      <c r="T62" s="39"/>
      <c r="U62" s="39"/>
      <c r="V62" s="39"/>
      <c r="W62" s="39"/>
      <c r="X62" s="39"/>
      <c r="Y62" s="39"/>
      <c r="Z62" s="39"/>
      <c r="AA62" s="39"/>
      <c r="AB62" s="39"/>
      <c r="AC62" s="16">
        <f t="shared" si="10"/>
        <v>0</v>
      </c>
      <c r="AD62" s="2098"/>
      <c r="AE62" s="2098"/>
      <c r="AF62" s="2098"/>
      <c r="AG62" s="2098"/>
      <c r="AH62" s="2098"/>
      <c r="AI62" s="2098"/>
      <c r="AJ62" s="2098"/>
      <c r="AK62" s="2098"/>
      <c r="AL62" s="2098"/>
      <c r="AM62" s="2098"/>
      <c r="AN62" s="2098"/>
      <c r="AO62" s="2098"/>
      <c r="AP62" s="2098"/>
      <c r="AQ62" s="2098"/>
      <c r="AR62" s="2098"/>
      <c r="AS62" s="2098"/>
      <c r="AT62" s="2099"/>
      <c r="AU62" s="2100"/>
      <c r="AV62" s="24">
        <f t="shared" si="11"/>
        <v>0</v>
      </c>
      <c r="AW62" s="24" t="str">
        <f t="shared" si="12"/>
        <v>京（2017）朝不动产权第0025249号</v>
      </c>
      <c r="AX62" s="24" t="str">
        <f t="shared" si="13"/>
        <v>601-7</v>
      </c>
      <c r="AY62" s="42">
        <f t="shared" si="14"/>
        <v>10.87</v>
      </c>
      <c r="AZ62" s="16">
        <f t="shared" si="15"/>
        <v>107.74</v>
      </c>
      <c r="BA62" s="16">
        <f t="shared" si="16"/>
        <v>107.74</v>
      </c>
      <c r="BB62" s="16">
        <f t="shared" si="17"/>
        <v>107.74</v>
      </c>
      <c r="BC62" s="16">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59" t="str">
        <f>面积表!B57</f>
        <v>京（2017）朝不动产权第0024911号</v>
      </c>
      <c r="C63" s="1259" t="str">
        <f>面积表!C57</f>
        <v>601-8</v>
      </c>
      <c r="D63" s="2096" t="s">
        <v>3434</v>
      </c>
      <c r="E63" s="16">
        <f t="shared" si="7"/>
        <v>8.84</v>
      </c>
      <c r="F63" s="32"/>
      <c r="G63" s="33">
        <f t="shared" si="8"/>
        <v>87.64</v>
      </c>
      <c r="H63" s="20">
        <f t="shared" si="9"/>
        <v>87.64</v>
      </c>
      <c r="I63" s="2097">
        <f>面积表!G57</f>
        <v>87.64</v>
      </c>
      <c r="J63" s="2097">
        <v>0</v>
      </c>
      <c r="K63" s="2097">
        <v>0</v>
      </c>
      <c r="L63" s="2097">
        <v>0</v>
      </c>
      <c r="M63" s="39"/>
      <c r="N63" s="39"/>
      <c r="O63" s="39"/>
      <c r="P63" s="39"/>
      <c r="Q63" s="39"/>
      <c r="R63" s="39"/>
      <c r="S63" s="39"/>
      <c r="T63" s="39"/>
      <c r="U63" s="39"/>
      <c r="V63" s="39"/>
      <c r="W63" s="39"/>
      <c r="X63" s="39"/>
      <c r="Y63" s="39"/>
      <c r="Z63" s="39"/>
      <c r="AA63" s="39"/>
      <c r="AB63" s="39"/>
      <c r="AC63" s="16">
        <f t="shared" si="10"/>
        <v>0</v>
      </c>
      <c r="AD63" s="2098"/>
      <c r="AE63" s="2098"/>
      <c r="AF63" s="2098"/>
      <c r="AG63" s="2098"/>
      <c r="AH63" s="2098"/>
      <c r="AI63" s="2098"/>
      <c r="AJ63" s="2098"/>
      <c r="AK63" s="2098"/>
      <c r="AL63" s="2098"/>
      <c r="AM63" s="2098"/>
      <c r="AN63" s="2098"/>
      <c r="AO63" s="2098"/>
      <c r="AP63" s="2098"/>
      <c r="AQ63" s="2098"/>
      <c r="AR63" s="2098"/>
      <c r="AS63" s="2098"/>
      <c r="AT63" s="2099"/>
      <c r="AU63" s="2100"/>
      <c r="AV63" s="24">
        <f t="shared" si="11"/>
        <v>0</v>
      </c>
      <c r="AW63" s="24" t="str">
        <f t="shared" si="12"/>
        <v>京（2017）朝不动产权第0024911号</v>
      </c>
      <c r="AX63" s="24" t="str">
        <f t="shared" si="13"/>
        <v>601-8</v>
      </c>
      <c r="AY63" s="42">
        <f t="shared" si="14"/>
        <v>8.84</v>
      </c>
      <c r="AZ63" s="16">
        <f t="shared" si="15"/>
        <v>87.64</v>
      </c>
      <c r="BA63" s="16">
        <f t="shared" si="16"/>
        <v>87.64</v>
      </c>
      <c r="BB63" s="16">
        <f t="shared" si="17"/>
        <v>87.64</v>
      </c>
      <c r="BC63" s="16">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59" t="str">
        <f>面积表!B58</f>
        <v>京（2017）朝不动产权第0025265号</v>
      </c>
      <c r="C64" s="1259" t="str">
        <f>面积表!C58</f>
        <v>601-9</v>
      </c>
      <c r="D64" s="2096" t="s">
        <v>3434</v>
      </c>
      <c r="E64" s="16">
        <f t="shared" si="7"/>
        <v>8.07</v>
      </c>
      <c r="F64" s="32"/>
      <c r="G64" s="33">
        <f t="shared" si="8"/>
        <v>80.06</v>
      </c>
      <c r="H64" s="20">
        <f t="shared" si="9"/>
        <v>80.06</v>
      </c>
      <c r="I64" s="2097">
        <f>面积表!G58</f>
        <v>80.06</v>
      </c>
      <c r="J64" s="2097">
        <v>0</v>
      </c>
      <c r="K64" s="2097">
        <v>0</v>
      </c>
      <c r="L64" s="2097">
        <v>0</v>
      </c>
      <c r="M64" s="39"/>
      <c r="N64" s="39"/>
      <c r="O64" s="39"/>
      <c r="P64" s="39"/>
      <c r="Q64" s="39"/>
      <c r="R64" s="39"/>
      <c r="S64" s="39"/>
      <c r="T64" s="39"/>
      <c r="U64" s="39"/>
      <c r="V64" s="39"/>
      <c r="W64" s="39"/>
      <c r="X64" s="39"/>
      <c r="Y64" s="39"/>
      <c r="Z64" s="39"/>
      <c r="AA64" s="39"/>
      <c r="AB64" s="39"/>
      <c r="AC64" s="16">
        <f t="shared" si="10"/>
        <v>0</v>
      </c>
      <c r="AD64" s="2098"/>
      <c r="AE64" s="2098"/>
      <c r="AF64" s="2098"/>
      <c r="AG64" s="2098"/>
      <c r="AH64" s="2098"/>
      <c r="AI64" s="2098"/>
      <c r="AJ64" s="2098"/>
      <c r="AK64" s="2098"/>
      <c r="AL64" s="2098"/>
      <c r="AM64" s="2098"/>
      <c r="AN64" s="2098"/>
      <c r="AO64" s="2098"/>
      <c r="AP64" s="2098"/>
      <c r="AQ64" s="2098"/>
      <c r="AR64" s="2098"/>
      <c r="AS64" s="2098"/>
      <c r="AT64" s="2099"/>
      <c r="AU64" s="2100"/>
      <c r="AV64" s="24">
        <f t="shared" si="11"/>
        <v>0</v>
      </c>
      <c r="AW64" s="24" t="str">
        <f t="shared" si="12"/>
        <v>京（2017）朝不动产权第0025265号</v>
      </c>
      <c r="AX64" s="24" t="str">
        <f t="shared" si="13"/>
        <v>601-9</v>
      </c>
      <c r="AY64" s="42">
        <f t="shared" si="14"/>
        <v>8.07</v>
      </c>
      <c r="AZ64" s="16">
        <f t="shared" si="15"/>
        <v>80.06</v>
      </c>
      <c r="BA64" s="16">
        <f t="shared" si="16"/>
        <v>80.06</v>
      </c>
      <c r="BB64" s="16">
        <f t="shared" si="17"/>
        <v>80.06</v>
      </c>
      <c r="BC64" s="16">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59" t="str">
        <f>面积表!B59</f>
        <v>京（2017）朝不动产权第0027553号</v>
      </c>
      <c r="C65" s="1259" t="str">
        <f>面积表!C59</f>
        <v>601-10</v>
      </c>
      <c r="D65" s="2096" t="s">
        <v>3434</v>
      </c>
      <c r="E65" s="16">
        <f t="shared" si="7"/>
        <v>8.07</v>
      </c>
      <c r="F65" s="32"/>
      <c r="G65" s="33">
        <f t="shared" si="8"/>
        <v>80.06</v>
      </c>
      <c r="H65" s="20">
        <f t="shared" si="9"/>
        <v>80.06</v>
      </c>
      <c r="I65" s="2097">
        <f>面积表!G59</f>
        <v>80.06</v>
      </c>
      <c r="J65" s="2097">
        <v>0</v>
      </c>
      <c r="K65" s="2097">
        <v>0</v>
      </c>
      <c r="L65" s="2097">
        <v>0</v>
      </c>
      <c r="M65" s="39"/>
      <c r="N65" s="39"/>
      <c r="O65" s="39"/>
      <c r="P65" s="39"/>
      <c r="Q65" s="39"/>
      <c r="R65" s="39"/>
      <c r="S65" s="39"/>
      <c r="T65" s="39"/>
      <c r="U65" s="39"/>
      <c r="V65" s="39"/>
      <c r="W65" s="39"/>
      <c r="X65" s="39"/>
      <c r="Y65" s="39"/>
      <c r="Z65" s="39"/>
      <c r="AA65" s="39"/>
      <c r="AB65" s="39"/>
      <c r="AC65" s="16">
        <f t="shared" si="10"/>
        <v>0</v>
      </c>
      <c r="AD65" s="2098"/>
      <c r="AE65" s="2098"/>
      <c r="AF65" s="2098"/>
      <c r="AG65" s="2098"/>
      <c r="AH65" s="2098"/>
      <c r="AI65" s="2098"/>
      <c r="AJ65" s="2098"/>
      <c r="AK65" s="2098"/>
      <c r="AL65" s="2098"/>
      <c r="AM65" s="2098"/>
      <c r="AN65" s="2098"/>
      <c r="AO65" s="2098"/>
      <c r="AP65" s="2098"/>
      <c r="AQ65" s="2098"/>
      <c r="AR65" s="2098"/>
      <c r="AS65" s="2098"/>
      <c r="AT65" s="2099"/>
      <c r="AU65" s="2100"/>
      <c r="AV65" s="24">
        <f t="shared" si="11"/>
        <v>0</v>
      </c>
      <c r="AW65" s="24" t="str">
        <f t="shared" si="12"/>
        <v>京（2017）朝不动产权第0027553号</v>
      </c>
      <c r="AX65" s="24" t="str">
        <f t="shared" si="13"/>
        <v>601-10</v>
      </c>
      <c r="AY65" s="42">
        <f t="shared" si="14"/>
        <v>8.07</v>
      </c>
      <c r="AZ65" s="16">
        <f t="shared" si="15"/>
        <v>80.06</v>
      </c>
      <c r="BA65" s="16">
        <f t="shared" si="16"/>
        <v>80.06</v>
      </c>
      <c r="BB65" s="16">
        <f t="shared" si="17"/>
        <v>80.06</v>
      </c>
      <c r="BC65" s="16">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59" t="str">
        <f>面积表!B60</f>
        <v>京（2017）朝不动产权第0027560号</v>
      </c>
      <c r="C66" s="1259" t="str">
        <f>面积表!C60</f>
        <v>601-11</v>
      </c>
      <c r="D66" s="2096" t="s">
        <v>3434</v>
      </c>
      <c r="E66" s="16">
        <f t="shared" si="7"/>
        <v>8.07</v>
      </c>
      <c r="F66" s="32"/>
      <c r="G66" s="33">
        <f t="shared" si="8"/>
        <v>80.06</v>
      </c>
      <c r="H66" s="20">
        <f t="shared" si="9"/>
        <v>80.06</v>
      </c>
      <c r="I66" s="2097">
        <f>面积表!G60</f>
        <v>80.06</v>
      </c>
      <c r="J66" s="2097">
        <v>0</v>
      </c>
      <c r="K66" s="2097">
        <v>0</v>
      </c>
      <c r="L66" s="2097">
        <v>0</v>
      </c>
      <c r="M66" s="39"/>
      <c r="N66" s="39"/>
      <c r="O66" s="39"/>
      <c r="P66" s="39"/>
      <c r="Q66" s="39"/>
      <c r="R66" s="39"/>
      <c r="S66" s="39"/>
      <c r="T66" s="39"/>
      <c r="U66" s="39"/>
      <c r="V66" s="39"/>
      <c r="W66" s="39"/>
      <c r="X66" s="39"/>
      <c r="Y66" s="39"/>
      <c r="Z66" s="39"/>
      <c r="AA66" s="39"/>
      <c r="AB66" s="39"/>
      <c r="AC66" s="16">
        <f t="shared" si="10"/>
        <v>0</v>
      </c>
      <c r="AD66" s="2098"/>
      <c r="AE66" s="2098"/>
      <c r="AF66" s="2098"/>
      <c r="AG66" s="2098"/>
      <c r="AH66" s="2098"/>
      <c r="AI66" s="2098"/>
      <c r="AJ66" s="2098"/>
      <c r="AK66" s="2098"/>
      <c r="AL66" s="2098"/>
      <c r="AM66" s="2098"/>
      <c r="AN66" s="2098"/>
      <c r="AO66" s="2098"/>
      <c r="AP66" s="2098"/>
      <c r="AQ66" s="2098"/>
      <c r="AR66" s="2098"/>
      <c r="AS66" s="2098"/>
      <c r="AT66" s="2099"/>
      <c r="AU66" s="2100"/>
      <c r="AV66" s="24">
        <f t="shared" si="11"/>
        <v>0</v>
      </c>
      <c r="AW66" s="24" t="str">
        <f t="shared" si="12"/>
        <v>京（2017）朝不动产权第0027560号</v>
      </c>
      <c r="AX66" s="24" t="str">
        <f t="shared" si="13"/>
        <v>601-11</v>
      </c>
      <c r="AY66" s="42">
        <f t="shared" si="14"/>
        <v>8.07</v>
      </c>
      <c r="AZ66" s="16">
        <f t="shared" si="15"/>
        <v>80.06</v>
      </c>
      <c r="BA66" s="16">
        <f t="shared" si="16"/>
        <v>80.06</v>
      </c>
      <c r="BB66" s="16">
        <f t="shared" si="17"/>
        <v>80.06</v>
      </c>
      <c r="BC66" s="16">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59" t="str">
        <f>面积表!B61</f>
        <v>京（2017）朝不动产权第0025248号</v>
      </c>
      <c r="C67" s="1259" t="str">
        <f>面积表!C61</f>
        <v>601-12</v>
      </c>
      <c r="D67" s="2096" t="s">
        <v>3434</v>
      </c>
      <c r="E67" s="16">
        <f t="shared" si="7"/>
        <v>10.050000000000001</v>
      </c>
      <c r="F67" s="32"/>
      <c r="G67" s="33">
        <f t="shared" si="8"/>
        <v>99.64</v>
      </c>
      <c r="H67" s="20">
        <f t="shared" si="9"/>
        <v>99.64</v>
      </c>
      <c r="I67" s="2097">
        <f>面积表!G61</f>
        <v>99.64</v>
      </c>
      <c r="J67" s="2097">
        <v>0</v>
      </c>
      <c r="K67" s="2097">
        <v>0</v>
      </c>
      <c r="L67" s="2097">
        <v>0</v>
      </c>
      <c r="M67" s="39"/>
      <c r="N67" s="39"/>
      <c r="O67" s="39"/>
      <c r="P67" s="39"/>
      <c r="Q67" s="39"/>
      <c r="R67" s="39"/>
      <c r="S67" s="39"/>
      <c r="T67" s="39"/>
      <c r="U67" s="39"/>
      <c r="V67" s="39"/>
      <c r="W67" s="39"/>
      <c r="X67" s="39"/>
      <c r="Y67" s="39"/>
      <c r="Z67" s="39"/>
      <c r="AA67" s="39"/>
      <c r="AB67" s="39"/>
      <c r="AC67" s="16">
        <f t="shared" si="10"/>
        <v>0</v>
      </c>
      <c r="AD67" s="2098"/>
      <c r="AE67" s="2098"/>
      <c r="AF67" s="2098"/>
      <c r="AG67" s="2098"/>
      <c r="AH67" s="2098"/>
      <c r="AI67" s="2098"/>
      <c r="AJ67" s="2098"/>
      <c r="AK67" s="2098"/>
      <c r="AL67" s="2098"/>
      <c r="AM67" s="2098"/>
      <c r="AN67" s="2098"/>
      <c r="AO67" s="2098"/>
      <c r="AP67" s="2098"/>
      <c r="AQ67" s="2098"/>
      <c r="AR67" s="2098"/>
      <c r="AS67" s="2098"/>
      <c r="AT67" s="2099"/>
      <c r="AU67" s="2100"/>
      <c r="AV67" s="24">
        <f t="shared" si="11"/>
        <v>0</v>
      </c>
      <c r="AW67" s="24" t="str">
        <f t="shared" si="12"/>
        <v>京（2017）朝不动产权第0025248号</v>
      </c>
      <c r="AX67" s="24" t="str">
        <f t="shared" si="13"/>
        <v>601-12</v>
      </c>
      <c r="AY67" s="42">
        <f t="shared" si="14"/>
        <v>10.050000000000001</v>
      </c>
      <c r="AZ67" s="16">
        <f t="shared" si="15"/>
        <v>99.64</v>
      </c>
      <c r="BA67" s="16">
        <f t="shared" si="16"/>
        <v>99.64</v>
      </c>
      <c r="BB67" s="16">
        <f t="shared" si="17"/>
        <v>99.64</v>
      </c>
      <c r="BC67" s="16">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59" t="str">
        <f>面积表!B62</f>
        <v>京（2017）朝不动产权第0027565号</v>
      </c>
      <c r="C68" s="1259" t="str">
        <f>面积表!C62</f>
        <v>601-13</v>
      </c>
      <c r="D68" s="2096" t="s">
        <v>3434</v>
      </c>
      <c r="E68" s="16">
        <f t="shared" si="7"/>
        <v>8.36</v>
      </c>
      <c r="F68" s="32"/>
      <c r="G68" s="33">
        <f t="shared" si="8"/>
        <v>82.89</v>
      </c>
      <c r="H68" s="20">
        <f t="shared" si="9"/>
        <v>82.89</v>
      </c>
      <c r="I68" s="2097">
        <f>面积表!G62</f>
        <v>82.89</v>
      </c>
      <c r="J68" s="2097">
        <v>0</v>
      </c>
      <c r="K68" s="2097">
        <v>0</v>
      </c>
      <c r="L68" s="2097">
        <v>0</v>
      </c>
      <c r="M68" s="39"/>
      <c r="N68" s="39"/>
      <c r="O68" s="39"/>
      <c r="P68" s="39"/>
      <c r="Q68" s="39"/>
      <c r="R68" s="39"/>
      <c r="S68" s="39"/>
      <c r="T68" s="39"/>
      <c r="U68" s="39"/>
      <c r="V68" s="39"/>
      <c r="W68" s="39"/>
      <c r="X68" s="39"/>
      <c r="Y68" s="39"/>
      <c r="Z68" s="39"/>
      <c r="AA68" s="39"/>
      <c r="AB68" s="39"/>
      <c r="AC68" s="16">
        <f t="shared" si="10"/>
        <v>0</v>
      </c>
      <c r="AD68" s="2098"/>
      <c r="AE68" s="2098"/>
      <c r="AF68" s="2098"/>
      <c r="AG68" s="2098"/>
      <c r="AH68" s="2098"/>
      <c r="AI68" s="2098"/>
      <c r="AJ68" s="2098"/>
      <c r="AK68" s="2098"/>
      <c r="AL68" s="2098"/>
      <c r="AM68" s="2098"/>
      <c r="AN68" s="2098"/>
      <c r="AO68" s="2098"/>
      <c r="AP68" s="2098"/>
      <c r="AQ68" s="2098"/>
      <c r="AR68" s="2098"/>
      <c r="AS68" s="2098"/>
      <c r="AT68" s="2099"/>
      <c r="AU68" s="2100"/>
      <c r="AV68" s="24">
        <f t="shared" si="11"/>
        <v>0</v>
      </c>
      <c r="AW68" s="24" t="str">
        <f t="shared" si="12"/>
        <v>京（2017）朝不动产权第0027565号</v>
      </c>
      <c r="AX68" s="24" t="str">
        <f t="shared" si="13"/>
        <v>601-13</v>
      </c>
      <c r="AY68" s="42">
        <f t="shared" si="14"/>
        <v>8.36</v>
      </c>
      <c r="AZ68" s="16">
        <f t="shared" si="15"/>
        <v>82.89</v>
      </c>
      <c r="BA68" s="16">
        <f t="shared" si="16"/>
        <v>82.89</v>
      </c>
      <c r="BB68" s="16">
        <f t="shared" si="17"/>
        <v>82.89</v>
      </c>
      <c r="BC68" s="16">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59" t="str">
        <f>面积表!B63</f>
        <v>京（2017）朝不动产权第0027574号</v>
      </c>
      <c r="C69" s="1259" t="str">
        <f>面积表!C63</f>
        <v>601-14</v>
      </c>
      <c r="D69" s="2096" t="s">
        <v>3434</v>
      </c>
      <c r="E69" s="16">
        <f t="shared" si="7"/>
        <v>7.65</v>
      </c>
      <c r="F69" s="32"/>
      <c r="G69" s="33">
        <f t="shared" si="8"/>
        <v>75.83</v>
      </c>
      <c r="H69" s="20">
        <f t="shared" si="9"/>
        <v>75.83</v>
      </c>
      <c r="I69" s="2097">
        <f>面积表!G63</f>
        <v>75.83</v>
      </c>
      <c r="J69" s="2097">
        <v>0</v>
      </c>
      <c r="K69" s="2097">
        <v>0</v>
      </c>
      <c r="L69" s="2097">
        <v>0</v>
      </c>
      <c r="M69" s="39"/>
      <c r="N69" s="39"/>
      <c r="O69" s="39"/>
      <c r="P69" s="39"/>
      <c r="Q69" s="39"/>
      <c r="R69" s="39"/>
      <c r="S69" s="39"/>
      <c r="T69" s="39"/>
      <c r="U69" s="39"/>
      <c r="V69" s="39"/>
      <c r="W69" s="39"/>
      <c r="X69" s="39"/>
      <c r="Y69" s="39"/>
      <c r="Z69" s="39"/>
      <c r="AA69" s="39"/>
      <c r="AB69" s="39"/>
      <c r="AC69" s="16">
        <f t="shared" si="10"/>
        <v>0</v>
      </c>
      <c r="AD69" s="2098"/>
      <c r="AE69" s="2098"/>
      <c r="AF69" s="2098"/>
      <c r="AG69" s="2098"/>
      <c r="AH69" s="2098"/>
      <c r="AI69" s="2098"/>
      <c r="AJ69" s="2098"/>
      <c r="AK69" s="2098"/>
      <c r="AL69" s="2098"/>
      <c r="AM69" s="2098"/>
      <c r="AN69" s="2098"/>
      <c r="AO69" s="2098"/>
      <c r="AP69" s="2098"/>
      <c r="AQ69" s="2098"/>
      <c r="AR69" s="2098"/>
      <c r="AS69" s="2098"/>
      <c r="AT69" s="2099"/>
      <c r="AU69" s="2100"/>
      <c r="AV69" s="24">
        <f t="shared" si="11"/>
        <v>0</v>
      </c>
      <c r="AW69" s="24" t="str">
        <f t="shared" si="12"/>
        <v>京（2017）朝不动产权第0027574号</v>
      </c>
      <c r="AX69" s="24" t="str">
        <f t="shared" si="13"/>
        <v>601-14</v>
      </c>
      <c r="AY69" s="42">
        <f t="shared" si="14"/>
        <v>7.65</v>
      </c>
      <c r="AZ69" s="16">
        <f t="shared" si="15"/>
        <v>75.83</v>
      </c>
      <c r="BA69" s="16">
        <f t="shared" si="16"/>
        <v>75.83</v>
      </c>
      <c r="BB69" s="16">
        <f t="shared" si="17"/>
        <v>75.83</v>
      </c>
      <c r="BC69" s="16">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59" t="str">
        <f>面积表!B64</f>
        <v>京（2017）朝不动产权第0031415号</v>
      </c>
      <c r="C70" s="1259" t="str">
        <f>面积表!C64</f>
        <v>701-1</v>
      </c>
      <c r="D70" s="2096" t="s">
        <v>3434</v>
      </c>
      <c r="E70" s="16">
        <f t="shared" si="7"/>
        <v>8.8800000000000008</v>
      </c>
      <c r="F70" s="32"/>
      <c r="G70" s="33">
        <f t="shared" si="8"/>
        <v>88.04</v>
      </c>
      <c r="H70" s="20">
        <f t="shared" si="9"/>
        <v>88.04</v>
      </c>
      <c r="I70" s="2097">
        <f>面积表!G64</f>
        <v>88.04</v>
      </c>
      <c r="J70" s="2097">
        <v>0</v>
      </c>
      <c r="K70" s="2097">
        <v>0</v>
      </c>
      <c r="L70" s="2097">
        <v>0</v>
      </c>
      <c r="M70" s="39"/>
      <c r="N70" s="39"/>
      <c r="O70" s="39"/>
      <c r="P70" s="39"/>
      <c r="Q70" s="39"/>
      <c r="R70" s="39"/>
      <c r="S70" s="39"/>
      <c r="T70" s="39"/>
      <c r="U70" s="39"/>
      <c r="V70" s="39"/>
      <c r="W70" s="39"/>
      <c r="X70" s="39"/>
      <c r="Y70" s="39"/>
      <c r="Z70" s="39"/>
      <c r="AA70" s="39"/>
      <c r="AB70" s="39"/>
      <c r="AC70" s="16">
        <f t="shared" si="10"/>
        <v>0</v>
      </c>
      <c r="AD70" s="2098"/>
      <c r="AE70" s="2098"/>
      <c r="AF70" s="2098"/>
      <c r="AG70" s="2098"/>
      <c r="AH70" s="2098"/>
      <c r="AI70" s="2098"/>
      <c r="AJ70" s="2098"/>
      <c r="AK70" s="2098"/>
      <c r="AL70" s="2098"/>
      <c r="AM70" s="2098"/>
      <c r="AN70" s="2098"/>
      <c r="AO70" s="2098"/>
      <c r="AP70" s="2098"/>
      <c r="AQ70" s="2098"/>
      <c r="AR70" s="2098"/>
      <c r="AS70" s="2098"/>
      <c r="AT70" s="2099"/>
      <c r="AU70" s="2100"/>
      <c r="AV70" s="24">
        <f t="shared" si="11"/>
        <v>0</v>
      </c>
      <c r="AW70" s="24" t="str">
        <f t="shared" si="12"/>
        <v>京（2017）朝不动产权第0031415号</v>
      </c>
      <c r="AX70" s="24" t="str">
        <f t="shared" si="13"/>
        <v>701-1</v>
      </c>
      <c r="AY70" s="42">
        <f t="shared" si="14"/>
        <v>8.8800000000000008</v>
      </c>
      <c r="AZ70" s="16">
        <f t="shared" si="15"/>
        <v>88.04</v>
      </c>
      <c r="BA70" s="16">
        <f t="shared" si="16"/>
        <v>88.04</v>
      </c>
      <c r="BB70" s="16">
        <f t="shared" si="17"/>
        <v>88.04</v>
      </c>
      <c r="BC70" s="16">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59" t="str">
        <f>面积表!B65</f>
        <v>京（2017）朝不动产权第0030944号</v>
      </c>
      <c r="C71" s="1259" t="str">
        <f>面积表!C65</f>
        <v>701-2</v>
      </c>
      <c r="D71" s="2096" t="s">
        <v>3434</v>
      </c>
      <c r="E71" s="16">
        <f t="shared" si="7"/>
        <v>8.07</v>
      </c>
      <c r="F71" s="32"/>
      <c r="G71" s="33">
        <f t="shared" si="8"/>
        <v>80.06</v>
      </c>
      <c r="H71" s="20">
        <f t="shared" si="9"/>
        <v>80.06</v>
      </c>
      <c r="I71" s="2097">
        <f>面积表!G65</f>
        <v>80.06</v>
      </c>
      <c r="J71" s="2097">
        <v>0</v>
      </c>
      <c r="K71" s="2097">
        <v>0</v>
      </c>
      <c r="L71" s="2097">
        <v>0</v>
      </c>
      <c r="M71" s="39"/>
      <c r="N71" s="39"/>
      <c r="O71" s="39"/>
      <c r="P71" s="39"/>
      <c r="Q71" s="39"/>
      <c r="R71" s="39"/>
      <c r="S71" s="39"/>
      <c r="T71" s="39"/>
      <c r="U71" s="39"/>
      <c r="V71" s="39"/>
      <c r="W71" s="39"/>
      <c r="X71" s="39"/>
      <c r="Y71" s="39"/>
      <c r="Z71" s="39"/>
      <c r="AA71" s="39"/>
      <c r="AB71" s="39"/>
      <c r="AC71" s="16">
        <f t="shared" si="10"/>
        <v>0</v>
      </c>
      <c r="AD71" s="2098"/>
      <c r="AE71" s="2098"/>
      <c r="AF71" s="2098"/>
      <c r="AG71" s="2098"/>
      <c r="AH71" s="2098"/>
      <c r="AI71" s="2098"/>
      <c r="AJ71" s="2098"/>
      <c r="AK71" s="2098"/>
      <c r="AL71" s="2098"/>
      <c r="AM71" s="2098"/>
      <c r="AN71" s="2098"/>
      <c r="AO71" s="2098"/>
      <c r="AP71" s="2098"/>
      <c r="AQ71" s="2098"/>
      <c r="AR71" s="2098"/>
      <c r="AS71" s="2098"/>
      <c r="AT71" s="2099"/>
      <c r="AU71" s="2100"/>
      <c r="AV71" s="24">
        <f t="shared" si="11"/>
        <v>0</v>
      </c>
      <c r="AW71" s="24" t="str">
        <f t="shared" si="12"/>
        <v>京（2017）朝不动产权第0030944号</v>
      </c>
      <c r="AX71" s="24" t="str">
        <f t="shared" si="13"/>
        <v>701-2</v>
      </c>
      <c r="AY71" s="42">
        <f t="shared" si="14"/>
        <v>8.07</v>
      </c>
      <c r="AZ71" s="16">
        <f t="shared" si="15"/>
        <v>80.06</v>
      </c>
      <c r="BA71" s="16">
        <f t="shared" si="16"/>
        <v>80.06</v>
      </c>
      <c r="BB71" s="16">
        <f t="shared" si="17"/>
        <v>80.06</v>
      </c>
      <c r="BC71" s="16">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59" t="str">
        <f>面积表!B66</f>
        <v>京（2017）朝不动产权第0031070号</v>
      </c>
      <c r="C72" s="1259" t="str">
        <f>面积表!C66</f>
        <v>701-3</v>
      </c>
      <c r="D72" s="2096" t="s">
        <v>3434</v>
      </c>
      <c r="E72" s="16">
        <f t="shared" si="7"/>
        <v>8.07</v>
      </c>
      <c r="F72" s="32"/>
      <c r="G72" s="33">
        <f t="shared" si="8"/>
        <v>80.06</v>
      </c>
      <c r="H72" s="20">
        <f t="shared" si="9"/>
        <v>80.06</v>
      </c>
      <c r="I72" s="2097">
        <f>面积表!G66</f>
        <v>80.06</v>
      </c>
      <c r="J72" s="2097">
        <v>0</v>
      </c>
      <c r="K72" s="2097">
        <v>0</v>
      </c>
      <c r="L72" s="2097">
        <v>0</v>
      </c>
      <c r="M72" s="39"/>
      <c r="N72" s="39"/>
      <c r="O72" s="39"/>
      <c r="P72" s="39"/>
      <c r="Q72" s="39"/>
      <c r="R72" s="39"/>
      <c r="S72" s="39"/>
      <c r="T72" s="39"/>
      <c r="U72" s="39"/>
      <c r="V72" s="39"/>
      <c r="W72" s="39"/>
      <c r="X72" s="39"/>
      <c r="Y72" s="39"/>
      <c r="Z72" s="39"/>
      <c r="AA72" s="39"/>
      <c r="AB72" s="39"/>
      <c r="AC72" s="16">
        <f t="shared" si="10"/>
        <v>0</v>
      </c>
      <c r="AD72" s="2098"/>
      <c r="AE72" s="2098"/>
      <c r="AF72" s="2098"/>
      <c r="AG72" s="2098"/>
      <c r="AH72" s="2098"/>
      <c r="AI72" s="2098"/>
      <c r="AJ72" s="2098"/>
      <c r="AK72" s="2098"/>
      <c r="AL72" s="2098"/>
      <c r="AM72" s="2098"/>
      <c r="AN72" s="2098"/>
      <c r="AO72" s="2098"/>
      <c r="AP72" s="2098"/>
      <c r="AQ72" s="2098"/>
      <c r="AR72" s="2098"/>
      <c r="AS72" s="2098"/>
      <c r="AT72" s="2099"/>
      <c r="AU72" s="2100"/>
      <c r="AV72" s="24">
        <f t="shared" si="11"/>
        <v>0</v>
      </c>
      <c r="AW72" s="24" t="str">
        <f t="shared" si="12"/>
        <v>京（2017）朝不动产权第0031070号</v>
      </c>
      <c r="AX72" s="24" t="str">
        <f t="shared" si="13"/>
        <v>701-3</v>
      </c>
      <c r="AY72" s="42">
        <f t="shared" si="14"/>
        <v>8.07</v>
      </c>
      <c r="AZ72" s="16">
        <f t="shared" si="15"/>
        <v>80.06</v>
      </c>
      <c r="BA72" s="16">
        <f t="shared" si="16"/>
        <v>80.06</v>
      </c>
      <c r="BB72" s="16">
        <f t="shared" si="17"/>
        <v>80.06</v>
      </c>
      <c r="BC72" s="16">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59" t="str">
        <f>面积表!B67</f>
        <v>京（2017）朝不动产权第0031447号</v>
      </c>
      <c r="C73" s="1259" t="str">
        <f>面积表!C67</f>
        <v>701-4</v>
      </c>
      <c r="D73" s="2096" t="s">
        <v>3434</v>
      </c>
      <c r="E73" s="16">
        <f t="shared" si="7"/>
        <v>8.07</v>
      </c>
      <c r="F73" s="32"/>
      <c r="G73" s="33">
        <f t="shared" si="8"/>
        <v>80.06</v>
      </c>
      <c r="H73" s="20">
        <f t="shared" si="9"/>
        <v>80.06</v>
      </c>
      <c r="I73" s="2097">
        <f>面积表!G67</f>
        <v>80.06</v>
      </c>
      <c r="J73" s="2097">
        <v>0</v>
      </c>
      <c r="K73" s="2097">
        <v>0</v>
      </c>
      <c r="L73" s="2097">
        <v>0</v>
      </c>
      <c r="M73" s="39"/>
      <c r="N73" s="39"/>
      <c r="O73" s="39"/>
      <c r="P73" s="39"/>
      <c r="Q73" s="39"/>
      <c r="R73" s="39"/>
      <c r="S73" s="39"/>
      <c r="T73" s="39"/>
      <c r="U73" s="39"/>
      <c r="V73" s="39"/>
      <c r="W73" s="39"/>
      <c r="X73" s="39"/>
      <c r="Y73" s="39"/>
      <c r="Z73" s="39"/>
      <c r="AA73" s="39"/>
      <c r="AB73" s="39"/>
      <c r="AC73" s="16">
        <f t="shared" si="10"/>
        <v>0</v>
      </c>
      <c r="AD73" s="2098"/>
      <c r="AE73" s="2098"/>
      <c r="AF73" s="2098"/>
      <c r="AG73" s="2098"/>
      <c r="AH73" s="2098"/>
      <c r="AI73" s="2098"/>
      <c r="AJ73" s="2098"/>
      <c r="AK73" s="2098"/>
      <c r="AL73" s="2098"/>
      <c r="AM73" s="2098"/>
      <c r="AN73" s="2098"/>
      <c r="AO73" s="2098"/>
      <c r="AP73" s="2098"/>
      <c r="AQ73" s="2098"/>
      <c r="AR73" s="2098"/>
      <c r="AS73" s="2098"/>
      <c r="AT73" s="2099"/>
      <c r="AU73" s="2100"/>
      <c r="AV73" s="24">
        <f t="shared" si="11"/>
        <v>0</v>
      </c>
      <c r="AW73" s="24" t="str">
        <f t="shared" si="12"/>
        <v>京（2017）朝不动产权第0031447号</v>
      </c>
      <c r="AX73" s="24" t="str">
        <f t="shared" si="13"/>
        <v>701-4</v>
      </c>
      <c r="AY73" s="42">
        <f t="shared" si="14"/>
        <v>8.07</v>
      </c>
      <c r="AZ73" s="16">
        <f t="shared" si="15"/>
        <v>80.06</v>
      </c>
      <c r="BA73" s="16">
        <f t="shared" si="16"/>
        <v>80.06</v>
      </c>
      <c r="BB73" s="16">
        <f t="shared" si="17"/>
        <v>80.06</v>
      </c>
      <c r="BC73" s="16">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59" t="str">
        <f>面积表!B68</f>
        <v>京（2017）朝不动产权第0031202号</v>
      </c>
      <c r="C74" s="1259" t="str">
        <f>面积表!C68</f>
        <v>701-5</v>
      </c>
      <c r="D74" s="2096" t="s">
        <v>3434</v>
      </c>
      <c r="E74" s="16">
        <f t="shared" si="7"/>
        <v>10.07</v>
      </c>
      <c r="F74" s="32"/>
      <c r="G74" s="33">
        <f t="shared" si="8"/>
        <v>99.81</v>
      </c>
      <c r="H74" s="20">
        <f t="shared" si="9"/>
        <v>99.81</v>
      </c>
      <c r="I74" s="2097">
        <f>面积表!G68</f>
        <v>99.81</v>
      </c>
      <c r="J74" s="2097">
        <v>0</v>
      </c>
      <c r="K74" s="2097">
        <v>0</v>
      </c>
      <c r="L74" s="2097">
        <v>0</v>
      </c>
      <c r="M74" s="39"/>
      <c r="N74" s="39"/>
      <c r="O74" s="39"/>
      <c r="P74" s="39"/>
      <c r="Q74" s="39"/>
      <c r="R74" s="39"/>
      <c r="S74" s="39"/>
      <c r="T74" s="39"/>
      <c r="U74" s="39"/>
      <c r="V74" s="39"/>
      <c r="W74" s="39"/>
      <c r="X74" s="39"/>
      <c r="Y74" s="39"/>
      <c r="Z74" s="39"/>
      <c r="AA74" s="39"/>
      <c r="AB74" s="39"/>
      <c r="AC74" s="16">
        <f t="shared" si="10"/>
        <v>0</v>
      </c>
      <c r="AD74" s="2098"/>
      <c r="AE74" s="2098"/>
      <c r="AF74" s="2098"/>
      <c r="AG74" s="2098"/>
      <c r="AH74" s="2098"/>
      <c r="AI74" s="2098"/>
      <c r="AJ74" s="2098"/>
      <c r="AK74" s="2098"/>
      <c r="AL74" s="2098"/>
      <c r="AM74" s="2098"/>
      <c r="AN74" s="2098"/>
      <c r="AO74" s="2098"/>
      <c r="AP74" s="2098"/>
      <c r="AQ74" s="2098"/>
      <c r="AR74" s="2098"/>
      <c r="AS74" s="2098"/>
      <c r="AT74" s="2099"/>
      <c r="AU74" s="2100"/>
      <c r="AV74" s="24">
        <f t="shared" si="11"/>
        <v>0</v>
      </c>
      <c r="AW74" s="24" t="str">
        <f t="shared" si="12"/>
        <v>京（2017）朝不动产权第0031202号</v>
      </c>
      <c r="AX74" s="24" t="str">
        <f t="shared" si="13"/>
        <v>701-5</v>
      </c>
      <c r="AY74" s="42">
        <f t="shared" si="14"/>
        <v>10.07</v>
      </c>
      <c r="AZ74" s="16">
        <f t="shared" si="15"/>
        <v>99.81</v>
      </c>
      <c r="BA74" s="16">
        <f t="shared" si="16"/>
        <v>99.81</v>
      </c>
      <c r="BB74" s="16">
        <f t="shared" si="17"/>
        <v>99.81</v>
      </c>
      <c r="BC74" s="16">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59" t="str">
        <f>面积表!B69</f>
        <v>京（2017）朝不动产权第0031209号</v>
      </c>
      <c r="C75" s="1259" t="str">
        <f>面积表!C69</f>
        <v>701-6</v>
      </c>
      <c r="D75" s="2096" t="s">
        <v>3434</v>
      </c>
      <c r="E75" s="16">
        <f t="shared" si="7"/>
        <v>8.4</v>
      </c>
      <c r="F75" s="32"/>
      <c r="G75" s="33">
        <f t="shared" si="8"/>
        <v>83.28</v>
      </c>
      <c r="H75" s="20">
        <f t="shared" si="9"/>
        <v>83.28</v>
      </c>
      <c r="I75" s="2097">
        <f>面积表!G69</f>
        <v>83.28</v>
      </c>
      <c r="J75" s="2097">
        <v>0</v>
      </c>
      <c r="K75" s="2097">
        <v>0</v>
      </c>
      <c r="L75" s="2097">
        <v>0</v>
      </c>
      <c r="M75" s="39"/>
      <c r="N75" s="39"/>
      <c r="O75" s="39"/>
      <c r="P75" s="39"/>
      <c r="Q75" s="39"/>
      <c r="R75" s="39"/>
      <c r="S75" s="39"/>
      <c r="T75" s="39"/>
      <c r="U75" s="39"/>
      <c r="V75" s="39"/>
      <c r="W75" s="39"/>
      <c r="X75" s="39"/>
      <c r="Y75" s="39"/>
      <c r="Z75" s="39"/>
      <c r="AA75" s="39"/>
      <c r="AB75" s="39"/>
      <c r="AC75" s="16">
        <f t="shared" si="10"/>
        <v>0</v>
      </c>
      <c r="AD75" s="2098"/>
      <c r="AE75" s="2098"/>
      <c r="AF75" s="2098"/>
      <c r="AG75" s="2098"/>
      <c r="AH75" s="2098"/>
      <c r="AI75" s="2098"/>
      <c r="AJ75" s="2098"/>
      <c r="AK75" s="2098"/>
      <c r="AL75" s="2098"/>
      <c r="AM75" s="2098"/>
      <c r="AN75" s="2098"/>
      <c r="AO75" s="2098"/>
      <c r="AP75" s="2098"/>
      <c r="AQ75" s="2098"/>
      <c r="AR75" s="2098"/>
      <c r="AS75" s="2098"/>
      <c r="AT75" s="2099"/>
      <c r="AU75" s="2100"/>
      <c r="AV75" s="24">
        <f t="shared" si="11"/>
        <v>0</v>
      </c>
      <c r="AW75" s="24" t="str">
        <f t="shared" si="12"/>
        <v>京（2017）朝不动产权第0031209号</v>
      </c>
      <c r="AX75" s="24" t="str">
        <f t="shared" si="13"/>
        <v>701-6</v>
      </c>
      <c r="AY75" s="42">
        <f t="shared" si="14"/>
        <v>8.4</v>
      </c>
      <c r="AZ75" s="16">
        <f t="shared" si="15"/>
        <v>83.28</v>
      </c>
      <c r="BA75" s="16">
        <f t="shared" si="16"/>
        <v>83.28</v>
      </c>
      <c r="BB75" s="16">
        <f t="shared" si="17"/>
        <v>83.28</v>
      </c>
      <c r="BC75" s="16">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59" t="str">
        <f>面积表!B70</f>
        <v>京（2017）朝不动产权第0031309号</v>
      </c>
      <c r="C76" s="1259" t="str">
        <f>面积表!C70</f>
        <v>701-7</v>
      </c>
      <c r="D76" s="2096" t="s">
        <v>3434</v>
      </c>
      <c r="E76" s="16">
        <f t="shared" si="7"/>
        <v>10.87</v>
      </c>
      <c r="F76" s="32"/>
      <c r="G76" s="33">
        <f t="shared" si="8"/>
        <v>107.74</v>
      </c>
      <c r="H76" s="20">
        <f t="shared" si="9"/>
        <v>107.74</v>
      </c>
      <c r="I76" s="2097">
        <f>面积表!G70</f>
        <v>107.74</v>
      </c>
      <c r="J76" s="2097">
        <v>0</v>
      </c>
      <c r="K76" s="2097">
        <v>0</v>
      </c>
      <c r="L76" s="2097">
        <v>0</v>
      </c>
      <c r="M76" s="39"/>
      <c r="N76" s="39"/>
      <c r="O76" s="39"/>
      <c r="P76" s="39"/>
      <c r="Q76" s="39"/>
      <c r="R76" s="39"/>
      <c r="S76" s="39"/>
      <c r="T76" s="39"/>
      <c r="U76" s="39"/>
      <c r="V76" s="39"/>
      <c r="W76" s="39"/>
      <c r="X76" s="39"/>
      <c r="Y76" s="39"/>
      <c r="Z76" s="39"/>
      <c r="AA76" s="39"/>
      <c r="AB76" s="39"/>
      <c r="AC76" s="16">
        <f t="shared" si="10"/>
        <v>0</v>
      </c>
      <c r="AD76" s="2098"/>
      <c r="AE76" s="2098"/>
      <c r="AF76" s="2098"/>
      <c r="AG76" s="2098"/>
      <c r="AH76" s="2098"/>
      <c r="AI76" s="2098"/>
      <c r="AJ76" s="2098"/>
      <c r="AK76" s="2098"/>
      <c r="AL76" s="2098"/>
      <c r="AM76" s="2098"/>
      <c r="AN76" s="2098"/>
      <c r="AO76" s="2098"/>
      <c r="AP76" s="2098"/>
      <c r="AQ76" s="2098"/>
      <c r="AR76" s="2098"/>
      <c r="AS76" s="2098"/>
      <c r="AT76" s="2099"/>
      <c r="AU76" s="2100"/>
      <c r="AV76" s="24">
        <f t="shared" si="11"/>
        <v>0</v>
      </c>
      <c r="AW76" s="24" t="str">
        <f t="shared" si="12"/>
        <v>京（2017）朝不动产权第0031309号</v>
      </c>
      <c r="AX76" s="24" t="str">
        <f t="shared" si="13"/>
        <v>701-7</v>
      </c>
      <c r="AY76" s="42">
        <f t="shared" si="14"/>
        <v>10.87</v>
      </c>
      <c r="AZ76" s="16">
        <f t="shared" si="15"/>
        <v>107.74</v>
      </c>
      <c r="BA76" s="16">
        <f t="shared" si="16"/>
        <v>107.74</v>
      </c>
      <c r="BB76" s="16">
        <f t="shared" si="17"/>
        <v>107.74</v>
      </c>
      <c r="BC76" s="16">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59" t="str">
        <f>面积表!B71</f>
        <v>京（2017）朝不动产权第0025335号</v>
      </c>
      <c r="C77" s="1259" t="str">
        <f>面积表!C71</f>
        <v>701-8</v>
      </c>
      <c r="D77" s="2096" t="s">
        <v>3434</v>
      </c>
      <c r="E77" s="16">
        <f t="shared" si="7"/>
        <v>8.84</v>
      </c>
      <c r="F77" s="32"/>
      <c r="G77" s="33">
        <f t="shared" si="8"/>
        <v>87.64</v>
      </c>
      <c r="H77" s="20">
        <f t="shared" si="9"/>
        <v>87.64</v>
      </c>
      <c r="I77" s="2097">
        <f>面积表!G71</f>
        <v>87.64</v>
      </c>
      <c r="J77" s="2097">
        <v>0</v>
      </c>
      <c r="K77" s="2097">
        <v>0</v>
      </c>
      <c r="L77" s="2097">
        <v>0</v>
      </c>
      <c r="M77" s="39"/>
      <c r="N77" s="39"/>
      <c r="O77" s="39"/>
      <c r="P77" s="39"/>
      <c r="Q77" s="39"/>
      <c r="R77" s="39"/>
      <c r="S77" s="39"/>
      <c r="T77" s="39"/>
      <c r="U77" s="39"/>
      <c r="V77" s="39"/>
      <c r="W77" s="39"/>
      <c r="X77" s="39"/>
      <c r="Y77" s="39"/>
      <c r="Z77" s="39"/>
      <c r="AA77" s="39"/>
      <c r="AB77" s="39"/>
      <c r="AC77" s="16">
        <f t="shared" si="10"/>
        <v>0</v>
      </c>
      <c r="AD77" s="2098"/>
      <c r="AE77" s="2098"/>
      <c r="AF77" s="2098"/>
      <c r="AG77" s="2098"/>
      <c r="AH77" s="2098"/>
      <c r="AI77" s="2098"/>
      <c r="AJ77" s="2098"/>
      <c r="AK77" s="2098"/>
      <c r="AL77" s="2098"/>
      <c r="AM77" s="2098"/>
      <c r="AN77" s="2098"/>
      <c r="AO77" s="2098"/>
      <c r="AP77" s="2098"/>
      <c r="AQ77" s="2098"/>
      <c r="AR77" s="2098"/>
      <c r="AS77" s="2098"/>
      <c r="AT77" s="2099"/>
      <c r="AU77" s="2100"/>
      <c r="AV77" s="24">
        <f t="shared" si="11"/>
        <v>0</v>
      </c>
      <c r="AW77" s="24" t="str">
        <f t="shared" si="12"/>
        <v>京（2017）朝不动产权第0025335号</v>
      </c>
      <c r="AX77" s="24" t="str">
        <f t="shared" si="13"/>
        <v>701-8</v>
      </c>
      <c r="AY77" s="42">
        <f t="shared" si="14"/>
        <v>8.84</v>
      </c>
      <c r="AZ77" s="16">
        <f t="shared" si="15"/>
        <v>87.64</v>
      </c>
      <c r="BA77" s="16">
        <f t="shared" si="16"/>
        <v>87.64</v>
      </c>
      <c r="BB77" s="16">
        <f t="shared" si="17"/>
        <v>87.64</v>
      </c>
      <c r="BC77" s="16">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59" t="str">
        <f>面积表!B72</f>
        <v>京（2017）朝不动产权第0027473号</v>
      </c>
      <c r="C78" s="1259" t="str">
        <f>面积表!C72</f>
        <v>701-9</v>
      </c>
      <c r="D78" s="2096" t="s">
        <v>3434</v>
      </c>
      <c r="E78" s="16">
        <f t="shared" si="7"/>
        <v>8.07</v>
      </c>
      <c r="F78" s="32"/>
      <c r="G78" s="33">
        <f t="shared" si="8"/>
        <v>80.06</v>
      </c>
      <c r="H78" s="20">
        <f t="shared" si="9"/>
        <v>80.06</v>
      </c>
      <c r="I78" s="2097">
        <f>面积表!G72</f>
        <v>80.06</v>
      </c>
      <c r="J78" s="2097">
        <v>0</v>
      </c>
      <c r="K78" s="2097">
        <v>0</v>
      </c>
      <c r="L78" s="2097">
        <v>0</v>
      </c>
      <c r="M78" s="39"/>
      <c r="N78" s="39"/>
      <c r="O78" s="39"/>
      <c r="P78" s="39"/>
      <c r="Q78" s="39"/>
      <c r="R78" s="39"/>
      <c r="S78" s="39"/>
      <c r="T78" s="39"/>
      <c r="U78" s="39"/>
      <c r="V78" s="39"/>
      <c r="W78" s="39"/>
      <c r="X78" s="39"/>
      <c r="Y78" s="39"/>
      <c r="Z78" s="39"/>
      <c r="AA78" s="39"/>
      <c r="AB78" s="39"/>
      <c r="AC78" s="16">
        <f t="shared" si="10"/>
        <v>0</v>
      </c>
      <c r="AD78" s="2098"/>
      <c r="AE78" s="2098"/>
      <c r="AF78" s="2098"/>
      <c r="AG78" s="2098"/>
      <c r="AH78" s="2098"/>
      <c r="AI78" s="2098"/>
      <c r="AJ78" s="2098"/>
      <c r="AK78" s="2098"/>
      <c r="AL78" s="2098"/>
      <c r="AM78" s="2098"/>
      <c r="AN78" s="2098"/>
      <c r="AO78" s="2098"/>
      <c r="AP78" s="2098"/>
      <c r="AQ78" s="2098"/>
      <c r="AR78" s="2098"/>
      <c r="AS78" s="2098"/>
      <c r="AT78" s="2099"/>
      <c r="AU78" s="2100"/>
      <c r="AV78" s="24">
        <f t="shared" si="11"/>
        <v>0</v>
      </c>
      <c r="AW78" s="24" t="str">
        <f t="shared" si="12"/>
        <v>京（2017）朝不动产权第0027473号</v>
      </c>
      <c r="AX78" s="24" t="str">
        <f t="shared" si="13"/>
        <v>701-9</v>
      </c>
      <c r="AY78" s="42">
        <f t="shared" si="14"/>
        <v>8.07</v>
      </c>
      <c r="AZ78" s="16">
        <f t="shared" si="15"/>
        <v>80.06</v>
      </c>
      <c r="BA78" s="16">
        <f t="shared" si="16"/>
        <v>80.06</v>
      </c>
      <c r="BB78" s="16">
        <f t="shared" si="17"/>
        <v>80.06</v>
      </c>
      <c r="BC78" s="16">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59" t="str">
        <f>面积表!B73</f>
        <v>京（2017）朝不动产权第0025261号</v>
      </c>
      <c r="C79" s="1259" t="str">
        <f>面积表!C73</f>
        <v>701-10</v>
      </c>
      <c r="D79" s="2096" t="s">
        <v>3434</v>
      </c>
      <c r="E79" s="16">
        <f t="shared" si="7"/>
        <v>8.07</v>
      </c>
      <c r="F79" s="32"/>
      <c r="G79" s="33">
        <f t="shared" si="8"/>
        <v>80.06</v>
      </c>
      <c r="H79" s="20">
        <f t="shared" si="9"/>
        <v>80.06</v>
      </c>
      <c r="I79" s="2097">
        <f>面积表!G73</f>
        <v>80.06</v>
      </c>
      <c r="J79" s="2097">
        <v>0</v>
      </c>
      <c r="K79" s="2097">
        <v>0</v>
      </c>
      <c r="L79" s="2097">
        <v>0</v>
      </c>
      <c r="M79" s="39"/>
      <c r="N79" s="39"/>
      <c r="O79" s="39"/>
      <c r="P79" s="39"/>
      <c r="Q79" s="39"/>
      <c r="R79" s="39"/>
      <c r="S79" s="39"/>
      <c r="T79" s="39"/>
      <c r="U79" s="39"/>
      <c r="V79" s="39"/>
      <c r="W79" s="39"/>
      <c r="X79" s="39"/>
      <c r="Y79" s="39"/>
      <c r="Z79" s="39"/>
      <c r="AA79" s="39"/>
      <c r="AB79" s="39"/>
      <c r="AC79" s="16">
        <f t="shared" si="10"/>
        <v>0</v>
      </c>
      <c r="AD79" s="2098"/>
      <c r="AE79" s="2098"/>
      <c r="AF79" s="2098"/>
      <c r="AG79" s="2098"/>
      <c r="AH79" s="2098"/>
      <c r="AI79" s="2098"/>
      <c r="AJ79" s="2098"/>
      <c r="AK79" s="2098"/>
      <c r="AL79" s="2098"/>
      <c r="AM79" s="2098"/>
      <c r="AN79" s="2098"/>
      <c r="AO79" s="2098"/>
      <c r="AP79" s="2098"/>
      <c r="AQ79" s="2098"/>
      <c r="AR79" s="2098"/>
      <c r="AS79" s="2098"/>
      <c r="AT79" s="2099"/>
      <c r="AU79" s="2100"/>
      <c r="AV79" s="24">
        <f t="shared" si="11"/>
        <v>0</v>
      </c>
      <c r="AW79" s="24" t="str">
        <f t="shared" si="12"/>
        <v>京（2017）朝不动产权第0025261号</v>
      </c>
      <c r="AX79" s="24" t="str">
        <f t="shared" si="13"/>
        <v>701-10</v>
      </c>
      <c r="AY79" s="42">
        <f t="shared" si="14"/>
        <v>8.07</v>
      </c>
      <c r="AZ79" s="16">
        <f t="shared" si="15"/>
        <v>80.06</v>
      </c>
      <c r="BA79" s="16">
        <f t="shared" si="16"/>
        <v>80.06</v>
      </c>
      <c r="BB79" s="16">
        <f t="shared" si="17"/>
        <v>80.06</v>
      </c>
      <c r="BC79" s="16">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59" t="str">
        <f>面积表!B74</f>
        <v>京（2017）朝不动产权第0025263号</v>
      </c>
      <c r="C80" s="1259" t="str">
        <f>面积表!C74</f>
        <v>701-11</v>
      </c>
      <c r="D80" s="2096" t="s">
        <v>3434</v>
      </c>
      <c r="E80" s="16">
        <f t="shared" si="7"/>
        <v>8.07</v>
      </c>
      <c r="F80" s="32"/>
      <c r="G80" s="33">
        <f t="shared" si="8"/>
        <v>80.06</v>
      </c>
      <c r="H80" s="20">
        <f t="shared" si="9"/>
        <v>80.06</v>
      </c>
      <c r="I80" s="2097">
        <f>面积表!G74</f>
        <v>80.06</v>
      </c>
      <c r="J80" s="2097">
        <v>0</v>
      </c>
      <c r="K80" s="2097">
        <v>0</v>
      </c>
      <c r="L80" s="2097">
        <v>0</v>
      </c>
      <c r="M80" s="39"/>
      <c r="N80" s="39"/>
      <c r="O80" s="39"/>
      <c r="P80" s="39"/>
      <c r="Q80" s="39"/>
      <c r="R80" s="39"/>
      <c r="S80" s="39"/>
      <c r="T80" s="39"/>
      <c r="U80" s="39"/>
      <c r="V80" s="39"/>
      <c r="W80" s="39"/>
      <c r="X80" s="39"/>
      <c r="Y80" s="39"/>
      <c r="Z80" s="39"/>
      <c r="AA80" s="39"/>
      <c r="AB80" s="39"/>
      <c r="AC80" s="16">
        <f t="shared" si="10"/>
        <v>0</v>
      </c>
      <c r="AD80" s="2098"/>
      <c r="AE80" s="2098"/>
      <c r="AF80" s="2098"/>
      <c r="AG80" s="2098"/>
      <c r="AH80" s="2098"/>
      <c r="AI80" s="2098"/>
      <c r="AJ80" s="2098"/>
      <c r="AK80" s="2098"/>
      <c r="AL80" s="2098"/>
      <c r="AM80" s="2098"/>
      <c r="AN80" s="2098"/>
      <c r="AO80" s="2098"/>
      <c r="AP80" s="2098"/>
      <c r="AQ80" s="2098"/>
      <c r="AR80" s="2098"/>
      <c r="AS80" s="2098"/>
      <c r="AT80" s="2099"/>
      <c r="AU80" s="2100"/>
      <c r="AV80" s="24">
        <f t="shared" si="11"/>
        <v>0</v>
      </c>
      <c r="AW80" s="24" t="str">
        <f t="shared" si="12"/>
        <v>京（2017）朝不动产权第0025263号</v>
      </c>
      <c r="AX80" s="24" t="str">
        <f t="shared" si="13"/>
        <v>701-11</v>
      </c>
      <c r="AY80" s="42">
        <f t="shared" si="14"/>
        <v>8.07</v>
      </c>
      <c r="AZ80" s="16">
        <f t="shared" si="15"/>
        <v>80.06</v>
      </c>
      <c r="BA80" s="16">
        <f t="shared" si="16"/>
        <v>80.06</v>
      </c>
      <c r="BB80" s="16">
        <f t="shared" si="17"/>
        <v>80.06</v>
      </c>
      <c r="BC80" s="16">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59" t="str">
        <f>面积表!B75</f>
        <v>京（2017）朝不动产权第0025254号</v>
      </c>
      <c r="C81" s="1259" t="str">
        <f>面积表!C75</f>
        <v>701-12</v>
      </c>
      <c r="D81" s="2096" t="s">
        <v>3434</v>
      </c>
      <c r="E81" s="16">
        <f t="shared" si="7"/>
        <v>10.050000000000001</v>
      </c>
      <c r="F81" s="32"/>
      <c r="G81" s="33">
        <f t="shared" si="8"/>
        <v>99.64</v>
      </c>
      <c r="H81" s="20">
        <f t="shared" si="9"/>
        <v>99.64</v>
      </c>
      <c r="I81" s="2097">
        <f>面积表!G75</f>
        <v>99.64</v>
      </c>
      <c r="J81" s="2097">
        <v>0</v>
      </c>
      <c r="K81" s="2097">
        <v>0</v>
      </c>
      <c r="L81" s="2097">
        <v>0</v>
      </c>
      <c r="M81" s="39"/>
      <c r="N81" s="39"/>
      <c r="O81" s="39"/>
      <c r="P81" s="39"/>
      <c r="Q81" s="39"/>
      <c r="R81" s="39"/>
      <c r="S81" s="39"/>
      <c r="T81" s="39"/>
      <c r="U81" s="39"/>
      <c r="V81" s="39"/>
      <c r="W81" s="39"/>
      <c r="X81" s="39"/>
      <c r="Y81" s="39"/>
      <c r="Z81" s="39"/>
      <c r="AA81" s="39"/>
      <c r="AB81" s="39"/>
      <c r="AC81" s="16">
        <f t="shared" si="10"/>
        <v>0</v>
      </c>
      <c r="AD81" s="2098"/>
      <c r="AE81" s="2098"/>
      <c r="AF81" s="2098"/>
      <c r="AG81" s="2098"/>
      <c r="AH81" s="2098"/>
      <c r="AI81" s="2098"/>
      <c r="AJ81" s="2098"/>
      <c r="AK81" s="2098"/>
      <c r="AL81" s="2098"/>
      <c r="AM81" s="2098"/>
      <c r="AN81" s="2098"/>
      <c r="AO81" s="2098"/>
      <c r="AP81" s="2098"/>
      <c r="AQ81" s="2098"/>
      <c r="AR81" s="2098"/>
      <c r="AS81" s="2098"/>
      <c r="AT81" s="2099"/>
      <c r="AU81" s="2100"/>
      <c r="AV81" s="24">
        <f t="shared" si="11"/>
        <v>0</v>
      </c>
      <c r="AW81" s="24" t="str">
        <f t="shared" si="12"/>
        <v>京（2017）朝不动产权第0025254号</v>
      </c>
      <c r="AX81" s="24" t="str">
        <f t="shared" si="13"/>
        <v>701-12</v>
      </c>
      <c r="AY81" s="42">
        <f t="shared" si="14"/>
        <v>10.050000000000001</v>
      </c>
      <c r="AZ81" s="16">
        <f t="shared" si="15"/>
        <v>99.64</v>
      </c>
      <c r="BA81" s="16">
        <f t="shared" si="16"/>
        <v>99.64</v>
      </c>
      <c r="BB81" s="16">
        <f t="shared" si="17"/>
        <v>99.64</v>
      </c>
      <c r="BC81" s="16">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59" t="str">
        <f>面积表!B76</f>
        <v>京（2017）朝不动产权第0025251号</v>
      </c>
      <c r="C82" s="1259" t="str">
        <f>面积表!C76</f>
        <v>701-13</v>
      </c>
      <c r="D82" s="2096" t="s">
        <v>3434</v>
      </c>
      <c r="E82" s="16">
        <f t="shared" si="7"/>
        <v>8.36</v>
      </c>
      <c r="F82" s="32"/>
      <c r="G82" s="33">
        <f t="shared" si="8"/>
        <v>82.89</v>
      </c>
      <c r="H82" s="20">
        <f t="shared" si="9"/>
        <v>82.89</v>
      </c>
      <c r="I82" s="2097">
        <f>面积表!G76</f>
        <v>82.89</v>
      </c>
      <c r="J82" s="2097">
        <v>0</v>
      </c>
      <c r="K82" s="2097">
        <v>0</v>
      </c>
      <c r="L82" s="2097">
        <v>0</v>
      </c>
      <c r="M82" s="39"/>
      <c r="N82" s="39"/>
      <c r="O82" s="39"/>
      <c r="P82" s="39"/>
      <c r="Q82" s="39"/>
      <c r="R82" s="39"/>
      <c r="S82" s="39"/>
      <c r="T82" s="39"/>
      <c r="U82" s="39"/>
      <c r="V82" s="39"/>
      <c r="W82" s="39"/>
      <c r="X82" s="39"/>
      <c r="Y82" s="39"/>
      <c r="Z82" s="39"/>
      <c r="AA82" s="39"/>
      <c r="AB82" s="39"/>
      <c r="AC82" s="16">
        <f t="shared" si="10"/>
        <v>0</v>
      </c>
      <c r="AD82" s="2098"/>
      <c r="AE82" s="2098"/>
      <c r="AF82" s="2098"/>
      <c r="AG82" s="2098"/>
      <c r="AH82" s="2098"/>
      <c r="AI82" s="2098"/>
      <c r="AJ82" s="2098"/>
      <c r="AK82" s="2098"/>
      <c r="AL82" s="2098"/>
      <c r="AM82" s="2098"/>
      <c r="AN82" s="2098"/>
      <c r="AO82" s="2098"/>
      <c r="AP82" s="2098"/>
      <c r="AQ82" s="2098"/>
      <c r="AR82" s="2098"/>
      <c r="AS82" s="2098"/>
      <c r="AT82" s="2099"/>
      <c r="AU82" s="2100"/>
      <c r="AV82" s="24">
        <f t="shared" si="11"/>
        <v>0</v>
      </c>
      <c r="AW82" s="24" t="str">
        <f t="shared" si="12"/>
        <v>京（2017）朝不动产权第0025251号</v>
      </c>
      <c r="AX82" s="24" t="str">
        <f t="shared" si="13"/>
        <v>701-13</v>
      </c>
      <c r="AY82" s="42">
        <f t="shared" si="14"/>
        <v>8.36</v>
      </c>
      <c r="AZ82" s="16">
        <f t="shared" si="15"/>
        <v>82.89</v>
      </c>
      <c r="BA82" s="16">
        <f t="shared" si="16"/>
        <v>82.89</v>
      </c>
      <c r="BB82" s="16">
        <f t="shared" si="17"/>
        <v>82.89</v>
      </c>
      <c r="BC82" s="16">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59" t="str">
        <f>面积表!B77</f>
        <v>京（2017）朝不动产权第0027583号</v>
      </c>
      <c r="C83" s="1259" t="str">
        <f>面积表!C77</f>
        <v>701-14</v>
      </c>
      <c r="D83" s="2096" t="s">
        <v>3434</v>
      </c>
      <c r="E83" s="16">
        <f t="shared" si="7"/>
        <v>7.65</v>
      </c>
      <c r="F83" s="32"/>
      <c r="G83" s="33">
        <f t="shared" si="8"/>
        <v>75.83</v>
      </c>
      <c r="H83" s="20">
        <f t="shared" si="9"/>
        <v>75.83</v>
      </c>
      <c r="I83" s="2097">
        <f>面积表!G77</f>
        <v>75.83</v>
      </c>
      <c r="J83" s="2097">
        <v>0</v>
      </c>
      <c r="K83" s="2097">
        <v>0</v>
      </c>
      <c r="L83" s="2097">
        <v>0</v>
      </c>
      <c r="M83" s="39"/>
      <c r="N83" s="39"/>
      <c r="O83" s="39"/>
      <c r="P83" s="39"/>
      <c r="Q83" s="39"/>
      <c r="R83" s="39"/>
      <c r="S83" s="39"/>
      <c r="T83" s="39"/>
      <c r="U83" s="39"/>
      <c r="V83" s="39"/>
      <c r="W83" s="39"/>
      <c r="X83" s="39"/>
      <c r="Y83" s="39"/>
      <c r="Z83" s="39"/>
      <c r="AA83" s="39"/>
      <c r="AB83" s="39"/>
      <c r="AC83" s="16">
        <f t="shared" si="10"/>
        <v>0</v>
      </c>
      <c r="AD83" s="2098"/>
      <c r="AE83" s="2098"/>
      <c r="AF83" s="2098"/>
      <c r="AG83" s="2098"/>
      <c r="AH83" s="2098"/>
      <c r="AI83" s="2098"/>
      <c r="AJ83" s="2098"/>
      <c r="AK83" s="2098"/>
      <c r="AL83" s="2098"/>
      <c r="AM83" s="2098"/>
      <c r="AN83" s="2098"/>
      <c r="AO83" s="2098"/>
      <c r="AP83" s="2098"/>
      <c r="AQ83" s="2098"/>
      <c r="AR83" s="2098"/>
      <c r="AS83" s="2098"/>
      <c r="AT83" s="2099"/>
      <c r="AU83" s="2100"/>
      <c r="AV83" s="24">
        <f t="shared" si="11"/>
        <v>0</v>
      </c>
      <c r="AW83" s="24" t="str">
        <f t="shared" si="12"/>
        <v>京（2017）朝不动产权第0027583号</v>
      </c>
      <c r="AX83" s="24" t="str">
        <f t="shared" si="13"/>
        <v>701-14</v>
      </c>
      <c r="AY83" s="42">
        <f t="shared" si="14"/>
        <v>7.65</v>
      </c>
      <c r="AZ83" s="16">
        <f t="shared" si="15"/>
        <v>75.83</v>
      </c>
      <c r="BA83" s="16">
        <f t="shared" si="16"/>
        <v>75.83</v>
      </c>
      <c r="BB83" s="16">
        <f t="shared" si="17"/>
        <v>75.83</v>
      </c>
      <c r="BC83" s="16">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59" t="str">
        <f>面积表!B78</f>
        <v>京（2017）朝不动产权第0031317号</v>
      </c>
      <c r="C84" s="1259" t="str">
        <f>面积表!C78</f>
        <v>801-1</v>
      </c>
      <c r="D84" s="2096" t="s">
        <v>3434</v>
      </c>
      <c r="E84" s="16">
        <f t="shared" si="7"/>
        <v>8.8800000000000008</v>
      </c>
      <c r="F84" s="32"/>
      <c r="G84" s="33">
        <f t="shared" si="8"/>
        <v>88.04</v>
      </c>
      <c r="H84" s="20">
        <f t="shared" si="9"/>
        <v>88.04</v>
      </c>
      <c r="I84" s="2097">
        <f>面积表!G78</f>
        <v>88.04</v>
      </c>
      <c r="J84" s="2097">
        <v>0</v>
      </c>
      <c r="K84" s="2097">
        <v>0</v>
      </c>
      <c r="L84" s="2097">
        <v>0</v>
      </c>
      <c r="M84" s="39"/>
      <c r="N84" s="39"/>
      <c r="O84" s="39"/>
      <c r="P84" s="39"/>
      <c r="Q84" s="39"/>
      <c r="R84" s="39"/>
      <c r="S84" s="39"/>
      <c r="T84" s="39"/>
      <c r="U84" s="39"/>
      <c r="V84" s="39"/>
      <c r="W84" s="39"/>
      <c r="X84" s="39"/>
      <c r="Y84" s="39"/>
      <c r="Z84" s="39"/>
      <c r="AA84" s="39"/>
      <c r="AB84" s="39"/>
      <c r="AC84" s="16">
        <f t="shared" si="10"/>
        <v>0</v>
      </c>
      <c r="AD84" s="2098"/>
      <c r="AE84" s="2098"/>
      <c r="AF84" s="2098"/>
      <c r="AG84" s="2098"/>
      <c r="AH84" s="2098"/>
      <c r="AI84" s="2098"/>
      <c r="AJ84" s="2098"/>
      <c r="AK84" s="2098"/>
      <c r="AL84" s="2098"/>
      <c r="AM84" s="2098"/>
      <c r="AN84" s="2098"/>
      <c r="AO84" s="2098"/>
      <c r="AP84" s="2098"/>
      <c r="AQ84" s="2098"/>
      <c r="AR84" s="2098"/>
      <c r="AS84" s="2098"/>
      <c r="AT84" s="2099"/>
      <c r="AU84" s="2100"/>
      <c r="AV84" s="24">
        <f t="shared" si="11"/>
        <v>0</v>
      </c>
      <c r="AW84" s="24" t="str">
        <f t="shared" si="12"/>
        <v>京（2017）朝不动产权第0031317号</v>
      </c>
      <c r="AX84" s="24" t="str">
        <f t="shared" si="13"/>
        <v>801-1</v>
      </c>
      <c r="AY84" s="42">
        <f t="shared" si="14"/>
        <v>8.8800000000000008</v>
      </c>
      <c r="AZ84" s="16">
        <f t="shared" si="15"/>
        <v>88.04</v>
      </c>
      <c r="BA84" s="16">
        <f t="shared" si="16"/>
        <v>88.04</v>
      </c>
      <c r="BB84" s="16">
        <f t="shared" si="17"/>
        <v>88.04</v>
      </c>
      <c r="BC84" s="16">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59" t="str">
        <f>面积表!B79</f>
        <v>京（2017）朝不动产权第0019962号</v>
      </c>
      <c r="C85" s="1259" t="str">
        <f>面积表!C79</f>
        <v>801-2</v>
      </c>
      <c r="D85" s="2096" t="s">
        <v>3434</v>
      </c>
      <c r="E85" s="16">
        <f t="shared" si="7"/>
        <v>8.07</v>
      </c>
      <c r="F85" s="32"/>
      <c r="G85" s="33">
        <f t="shared" si="8"/>
        <v>80.06</v>
      </c>
      <c r="H85" s="20">
        <f t="shared" si="9"/>
        <v>80.06</v>
      </c>
      <c r="I85" s="2097">
        <f>面积表!G79</f>
        <v>80.06</v>
      </c>
      <c r="J85" s="2097">
        <v>0</v>
      </c>
      <c r="K85" s="2097">
        <v>0</v>
      </c>
      <c r="L85" s="2097">
        <v>0</v>
      </c>
      <c r="M85" s="39"/>
      <c r="N85" s="39"/>
      <c r="O85" s="39"/>
      <c r="P85" s="39"/>
      <c r="Q85" s="39"/>
      <c r="R85" s="39"/>
      <c r="S85" s="39"/>
      <c r="T85" s="39"/>
      <c r="U85" s="39"/>
      <c r="V85" s="39"/>
      <c r="W85" s="39"/>
      <c r="X85" s="39"/>
      <c r="Y85" s="39"/>
      <c r="Z85" s="39"/>
      <c r="AA85" s="39"/>
      <c r="AB85" s="39"/>
      <c r="AC85" s="16">
        <f t="shared" si="10"/>
        <v>0</v>
      </c>
      <c r="AD85" s="2098"/>
      <c r="AE85" s="2098"/>
      <c r="AF85" s="2098"/>
      <c r="AG85" s="2098"/>
      <c r="AH85" s="2098"/>
      <c r="AI85" s="2098"/>
      <c r="AJ85" s="2098"/>
      <c r="AK85" s="2098"/>
      <c r="AL85" s="2098"/>
      <c r="AM85" s="2098"/>
      <c r="AN85" s="2098"/>
      <c r="AO85" s="2098"/>
      <c r="AP85" s="2098"/>
      <c r="AQ85" s="2098"/>
      <c r="AR85" s="2098"/>
      <c r="AS85" s="2098"/>
      <c r="AT85" s="2099"/>
      <c r="AU85" s="2100"/>
      <c r="AV85" s="24">
        <f t="shared" si="11"/>
        <v>0</v>
      </c>
      <c r="AW85" s="24" t="str">
        <f t="shared" si="12"/>
        <v>京（2017）朝不动产权第0019962号</v>
      </c>
      <c r="AX85" s="24" t="str">
        <f t="shared" si="13"/>
        <v>801-2</v>
      </c>
      <c r="AY85" s="42">
        <f t="shared" si="14"/>
        <v>8.07</v>
      </c>
      <c r="AZ85" s="16">
        <f t="shared" si="15"/>
        <v>80.06</v>
      </c>
      <c r="BA85" s="16">
        <f t="shared" si="16"/>
        <v>80.06</v>
      </c>
      <c r="BB85" s="16">
        <f t="shared" si="17"/>
        <v>80.06</v>
      </c>
      <c r="BC85" s="16">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59" t="str">
        <f>面积表!B80</f>
        <v>京（2017）朝不动产权第0031411号</v>
      </c>
      <c r="C86" s="1259" t="str">
        <f>面积表!C80</f>
        <v>801-3</v>
      </c>
      <c r="D86" s="2096" t="s">
        <v>3434</v>
      </c>
      <c r="E86" s="16">
        <f t="shared" si="7"/>
        <v>8.07</v>
      </c>
      <c r="F86" s="32"/>
      <c r="G86" s="33">
        <f t="shared" si="8"/>
        <v>80.06</v>
      </c>
      <c r="H86" s="20">
        <f t="shared" si="9"/>
        <v>80.06</v>
      </c>
      <c r="I86" s="2097">
        <f>面积表!G80</f>
        <v>80.06</v>
      </c>
      <c r="J86" s="2097">
        <v>0</v>
      </c>
      <c r="K86" s="2097">
        <v>0</v>
      </c>
      <c r="L86" s="2097">
        <v>0</v>
      </c>
      <c r="M86" s="39"/>
      <c r="N86" s="39"/>
      <c r="O86" s="39"/>
      <c r="P86" s="39"/>
      <c r="Q86" s="39"/>
      <c r="R86" s="39"/>
      <c r="S86" s="39"/>
      <c r="T86" s="39"/>
      <c r="U86" s="39"/>
      <c r="V86" s="39"/>
      <c r="W86" s="39"/>
      <c r="X86" s="39"/>
      <c r="Y86" s="39"/>
      <c r="Z86" s="39"/>
      <c r="AA86" s="39"/>
      <c r="AB86" s="39"/>
      <c r="AC86" s="16">
        <f t="shared" si="10"/>
        <v>0</v>
      </c>
      <c r="AD86" s="2098"/>
      <c r="AE86" s="2098"/>
      <c r="AF86" s="2098"/>
      <c r="AG86" s="2098"/>
      <c r="AH86" s="2098"/>
      <c r="AI86" s="2098"/>
      <c r="AJ86" s="2098"/>
      <c r="AK86" s="2098"/>
      <c r="AL86" s="2098"/>
      <c r="AM86" s="2098"/>
      <c r="AN86" s="2098"/>
      <c r="AO86" s="2098"/>
      <c r="AP86" s="2098"/>
      <c r="AQ86" s="2098"/>
      <c r="AR86" s="2098"/>
      <c r="AS86" s="2098"/>
      <c r="AT86" s="2099"/>
      <c r="AU86" s="2100"/>
      <c r="AV86" s="24">
        <f t="shared" si="11"/>
        <v>0</v>
      </c>
      <c r="AW86" s="24" t="str">
        <f t="shared" si="12"/>
        <v>京（2017）朝不动产权第0031411号</v>
      </c>
      <c r="AX86" s="24" t="str">
        <f t="shared" si="13"/>
        <v>801-3</v>
      </c>
      <c r="AY86" s="42">
        <f t="shared" si="14"/>
        <v>8.07</v>
      </c>
      <c r="AZ86" s="16">
        <f t="shared" si="15"/>
        <v>80.06</v>
      </c>
      <c r="BA86" s="16">
        <f t="shared" si="16"/>
        <v>80.06</v>
      </c>
      <c r="BB86" s="16">
        <f t="shared" si="17"/>
        <v>80.06</v>
      </c>
      <c r="BC86" s="16">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59" t="str">
        <f>面积表!B81</f>
        <v>京（2017）朝不动产权第0031406号</v>
      </c>
      <c r="C87" s="1259" t="str">
        <f>面积表!C81</f>
        <v>801-4</v>
      </c>
      <c r="D87" s="2096" t="s">
        <v>3434</v>
      </c>
      <c r="E87" s="16">
        <f t="shared" si="7"/>
        <v>8.07</v>
      </c>
      <c r="F87" s="32"/>
      <c r="G87" s="33">
        <f t="shared" si="8"/>
        <v>80.06</v>
      </c>
      <c r="H87" s="20">
        <f t="shared" si="9"/>
        <v>80.06</v>
      </c>
      <c r="I87" s="2097">
        <f>面积表!G81</f>
        <v>80.06</v>
      </c>
      <c r="J87" s="2097">
        <v>0</v>
      </c>
      <c r="K87" s="2097">
        <v>0</v>
      </c>
      <c r="L87" s="2097">
        <v>0</v>
      </c>
      <c r="M87" s="39"/>
      <c r="N87" s="39"/>
      <c r="O87" s="39"/>
      <c r="P87" s="39"/>
      <c r="Q87" s="39"/>
      <c r="R87" s="39"/>
      <c r="S87" s="39"/>
      <c r="T87" s="39"/>
      <c r="U87" s="39"/>
      <c r="V87" s="39"/>
      <c r="W87" s="39"/>
      <c r="X87" s="39"/>
      <c r="Y87" s="39"/>
      <c r="Z87" s="39"/>
      <c r="AA87" s="39"/>
      <c r="AB87" s="39"/>
      <c r="AC87" s="16">
        <f t="shared" si="10"/>
        <v>0</v>
      </c>
      <c r="AD87" s="2098"/>
      <c r="AE87" s="2098"/>
      <c r="AF87" s="2098"/>
      <c r="AG87" s="2098"/>
      <c r="AH87" s="2098"/>
      <c r="AI87" s="2098"/>
      <c r="AJ87" s="2098"/>
      <c r="AK87" s="2098"/>
      <c r="AL87" s="2098"/>
      <c r="AM87" s="2098"/>
      <c r="AN87" s="2098"/>
      <c r="AO87" s="2098"/>
      <c r="AP87" s="2098"/>
      <c r="AQ87" s="2098"/>
      <c r="AR87" s="2098"/>
      <c r="AS87" s="2098"/>
      <c r="AT87" s="2099"/>
      <c r="AU87" s="2100"/>
      <c r="AV87" s="24">
        <f t="shared" si="11"/>
        <v>0</v>
      </c>
      <c r="AW87" s="24" t="str">
        <f t="shared" si="12"/>
        <v>京（2017）朝不动产权第0031406号</v>
      </c>
      <c r="AX87" s="24" t="str">
        <f t="shared" si="13"/>
        <v>801-4</v>
      </c>
      <c r="AY87" s="42">
        <f t="shared" si="14"/>
        <v>8.07</v>
      </c>
      <c r="AZ87" s="16">
        <f t="shared" si="15"/>
        <v>80.06</v>
      </c>
      <c r="BA87" s="16">
        <f t="shared" si="16"/>
        <v>80.06</v>
      </c>
      <c r="BB87" s="16">
        <f t="shared" si="17"/>
        <v>80.06</v>
      </c>
      <c r="BC87" s="16">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59" t="str">
        <f>面积表!B82</f>
        <v>京（2017）朝不动产权第0031391号</v>
      </c>
      <c r="C88" s="1259" t="str">
        <f>面积表!C82</f>
        <v>801-5</v>
      </c>
      <c r="D88" s="2096" t="s">
        <v>3434</v>
      </c>
      <c r="E88" s="16">
        <f t="shared" si="7"/>
        <v>10.07</v>
      </c>
      <c r="F88" s="32"/>
      <c r="G88" s="33">
        <f t="shared" si="8"/>
        <v>99.81</v>
      </c>
      <c r="H88" s="20">
        <f t="shared" si="9"/>
        <v>99.81</v>
      </c>
      <c r="I88" s="2097">
        <f>面积表!G82</f>
        <v>99.81</v>
      </c>
      <c r="J88" s="2097">
        <v>0</v>
      </c>
      <c r="K88" s="2097">
        <v>0</v>
      </c>
      <c r="L88" s="2097">
        <v>0</v>
      </c>
      <c r="M88" s="39"/>
      <c r="N88" s="39"/>
      <c r="O88" s="39"/>
      <c r="P88" s="39"/>
      <c r="Q88" s="39"/>
      <c r="R88" s="39"/>
      <c r="S88" s="39"/>
      <c r="T88" s="39"/>
      <c r="U88" s="39"/>
      <c r="V88" s="39"/>
      <c r="W88" s="39"/>
      <c r="X88" s="39"/>
      <c r="Y88" s="39"/>
      <c r="Z88" s="39"/>
      <c r="AA88" s="39"/>
      <c r="AB88" s="39"/>
      <c r="AC88" s="16">
        <f t="shared" si="10"/>
        <v>0</v>
      </c>
      <c r="AD88" s="2098"/>
      <c r="AE88" s="2098"/>
      <c r="AF88" s="2098"/>
      <c r="AG88" s="2098"/>
      <c r="AH88" s="2098"/>
      <c r="AI88" s="2098"/>
      <c r="AJ88" s="2098"/>
      <c r="AK88" s="2098"/>
      <c r="AL88" s="2098"/>
      <c r="AM88" s="2098"/>
      <c r="AN88" s="2098"/>
      <c r="AO88" s="2098"/>
      <c r="AP88" s="2098"/>
      <c r="AQ88" s="2098"/>
      <c r="AR88" s="2098"/>
      <c r="AS88" s="2098"/>
      <c r="AT88" s="2099"/>
      <c r="AU88" s="2100"/>
      <c r="AV88" s="24">
        <f t="shared" si="11"/>
        <v>0</v>
      </c>
      <c r="AW88" s="24" t="str">
        <f t="shared" si="12"/>
        <v>京（2017）朝不动产权第0031391号</v>
      </c>
      <c r="AX88" s="24" t="str">
        <f t="shared" si="13"/>
        <v>801-5</v>
      </c>
      <c r="AY88" s="42">
        <f t="shared" si="14"/>
        <v>10.07</v>
      </c>
      <c r="AZ88" s="16">
        <f t="shared" si="15"/>
        <v>99.81</v>
      </c>
      <c r="BA88" s="16">
        <f t="shared" si="16"/>
        <v>99.81</v>
      </c>
      <c r="BB88" s="16">
        <f t="shared" si="17"/>
        <v>99.81</v>
      </c>
      <c r="BC88" s="16">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59" t="str">
        <f>面积表!B83</f>
        <v>京（2017）朝不动产权第0031389号</v>
      </c>
      <c r="C89" s="1259" t="str">
        <f>面积表!C83</f>
        <v>801-6</v>
      </c>
      <c r="D89" s="2096" t="s">
        <v>3434</v>
      </c>
      <c r="E89" s="16">
        <f t="shared" si="7"/>
        <v>8.4</v>
      </c>
      <c r="F89" s="32"/>
      <c r="G89" s="33">
        <f t="shared" si="8"/>
        <v>83.28</v>
      </c>
      <c r="H89" s="20">
        <f t="shared" si="9"/>
        <v>83.28</v>
      </c>
      <c r="I89" s="2097">
        <f>面积表!G83</f>
        <v>83.28</v>
      </c>
      <c r="J89" s="2097">
        <v>0</v>
      </c>
      <c r="K89" s="2097">
        <v>0</v>
      </c>
      <c r="L89" s="2097">
        <v>0</v>
      </c>
      <c r="M89" s="39"/>
      <c r="N89" s="39"/>
      <c r="O89" s="39"/>
      <c r="P89" s="39"/>
      <c r="Q89" s="39"/>
      <c r="R89" s="39"/>
      <c r="S89" s="39"/>
      <c r="T89" s="39"/>
      <c r="U89" s="39"/>
      <c r="V89" s="39"/>
      <c r="W89" s="39"/>
      <c r="X89" s="39"/>
      <c r="Y89" s="39"/>
      <c r="Z89" s="39"/>
      <c r="AA89" s="39"/>
      <c r="AB89" s="39"/>
      <c r="AC89" s="16">
        <f t="shared" si="10"/>
        <v>0</v>
      </c>
      <c r="AD89" s="2098"/>
      <c r="AE89" s="2098"/>
      <c r="AF89" s="2098"/>
      <c r="AG89" s="2098"/>
      <c r="AH89" s="2098"/>
      <c r="AI89" s="2098"/>
      <c r="AJ89" s="2098"/>
      <c r="AK89" s="2098"/>
      <c r="AL89" s="2098"/>
      <c r="AM89" s="2098"/>
      <c r="AN89" s="2098"/>
      <c r="AO89" s="2098"/>
      <c r="AP89" s="2098"/>
      <c r="AQ89" s="2098"/>
      <c r="AR89" s="2098"/>
      <c r="AS89" s="2098"/>
      <c r="AT89" s="2099"/>
      <c r="AU89" s="2100"/>
      <c r="AV89" s="24">
        <f t="shared" si="11"/>
        <v>0</v>
      </c>
      <c r="AW89" s="24" t="str">
        <f t="shared" si="12"/>
        <v>京（2017）朝不动产权第0031389号</v>
      </c>
      <c r="AX89" s="24" t="str">
        <f t="shared" si="13"/>
        <v>801-6</v>
      </c>
      <c r="AY89" s="42">
        <f t="shared" si="14"/>
        <v>8.4</v>
      </c>
      <c r="AZ89" s="16">
        <f t="shared" si="15"/>
        <v>83.28</v>
      </c>
      <c r="BA89" s="16">
        <f t="shared" si="16"/>
        <v>83.28</v>
      </c>
      <c r="BB89" s="16">
        <f t="shared" si="17"/>
        <v>83.28</v>
      </c>
      <c r="BC89" s="16">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59" t="str">
        <f>面积表!B84</f>
        <v>京（2017）朝不动产权第0031384号</v>
      </c>
      <c r="C90" s="1259" t="str">
        <f>面积表!C84</f>
        <v>801-7</v>
      </c>
      <c r="D90" s="2096" t="s">
        <v>3434</v>
      </c>
      <c r="E90" s="16">
        <f t="shared" si="7"/>
        <v>10.87</v>
      </c>
      <c r="F90" s="32"/>
      <c r="G90" s="33">
        <f t="shared" si="8"/>
        <v>107.74</v>
      </c>
      <c r="H90" s="20">
        <f t="shared" si="9"/>
        <v>107.74</v>
      </c>
      <c r="I90" s="2097">
        <f>面积表!G84</f>
        <v>107.74</v>
      </c>
      <c r="J90" s="2097">
        <v>0</v>
      </c>
      <c r="K90" s="2097">
        <v>0</v>
      </c>
      <c r="L90" s="2097">
        <v>0</v>
      </c>
      <c r="M90" s="39"/>
      <c r="N90" s="39"/>
      <c r="O90" s="39"/>
      <c r="P90" s="39"/>
      <c r="Q90" s="39"/>
      <c r="R90" s="39"/>
      <c r="S90" s="39"/>
      <c r="T90" s="39"/>
      <c r="U90" s="39"/>
      <c r="V90" s="39"/>
      <c r="W90" s="39"/>
      <c r="X90" s="39"/>
      <c r="Y90" s="39"/>
      <c r="Z90" s="39"/>
      <c r="AA90" s="39"/>
      <c r="AB90" s="39"/>
      <c r="AC90" s="16">
        <f t="shared" si="10"/>
        <v>0</v>
      </c>
      <c r="AD90" s="2098"/>
      <c r="AE90" s="2098"/>
      <c r="AF90" s="2098"/>
      <c r="AG90" s="2098"/>
      <c r="AH90" s="2098"/>
      <c r="AI90" s="2098"/>
      <c r="AJ90" s="2098"/>
      <c r="AK90" s="2098"/>
      <c r="AL90" s="2098"/>
      <c r="AM90" s="2098"/>
      <c r="AN90" s="2098"/>
      <c r="AO90" s="2098"/>
      <c r="AP90" s="2098"/>
      <c r="AQ90" s="2098"/>
      <c r="AR90" s="2098"/>
      <c r="AS90" s="2098"/>
      <c r="AT90" s="2099"/>
      <c r="AU90" s="2100"/>
      <c r="AV90" s="24">
        <f t="shared" si="11"/>
        <v>0</v>
      </c>
      <c r="AW90" s="24" t="str">
        <f t="shared" si="12"/>
        <v>京（2017）朝不动产权第0031384号</v>
      </c>
      <c r="AX90" s="24" t="str">
        <f t="shared" si="13"/>
        <v>801-7</v>
      </c>
      <c r="AY90" s="42">
        <f t="shared" si="14"/>
        <v>10.87</v>
      </c>
      <c r="AZ90" s="16">
        <f t="shared" si="15"/>
        <v>107.74</v>
      </c>
      <c r="BA90" s="16">
        <f t="shared" si="16"/>
        <v>107.74</v>
      </c>
      <c r="BB90" s="16">
        <f t="shared" si="17"/>
        <v>107.74</v>
      </c>
      <c r="BC90" s="16">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59" t="str">
        <f>面积表!B85</f>
        <v>京（2017）朝不动产权第0031380号</v>
      </c>
      <c r="C91" s="1259" t="str">
        <f>面积表!C85</f>
        <v>801-8</v>
      </c>
      <c r="D91" s="2096" t="s">
        <v>3434</v>
      </c>
      <c r="E91" s="16">
        <f t="shared" si="7"/>
        <v>8.84</v>
      </c>
      <c r="F91" s="32"/>
      <c r="G91" s="33">
        <f t="shared" si="8"/>
        <v>87.64</v>
      </c>
      <c r="H91" s="20">
        <f t="shared" si="9"/>
        <v>87.64</v>
      </c>
      <c r="I91" s="2097">
        <f>面积表!G85</f>
        <v>87.64</v>
      </c>
      <c r="J91" s="2097">
        <v>0</v>
      </c>
      <c r="K91" s="2097">
        <v>0</v>
      </c>
      <c r="L91" s="2097">
        <v>0</v>
      </c>
      <c r="M91" s="39"/>
      <c r="N91" s="39"/>
      <c r="O91" s="39"/>
      <c r="P91" s="39"/>
      <c r="Q91" s="39"/>
      <c r="R91" s="39"/>
      <c r="S91" s="39"/>
      <c r="T91" s="39"/>
      <c r="U91" s="39"/>
      <c r="V91" s="39"/>
      <c r="W91" s="39"/>
      <c r="X91" s="39"/>
      <c r="Y91" s="39"/>
      <c r="Z91" s="39"/>
      <c r="AA91" s="39"/>
      <c r="AB91" s="39"/>
      <c r="AC91" s="16">
        <f t="shared" si="10"/>
        <v>0</v>
      </c>
      <c r="AD91" s="2098"/>
      <c r="AE91" s="2098"/>
      <c r="AF91" s="2098"/>
      <c r="AG91" s="2098"/>
      <c r="AH91" s="2098"/>
      <c r="AI91" s="2098"/>
      <c r="AJ91" s="2098"/>
      <c r="AK91" s="2098"/>
      <c r="AL91" s="2098"/>
      <c r="AM91" s="2098"/>
      <c r="AN91" s="2098"/>
      <c r="AO91" s="2098"/>
      <c r="AP91" s="2098"/>
      <c r="AQ91" s="2098"/>
      <c r="AR91" s="2098"/>
      <c r="AS91" s="2098"/>
      <c r="AT91" s="2099"/>
      <c r="AU91" s="2100"/>
      <c r="AV91" s="24">
        <f t="shared" si="11"/>
        <v>0</v>
      </c>
      <c r="AW91" s="24" t="str">
        <f t="shared" si="12"/>
        <v>京（2017）朝不动产权第0031380号</v>
      </c>
      <c r="AX91" s="24" t="str">
        <f t="shared" si="13"/>
        <v>801-8</v>
      </c>
      <c r="AY91" s="42">
        <f t="shared" si="14"/>
        <v>8.84</v>
      </c>
      <c r="AZ91" s="16">
        <f t="shared" si="15"/>
        <v>87.64</v>
      </c>
      <c r="BA91" s="16">
        <f t="shared" si="16"/>
        <v>87.64</v>
      </c>
      <c r="BB91" s="16">
        <f t="shared" si="17"/>
        <v>87.64</v>
      </c>
      <c r="BC91" s="16">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59" t="str">
        <f>面积表!B86</f>
        <v>京（2017）朝不动产权第0031376号</v>
      </c>
      <c r="C92" s="1259" t="str">
        <f>面积表!C86</f>
        <v>801-9</v>
      </c>
      <c r="D92" s="2096" t="s">
        <v>3434</v>
      </c>
      <c r="E92" s="16">
        <f t="shared" si="7"/>
        <v>8.07</v>
      </c>
      <c r="F92" s="32"/>
      <c r="G92" s="33">
        <f t="shared" si="8"/>
        <v>80.06</v>
      </c>
      <c r="H92" s="20">
        <f t="shared" si="9"/>
        <v>80.06</v>
      </c>
      <c r="I92" s="2097">
        <f>面积表!G86</f>
        <v>80.06</v>
      </c>
      <c r="J92" s="2097">
        <v>0</v>
      </c>
      <c r="K92" s="2097">
        <v>0</v>
      </c>
      <c r="L92" s="2097">
        <v>0</v>
      </c>
      <c r="M92" s="39"/>
      <c r="N92" s="39"/>
      <c r="O92" s="39"/>
      <c r="P92" s="39"/>
      <c r="Q92" s="39"/>
      <c r="R92" s="39"/>
      <c r="S92" s="39"/>
      <c r="T92" s="39"/>
      <c r="U92" s="39"/>
      <c r="V92" s="39"/>
      <c r="W92" s="39"/>
      <c r="X92" s="39"/>
      <c r="Y92" s="39"/>
      <c r="Z92" s="39"/>
      <c r="AA92" s="39"/>
      <c r="AB92" s="39"/>
      <c r="AC92" s="16">
        <f t="shared" si="10"/>
        <v>0</v>
      </c>
      <c r="AD92" s="2098"/>
      <c r="AE92" s="2098"/>
      <c r="AF92" s="2098"/>
      <c r="AG92" s="2098"/>
      <c r="AH92" s="2098"/>
      <c r="AI92" s="2098"/>
      <c r="AJ92" s="2098"/>
      <c r="AK92" s="2098"/>
      <c r="AL92" s="2098"/>
      <c r="AM92" s="2098"/>
      <c r="AN92" s="2098"/>
      <c r="AO92" s="2098"/>
      <c r="AP92" s="2098"/>
      <c r="AQ92" s="2098"/>
      <c r="AR92" s="2098"/>
      <c r="AS92" s="2098"/>
      <c r="AT92" s="2099"/>
      <c r="AU92" s="2100"/>
      <c r="AV92" s="24">
        <f t="shared" si="11"/>
        <v>0</v>
      </c>
      <c r="AW92" s="24" t="str">
        <f t="shared" si="12"/>
        <v>京（2017）朝不动产权第0031376号</v>
      </c>
      <c r="AX92" s="24" t="str">
        <f t="shared" si="13"/>
        <v>801-9</v>
      </c>
      <c r="AY92" s="42">
        <f t="shared" si="14"/>
        <v>8.07</v>
      </c>
      <c r="AZ92" s="16">
        <f t="shared" si="15"/>
        <v>80.06</v>
      </c>
      <c r="BA92" s="16">
        <f t="shared" si="16"/>
        <v>80.06</v>
      </c>
      <c r="BB92" s="16">
        <f t="shared" si="17"/>
        <v>80.06</v>
      </c>
      <c r="BC92" s="16">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59" t="str">
        <f>面积表!B87</f>
        <v>京（2017）朝不动产权第0031371号</v>
      </c>
      <c r="C93" s="1259" t="str">
        <f>面积表!C87</f>
        <v>801-10</v>
      </c>
      <c r="D93" s="2096" t="s">
        <v>3434</v>
      </c>
      <c r="E93" s="16">
        <f t="shared" si="7"/>
        <v>8.07</v>
      </c>
      <c r="F93" s="32"/>
      <c r="G93" s="33">
        <f t="shared" si="8"/>
        <v>80.06</v>
      </c>
      <c r="H93" s="20">
        <f t="shared" si="9"/>
        <v>80.06</v>
      </c>
      <c r="I93" s="2097">
        <f>面积表!G87</f>
        <v>80.06</v>
      </c>
      <c r="J93" s="2097">
        <v>0</v>
      </c>
      <c r="K93" s="2097">
        <v>0</v>
      </c>
      <c r="L93" s="2097">
        <v>0</v>
      </c>
      <c r="M93" s="39"/>
      <c r="N93" s="39"/>
      <c r="O93" s="39"/>
      <c r="P93" s="39"/>
      <c r="Q93" s="39"/>
      <c r="R93" s="39"/>
      <c r="S93" s="39"/>
      <c r="T93" s="39"/>
      <c r="U93" s="39"/>
      <c r="V93" s="39"/>
      <c r="W93" s="39"/>
      <c r="X93" s="39"/>
      <c r="Y93" s="39"/>
      <c r="Z93" s="39"/>
      <c r="AA93" s="39"/>
      <c r="AB93" s="39"/>
      <c r="AC93" s="16">
        <f t="shared" si="10"/>
        <v>0</v>
      </c>
      <c r="AD93" s="2098"/>
      <c r="AE93" s="2098"/>
      <c r="AF93" s="2098"/>
      <c r="AG93" s="2098"/>
      <c r="AH93" s="2098"/>
      <c r="AI93" s="2098"/>
      <c r="AJ93" s="2098"/>
      <c r="AK93" s="2098"/>
      <c r="AL93" s="2098"/>
      <c r="AM93" s="2098"/>
      <c r="AN93" s="2098"/>
      <c r="AO93" s="2098"/>
      <c r="AP93" s="2098"/>
      <c r="AQ93" s="2098"/>
      <c r="AR93" s="2098"/>
      <c r="AS93" s="2098"/>
      <c r="AT93" s="2099"/>
      <c r="AU93" s="2100"/>
      <c r="AV93" s="24">
        <f t="shared" si="11"/>
        <v>0</v>
      </c>
      <c r="AW93" s="24" t="str">
        <f t="shared" si="12"/>
        <v>京（2017）朝不动产权第0031371号</v>
      </c>
      <c r="AX93" s="24" t="str">
        <f t="shared" si="13"/>
        <v>801-10</v>
      </c>
      <c r="AY93" s="42">
        <f t="shared" si="14"/>
        <v>8.07</v>
      </c>
      <c r="AZ93" s="16">
        <f t="shared" si="15"/>
        <v>80.06</v>
      </c>
      <c r="BA93" s="16">
        <f t="shared" si="16"/>
        <v>80.06</v>
      </c>
      <c r="BB93" s="16">
        <f t="shared" si="17"/>
        <v>80.06</v>
      </c>
      <c r="BC93" s="16">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59" t="str">
        <f>面积表!B88</f>
        <v>京（2017）朝不动产权第0031370号</v>
      </c>
      <c r="C94" s="1259" t="str">
        <f>面积表!C88</f>
        <v>801-11</v>
      </c>
      <c r="D94" s="2096" t="s">
        <v>3434</v>
      </c>
      <c r="E94" s="16">
        <f t="shared" si="7"/>
        <v>8.07</v>
      </c>
      <c r="F94" s="32"/>
      <c r="G94" s="33">
        <f t="shared" si="8"/>
        <v>80.06</v>
      </c>
      <c r="H94" s="20">
        <f t="shared" si="9"/>
        <v>80.06</v>
      </c>
      <c r="I94" s="2097">
        <f>面积表!G88</f>
        <v>80.06</v>
      </c>
      <c r="J94" s="2097">
        <v>0</v>
      </c>
      <c r="K94" s="2097">
        <v>0</v>
      </c>
      <c r="L94" s="2097">
        <v>0</v>
      </c>
      <c r="M94" s="39"/>
      <c r="N94" s="39"/>
      <c r="O94" s="39"/>
      <c r="P94" s="39"/>
      <c r="Q94" s="39"/>
      <c r="R94" s="39"/>
      <c r="S94" s="39"/>
      <c r="T94" s="39"/>
      <c r="U94" s="39"/>
      <c r="V94" s="39"/>
      <c r="W94" s="39"/>
      <c r="X94" s="39"/>
      <c r="Y94" s="39"/>
      <c r="Z94" s="39"/>
      <c r="AA94" s="39"/>
      <c r="AB94" s="39"/>
      <c r="AC94" s="16">
        <f t="shared" si="10"/>
        <v>0</v>
      </c>
      <c r="AD94" s="2098"/>
      <c r="AE94" s="2098"/>
      <c r="AF94" s="2098"/>
      <c r="AG94" s="2098"/>
      <c r="AH94" s="2098"/>
      <c r="AI94" s="2098"/>
      <c r="AJ94" s="2098"/>
      <c r="AK94" s="2098"/>
      <c r="AL94" s="2098"/>
      <c r="AM94" s="2098"/>
      <c r="AN94" s="2098"/>
      <c r="AO94" s="2098"/>
      <c r="AP94" s="2098"/>
      <c r="AQ94" s="2098"/>
      <c r="AR94" s="2098"/>
      <c r="AS94" s="2098"/>
      <c r="AT94" s="2099"/>
      <c r="AU94" s="2100"/>
      <c r="AV94" s="24">
        <f t="shared" si="11"/>
        <v>0</v>
      </c>
      <c r="AW94" s="24" t="str">
        <f t="shared" si="12"/>
        <v>京（2017）朝不动产权第0031370号</v>
      </c>
      <c r="AX94" s="24" t="str">
        <f t="shared" si="13"/>
        <v>801-11</v>
      </c>
      <c r="AY94" s="42">
        <f t="shared" si="14"/>
        <v>8.07</v>
      </c>
      <c r="AZ94" s="16">
        <f t="shared" si="15"/>
        <v>80.06</v>
      </c>
      <c r="BA94" s="16">
        <f t="shared" si="16"/>
        <v>80.06</v>
      </c>
      <c r="BB94" s="16">
        <f t="shared" si="17"/>
        <v>80.06</v>
      </c>
      <c r="BC94" s="16">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59" t="str">
        <f>面积表!B89</f>
        <v>京（2017）朝不动产权第0031367号</v>
      </c>
      <c r="C95" s="1259" t="str">
        <f>面积表!C89</f>
        <v>801-12</v>
      </c>
      <c r="D95" s="2096" t="s">
        <v>3434</v>
      </c>
      <c r="E95" s="16">
        <f t="shared" si="7"/>
        <v>10.050000000000001</v>
      </c>
      <c r="F95" s="32"/>
      <c r="G95" s="33">
        <f t="shared" si="8"/>
        <v>99.64</v>
      </c>
      <c r="H95" s="20">
        <f t="shared" si="9"/>
        <v>99.64</v>
      </c>
      <c r="I95" s="2097">
        <f>面积表!G89</f>
        <v>99.64</v>
      </c>
      <c r="J95" s="2097">
        <v>0</v>
      </c>
      <c r="K95" s="2097">
        <v>0</v>
      </c>
      <c r="L95" s="2097">
        <v>0</v>
      </c>
      <c r="M95" s="39"/>
      <c r="N95" s="39"/>
      <c r="O95" s="39"/>
      <c r="P95" s="39"/>
      <c r="Q95" s="39"/>
      <c r="R95" s="39"/>
      <c r="S95" s="39"/>
      <c r="T95" s="39"/>
      <c r="U95" s="39"/>
      <c r="V95" s="39"/>
      <c r="W95" s="39"/>
      <c r="X95" s="39"/>
      <c r="Y95" s="39"/>
      <c r="Z95" s="39"/>
      <c r="AA95" s="39"/>
      <c r="AB95" s="39"/>
      <c r="AC95" s="16">
        <f t="shared" si="10"/>
        <v>0</v>
      </c>
      <c r="AD95" s="2098"/>
      <c r="AE95" s="2098"/>
      <c r="AF95" s="2098"/>
      <c r="AG95" s="2098"/>
      <c r="AH95" s="2098"/>
      <c r="AI95" s="2098"/>
      <c r="AJ95" s="2098"/>
      <c r="AK95" s="2098"/>
      <c r="AL95" s="2098"/>
      <c r="AM95" s="2098"/>
      <c r="AN95" s="2098"/>
      <c r="AO95" s="2098"/>
      <c r="AP95" s="2098"/>
      <c r="AQ95" s="2098"/>
      <c r="AR95" s="2098"/>
      <c r="AS95" s="2098"/>
      <c r="AT95" s="2099"/>
      <c r="AU95" s="2100"/>
      <c r="AV95" s="24">
        <f t="shared" si="11"/>
        <v>0</v>
      </c>
      <c r="AW95" s="24" t="str">
        <f t="shared" si="12"/>
        <v>京（2017）朝不动产权第0031367号</v>
      </c>
      <c r="AX95" s="24" t="str">
        <f t="shared" si="13"/>
        <v>801-12</v>
      </c>
      <c r="AY95" s="42">
        <f t="shared" si="14"/>
        <v>10.050000000000001</v>
      </c>
      <c r="AZ95" s="16">
        <f t="shared" si="15"/>
        <v>99.64</v>
      </c>
      <c r="BA95" s="16">
        <f t="shared" si="16"/>
        <v>99.64</v>
      </c>
      <c r="BB95" s="16">
        <f t="shared" si="17"/>
        <v>99.64</v>
      </c>
      <c r="BC95" s="16">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59" t="str">
        <f>面积表!B90</f>
        <v>京（2017）朝不动产权第0031325号</v>
      </c>
      <c r="C96" s="1259" t="str">
        <f>面积表!C90</f>
        <v>801-13</v>
      </c>
      <c r="D96" s="2096" t="s">
        <v>3434</v>
      </c>
      <c r="E96" s="16">
        <f t="shared" si="7"/>
        <v>8.36</v>
      </c>
      <c r="F96" s="32"/>
      <c r="G96" s="33">
        <f t="shared" si="8"/>
        <v>82.89</v>
      </c>
      <c r="H96" s="20">
        <f t="shared" si="9"/>
        <v>82.89</v>
      </c>
      <c r="I96" s="2097">
        <f>面积表!G90</f>
        <v>82.89</v>
      </c>
      <c r="J96" s="2097">
        <v>0</v>
      </c>
      <c r="K96" s="2097">
        <v>0</v>
      </c>
      <c r="L96" s="2097">
        <v>0</v>
      </c>
      <c r="M96" s="39"/>
      <c r="N96" s="39"/>
      <c r="O96" s="39"/>
      <c r="P96" s="39"/>
      <c r="Q96" s="39"/>
      <c r="R96" s="39"/>
      <c r="S96" s="39"/>
      <c r="T96" s="39"/>
      <c r="U96" s="39"/>
      <c r="V96" s="39"/>
      <c r="W96" s="39"/>
      <c r="X96" s="39"/>
      <c r="Y96" s="39"/>
      <c r="Z96" s="39"/>
      <c r="AA96" s="39"/>
      <c r="AB96" s="39"/>
      <c r="AC96" s="16">
        <f t="shared" si="10"/>
        <v>0</v>
      </c>
      <c r="AD96" s="2098"/>
      <c r="AE96" s="2098"/>
      <c r="AF96" s="2098"/>
      <c r="AG96" s="2098"/>
      <c r="AH96" s="2098"/>
      <c r="AI96" s="2098"/>
      <c r="AJ96" s="2098"/>
      <c r="AK96" s="2098"/>
      <c r="AL96" s="2098"/>
      <c r="AM96" s="2098"/>
      <c r="AN96" s="2098"/>
      <c r="AO96" s="2098"/>
      <c r="AP96" s="2098"/>
      <c r="AQ96" s="2098"/>
      <c r="AR96" s="2098"/>
      <c r="AS96" s="2098"/>
      <c r="AT96" s="2099"/>
      <c r="AU96" s="2100"/>
      <c r="AV96" s="24">
        <f t="shared" si="11"/>
        <v>0</v>
      </c>
      <c r="AW96" s="24" t="str">
        <f t="shared" si="12"/>
        <v>京（2017）朝不动产权第0031325号</v>
      </c>
      <c r="AX96" s="24" t="str">
        <f t="shared" si="13"/>
        <v>801-13</v>
      </c>
      <c r="AY96" s="42">
        <f t="shared" si="14"/>
        <v>8.36</v>
      </c>
      <c r="AZ96" s="16">
        <f t="shared" si="15"/>
        <v>82.89</v>
      </c>
      <c r="BA96" s="16">
        <f t="shared" si="16"/>
        <v>82.89</v>
      </c>
      <c r="BB96" s="16">
        <f t="shared" si="17"/>
        <v>82.89</v>
      </c>
      <c r="BC96" s="16">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59" t="str">
        <f>面积表!B91</f>
        <v>京（2017）朝不动产权第0031331号</v>
      </c>
      <c r="C97" s="1259" t="str">
        <f>面积表!C91</f>
        <v>801-14</v>
      </c>
      <c r="D97" s="2096" t="s">
        <v>3434</v>
      </c>
      <c r="E97" s="16">
        <f t="shared" si="7"/>
        <v>7.65</v>
      </c>
      <c r="F97" s="32"/>
      <c r="G97" s="33">
        <f t="shared" si="8"/>
        <v>75.83</v>
      </c>
      <c r="H97" s="20">
        <f t="shared" si="9"/>
        <v>75.83</v>
      </c>
      <c r="I97" s="2097">
        <f>面积表!G91</f>
        <v>75.83</v>
      </c>
      <c r="J97" s="2097">
        <v>0</v>
      </c>
      <c r="K97" s="2097">
        <v>0</v>
      </c>
      <c r="L97" s="2097">
        <v>0</v>
      </c>
      <c r="M97" s="39"/>
      <c r="N97" s="39"/>
      <c r="O97" s="39"/>
      <c r="P97" s="39"/>
      <c r="Q97" s="39"/>
      <c r="R97" s="39"/>
      <c r="S97" s="39"/>
      <c r="T97" s="39"/>
      <c r="U97" s="39"/>
      <c r="V97" s="39"/>
      <c r="W97" s="39"/>
      <c r="X97" s="39"/>
      <c r="Y97" s="39"/>
      <c r="Z97" s="39"/>
      <c r="AA97" s="39"/>
      <c r="AB97" s="39"/>
      <c r="AC97" s="16">
        <f t="shared" si="10"/>
        <v>0</v>
      </c>
      <c r="AD97" s="2098"/>
      <c r="AE97" s="2098"/>
      <c r="AF97" s="2098"/>
      <c r="AG97" s="2098"/>
      <c r="AH97" s="2098"/>
      <c r="AI97" s="2098"/>
      <c r="AJ97" s="2098"/>
      <c r="AK97" s="2098"/>
      <c r="AL97" s="2098"/>
      <c r="AM97" s="2098"/>
      <c r="AN97" s="2098"/>
      <c r="AO97" s="2098"/>
      <c r="AP97" s="2098"/>
      <c r="AQ97" s="2098"/>
      <c r="AR97" s="2098"/>
      <c r="AS97" s="2098"/>
      <c r="AT97" s="2099"/>
      <c r="AU97" s="2100"/>
      <c r="AV97" s="24">
        <f t="shared" si="11"/>
        <v>0</v>
      </c>
      <c r="AW97" s="24" t="str">
        <f t="shared" si="12"/>
        <v>京（2017）朝不动产权第0031331号</v>
      </c>
      <c r="AX97" s="24" t="str">
        <f t="shared" si="13"/>
        <v>801-14</v>
      </c>
      <c r="AY97" s="42">
        <f t="shared" si="14"/>
        <v>7.65</v>
      </c>
      <c r="AZ97" s="16">
        <f t="shared" si="15"/>
        <v>75.83</v>
      </c>
      <c r="BA97" s="16">
        <f t="shared" si="16"/>
        <v>75.83</v>
      </c>
      <c r="BB97" s="16">
        <f t="shared" si="17"/>
        <v>75.83</v>
      </c>
      <c r="BC97" s="16">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59" t="str">
        <f>面积表!B92</f>
        <v>京（2017）朝不动产权第0031333号</v>
      </c>
      <c r="C98" s="1259" t="str">
        <f>面积表!C92</f>
        <v>901-1</v>
      </c>
      <c r="D98" s="2096" t="s">
        <v>3434</v>
      </c>
      <c r="E98" s="16">
        <f t="shared" si="7"/>
        <v>8.8800000000000008</v>
      </c>
      <c r="F98" s="32"/>
      <c r="G98" s="33">
        <f t="shared" si="8"/>
        <v>88.04</v>
      </c>
      <c r="H98" s="20">
        <f t="shared" si="9"/>
        <v>88.04</v>
      </c>
      <c r="I98" s="2097">
        <f>面积表!G92</f>
        <v>88.04</v>
      </c>
      <c r="J98" s="2097">
        <v>0</v>
      </c>
      <c r="K98" s="2097">
        <v>0</v>
      </c>
      <c r="L98" s="2097">
        <v>0</v>
      </c>
      <c r="M98" s="39"/>
      <c r="N98" s="39"/>
      <c r="O98" s="39"/>
      <c r="P98" s="39"/>
      <c r="Q98" s="39"/>
      <c r="R98" s="39"/>
      <c r="S98" s="39"/>
      <c r="T98" s="39"/>
      <c r="U98" s="39"/>
      <c r="V98" s="39"/>
      <c r="W98" s="39"/>
      <c r="X98" s="39"/>
      <c r="Y98" s="39"/>
      <c r="Z98" s="39"/>
      <c r="AA98" s="39"/>
      <c r="AB98" s="39"/>
      <c r="AC98" s="16">
        <f t="shared" si="10"/>
        <v>0</v>
      </c>
      <c r="AD98" s="2098"/>
      <c r="AE98" s="2098"/>
      <c r="AF98" s="2098"/>
      <c r="AG98" s="2098"/>
      <c r="AH98" s="2098"/>
      <c r="AI98" s="2098"/>
      <c r="AJ98" s="2098"/>
      <c r="AK98" s="2098"/>
      <c r="AL98" s="2098"/>
      <c r="AM98" s="2098"/>
      <c r="AN98" s="2098"/>
      <c r="AO98" s="2098"/>
      <c r="AP98" s="2098"/>
      <c r="AQ98" s="2098"/>
      <c r="AR98" s="2098"/>
      <c r="AS98" s="2098"/>
      <c r="AT98" s="2099"/>
      <c r="AU98" s="2100"/>
      <c r="AV98" s="24">
        <f t="shared" si="11"/>
        <v>0</v>
      </c>
      <c r="AW98" s="24" t="str">
        <f t="shared" si="12"/>
        <v>京（2017）朝不动产权第0031333号</v>
      </c>
      <c r="AX98" s="24" t="str">
        <f t="shared" si="13"/>
        <v>901-1</v>
      </c>
      <c r="AY98" s="42">
        <f t="shared" si="14"/>
        <v>8.8800000000000008</v>
      </c>
      <c r="AZ98" s="16">
        <f t="shared" si="15"/>
        <v>88.04</v>
      </c>
      <c r="BA98" s="16">
        <f t="shared" si="16"/>
        <v>88.04</v>
      </c>
      <c r="BB98" s="16">
        <f t="shared" si="17"/>
        <v>88.04</v>
      </c>
      <c r="BC98" s="16">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59" t="str">
        <f>面积表!B93</f>
        <v>京（2017）朝不动产权第0031338号</v>
      </c>
      <c r="C99" s="1259" t="str">
        <f>面积表!C93</f>
        <v>901-2</v>
      </c>
      <c r="D99" s="2096" t="s">
        <v>3434</v>
      </c>
      <c r="E99" s="16">
        <f t="shared" si="7"/>
        <v>8.07</v>
      </c>
      <c r="F99" s="32"/>
      <c r="G99" s="33">
        <f t="shared" si="8"/>
        <v>80.06</v>
      </c>
      <c r="H99" s="20">
        <f t="shared" si="9"/>
        <v>80.06</v>
      </c>
      <c r="I99" s="2097">
        <f>面积表!G93</f>
        <v>80.06</v>
      </c>
      <c r="J99" s="2097">
        <v>0</v>
      </c>
      <c r="K99" s="2097">
        <v>0</v>
      </c>
      <c r="L99" s="2097">
        <v>0</v>
      </c>
      <c r="M99" s="39"/>
      <c r="N99" s="39"/>
      <c r="O99" s="39"/>
      <c r="P99" s="39"/>
      <c r="Q99" s="39"/>
      <c r="R99" s="39"/>
      <c r="S99" s="39"/>
      <c r="T99" s="39"/>
      <c r="U99" s="39"/>
      <c r="V99" s="39"/>
      <c r="W99" s="39"/>
      <c r="X99" s="39"/>
      <c r="Y99" s="39"/>
      <c r="Z99" s="39"/>
      <c r="AA99" s="39"/>
      <c r="AB99" s="39"/>
      <c r="AC99" s="16">
        <f t="shared" si="10"/>
        <v>0</v>
      </c>
      <c r="AD99" s="2098"/>
      <c r="AE99" s="2098"/>
      <c r="AF99" s="2098"/>
      <c r="AG99" s="2098"/>
      <c r="AH99" s="2098"/>
      <c r="AI99" s="2098"/>
      <c r="AJ99" s="2098"/>
      <c r="AK99" s="2098"/>
      <c r="AL99" s="2098"/>
      <c r="AM99" s="2098"/>
      <c r="AN99" s="2098"/>
      <c r="AO99" s="2098"/>
      <c r="AP99" s="2098"/>
      <c r="AQ99" s="2098"/>
      <c r="AR99" s="2098"/>
      <c r="AS99" s="2098"/>
      <c r="AT99" s="2099"/>
      <c r="AU99" s="2100"/>
      <c r="AV99" s="24">
        <f t="shared" si="11"/>
        <v>0</v>
      </c>
      <c r="AW99" s="24" t="str">
        <f t="shared" si="12"/>
        <v>京（2017）朝不动产权第0031338号</v>
      </c>
      <c r="AX99" s="24" t="str">
        <f t="shared" si="13"/>
        <v>901-2</v>
      </c>
      <c r="AY99" s="42">
        <f t="shared" si="14"/>
        <v>8.07</v>
      </c>
      <c r="AZ99" s="16">
        <f t="shared" si="15"/>
        <v>80.06</v>
      </c>
      <c r="BA99" s="16">
        <f t="shared" si="16"/>
        <v>80.06</v>
      </c>
      <c r="BB99" s="16">
        <f t="shared" si="17"/>
        <v>80.06</v>
      </c>
      <c r="BC99" s="16">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59" t="str">
        <f>面积表!B94</f>
        <v>京（2017）朝不动产权第0031350号</v>
      </c>
      <c r="C100" s="1259" t="str">
        <f>面积表!C94</f>
        <v>901-3</v>
      </c>
      <c r="D100" s="2096" t="s">
        <v>3434</v>
      </c>
      <c r="E100" s="16">
        <f t="shared" si="7"/>
        <v>8.07</v>
      </c>
      <c r="F100" s="32"/>
      <c r="G100" s="33">
        <f t="shared" si="8"/>
        <v>80.06</v>
      </c>
      <c r="H100" s="20">
        <f t="shared" si="9"/>
        <v>80.06</v>
      </c>
      <c r="I100" s="2097">
        <f>面积表!G94</f>
        <v>80.06</v>
      </c>
      <c r="J100" s="2097">
        <v>0</v>
      </c>
      <c r="K100" s="2097">
        <v>0</v>
      </c>
      <c r="L100" s="2097">
        <v>0</v>
      </c>
      <c r="M100" s="39"/>
      <c r="N100" s="39"/>
      <c r="O100" s="39"/>
      <c r="P100" s="39"/>
      <c r="Q100" s="39"/>
      <c r="R100" s="39"/>
      <c r="S100" s="39"/>
      <c r="T100" s="39"/>
      <c r="U100" s="39"/>
      <c r="V100" s="39"/>
      <c r="W100" s="39"/>
      <c r="X100" s="39"/>
      <c r="Y100" s="39"/>
      <c r="Z100" s="39"/>
      <c r="AA100" s="39"/>
      <c r="AB100" s="39"/>
      <c r="AC100" s="16">
        <f t="shared" si="10"/>
        <v>0</v>
      </c>
      <c r="AD100" s="2098"/>
      <c r="AE100" s="2098"/>
      <c r="AF100" s="2098"/>
      <c r="AG100" s="2098"/>
      <c r="AH100" s="2098"/>
      <c r="AI100" s="2098"/>
      <c r="AJ100" s="2098"/>
      <c r="AK100" s="2098"/>
      <c r="AL100" s="2098"/>
      <c r="AM100" s="2098"/>
      <c r="AN100" s="2098"/>
      <c r="AO100" s="2098"/>
      <c r="AP100" s="2098"/>
      <c r="AQ100" s="2098"/>
      <c r="AR100" s="2098"/>
      <c r="AS100" s="2098"/>
      <c r="AT100" s="2099"/>
      <c r="AU100" s="2100"/>
      <c r="AV100" s="24">
        <f t="shared" si="11"/>
        <v>0</v>
      </c>
      <c r="AW100" s="24" t="str">
        <f t="shared" si="12"/>
        <v>京（2017）朝不动产权第0031350号</v>
      </c>
      <c r="AX100" s="24" t="str">
        <f t="shared" si="13"/>
        <v>901-3</v>
      </c>
      <c r="AY100" s="42">
        <f t="shared" si="14"/>
        <v>8.07</v>
      </c>
      <c r="AZ100" s="16">
        <f t="shared" si="15"/>
        <v>80.06</v>
      </c>
      <c r="BA100" s="16">
        <f t="shared" si="16"/>
        <v>80.06</v>
      </c>
      <c r="BB100" s="16">
        <f t="shared" si="17"/>
        <v>80.06</v>
      </c>
      <c r="BC100" s="16">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59" t="str">
        <f>面积表!B95</f>
        <v>京（2017）朝不动产权第0031354号</v>
      </c>
      <c r="C101" s="1259" t="str">
        <f>面积表!C95</f>
        <v>901-4</v>
      </c>
      <c r="D101" s="2096" t="s">
        <v>3434</v>
      </c>
      <c r="E101" s="16">
        <f t="shared" si="7"/>
        <v>8.07</v>
      </c>
      <c r="F101" s="32"/>
      <c r="G101" s="33">
        <f t="shared" si="8"/>
        <v>80.06</v>
      </c>
      <c r="H101" s="20">
        <f t="shared" si="9"/>
        <v>80.06</v>
      </c>
      <c r="I101" s="2097">
        <f>面积表!G95</f>
        <v>80.06</v>
      </c>
      <c r="J101" s="2097">
        <v>0</v>
      </c>
      <c r="K101" s="2097">
        <v>0</v>
      </c>
      <c r="L101" s="2097">
        <v>0</v>
      </c>
      <c r="M101" s="39"/>
      <c r="N101" s="39"/>
      <c r="O101" s="39"/>
      <c r="P101" s="39"/>
      <c r="Q101" s="39"/>
      <c r="R101" s="39"/>
      <c r="S101" s="39"/>
      <c r="T101" s="39"/>
      <c r="U101" s="39"/>
      <c r="V101" s="39"/>
      <c r="W101" s="39"/>
      <c r="X101" s="39"/>
      <c r="Y101" s="39"/>
      <c r="Z101" s="39"/>
      <c r="AA101" s="39"/>
      <c r="AB101" s="39"/>
      <c r="AC101" s="16">
        <f t="shared" si="10"/>
        <v>0</v>
      </c>
      <c r="AD101" s="2098"/>
      <c r="AE101" s="2098"/>
      <c r="AF101" s="2098"/>
      <c r="AG101" s="2098"/>
      <c r="AH101" s="2098"/>
      <c r="AI101" s="2098"/>
      <c r="AJ101" s="2098"/>
      <c r="AK101" s="2098"/>
      <c r="AL101" s="2098"/>
      <c r="AM101" s="2098"/>
      <c r="AN101" s="2098"/>
      <c r="AO101" s="2098"/>
      <c r="AP101" s="2098"/>
      <c r="AQ101" s="2098"/>
      <c r="AR101" s="2098"/>
      <c r="AS101" s="2098"/>
      <c r="AT101" s="2099"/>
      <c r="AU101" s="2100"/>
      <c r="AV101" s="24">
        <f t="shared" si="11"/>
        <v>0</v>
      </c>
      <c r="AW101" s="24" t="str">
        <f t="shared" si="12"/>
        <v>京（2017）朝不动产权第0031354号</v>
      </c>
      <c r="AX101" s="24" t="str">
        <f t="shared" si="13"/>
        <v>901-4</v>
      </c>
      <c r="AY101" s="42">
        <f t="shared" si="14"/>
        <v>8.07</v>
      </c>
      <c r="AZ101" s="16">
        <f t="shared" si="15"/>
        <v>80.06</v>
      </c>
      <c r="BA101" s="16">
        <f t="shared" si="16"/>
        <v>80.06</v>
      </c>
      <c r="BB101" s="16">
        <f t="shared" si="17"/>
        <v>80.06</v>
      </c>
      <c r="BC101" s="16">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59" t="str">
        <f>面积表!B96</f>
        <v>京（2017）朝不动产权第0031358号</v>
      </c>
      <c r="C102" s="1259" t="str">
        <f>面积表!C96</f>
        <v>901-5</v>
      </c>
      <c r="D102" s="2096" t="s">
        <v>3434</v>
      </c>
      <c r="E102" s="16">
        <f t="shared" si="7"/>
        <v>10.07</v>
      </c>
      <c r="F102" s="32"/>
      <c r="G102" s="33">
        <f t="shared" si="8"/>
        <v>99.81</v>
      </c>
      <c r="H102" s="20">
        <f t="shared" si="9"/>
        <v>99.81</v>
      </c>
      <c r="I102" s="2097">
        <f>面积表!G96</f>
        <v>99.81</v>
      </c>
      <c r="J102" s="2097">
        <v>0</v>
      </c>
      <c r="K102" s="2097">
        <v>0</v>
      </c>
      <c r="L102" s="2097">
        <v>0</v>
      </c>
      <c r="M102" s="39"/>
      <c r="N102" s="39"/>
      <c r="O102" s="39"/>
      <c r="P102" s="39"/>
      <c r="Q102" s="39"/>
      <c r="R102" s="39"/>
      <c r="S102" s="39"/>
      <c r="T102" s="39"/>
      <c r="U102" s="39"/>
      <c r="V102" s="39"/>
      <c r="W102" s="39"/>
      <c r="X102" s="39"/>
      <c r="Y102" s="39"/>
      <c r="Z102" s="39"/>
      <c r="AA102" s="39"/>
      <c r="AB102" s="39"/>
      <c r="AC102" s="16">
        <f t="shared" si="10"/>
        <v>0</v>
      </c>
      <c r="AD102" s="2098"/>
      <c r="AE102" s="2098"/>
      <c r="AF102" s="2098"/>
      <c r="AG102" s="2098"/>
      <c r="AH102" s="2098"/>
      <c r="AI102" s="2098"/>
      <c r="AJ102" s="2098"/>
      <c r="AK102" s="2098"/>
      <c r="AL102" s="2098"/>
      <c r="AM102" s="2098"/>
      <c r="AN102" s="2098"/>
      <c r="AO102" s="2098"/>
      <c r="AP102" s="2098"/>
      <c r="AQ102" s="2098"/>
      <c r="AR102" s="2098"/>
      <c r="AS102" s="2098"/>
      <c r="AT102" s="2099"/>
      <c r="AU102" s="2100"/>
      <c r="AV102" s="24">
        <f t="shared" si="11"/>
        <v>0</v>
      </c>
      <c r="AW102" s="24" t="str">
        <f t="shared" si="12"/>
        <v>京（2017）朝不动产权第0031358号</v>
      </c>
      <c r="AX102" s="24" t="str">
        <f t="shared" si="13"/>
        <v>901-5</v>
      </c>
      <c r="AY102" s="42">
        <f t="shared" si="14"/>
        <v>10.07</v>
      </c>
      <c r="AZ102" s="16">
        <f t="shared" si="15"/>
        <v>99.81</v>
      </c>
      <c r="BA102" s="16">
        <f t="shared" si="16"/>
        <v>99.81</v>
      </c>
      <c r="BB102" s="16">
        <f t="shared" si="17"/>
        <v>99.81</v>
      </c>
      <c r="BC102" s="16">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59" t="str">
        <f>面积表!B97</f>
        <v>京（2017）朝不动产权第0031360号</v>
      </c>
      <c r="C103" s="1259" t="str">
        <f>面积表!C97</f>
        <v>901-6</v>
      </c>
      <c r="D103" s="2096" t="s">
        <v>3434</v>
      </c>
      <c r="E103" s="16">
        <f t="shared" si="7"/>
        <v>8.4</v>
      </c>
      <c r="F103" s="32"/>
      <c r="G103" s="33">
        <f t="shared" si="8"/>
        <v>83.28</v>
      </c>
      <c r="H103" s="20">
        <f t="shared" si="9"/>
        <v>83.28</v>
      </c>
      <c r="I103" s="2097">
        <f>面积表!G97</f>
        <v>83.28</v>
      </c>
      <c r="J103" s="2097">
        <v>0</v>
      </c>
      <c r="K103" s="2097">
        <v>0</v>
      </c>
      <c r="L103" s="2097">
        <v>0</v>
      </c>
      <c r="M103" s="39"/>
      <c r="N103" s="39"/>
      <c r="O103" s="39"/>
      <c r="P103" s="39"/>
      <c r="Q103" s="39"/>
      <c r="R103" s="39"/>
      <c r="S103" s="39"/>
      <c r="T103" s="39"/>
      <c r="U103" s="39"/>
      <c r="V103" s="39"/>
      <c r="W103" s="39"/>
      <c r="X103" s="39"/>
      <c r="Y103" s="39"/>
      <c r="Z103" s="39"/>
      <c r="AA103" s="39"/>
      <c r="AB103" s="39"/>
      <c r="AC103" s="16">
        <f t="shared" si="10"/>
        <v>0</v>
      </c>
      <c r="AD103" s="2098"/>
      <c r="AE103" s="2098"/>
      <c r="AF103" s="2098"/>
      <c r="AG103" s="2098"/>
      <c r="AH103" s="2098"/>
      <c r="AI103" s="2098"/>
      <c r="AJ103" s="2098"/>
      <c r="AK103" s="2098"/>
      <c r="AL103" s="2098"/>
      <c r="AM103" s="2098"/>
      <c r="AN103" s="2098"/>
      <c r="AO103" s="2098"/>
      <c r="AP103" s="2098"/>
      <c r="AQ103" s="2098"/>
      <c r="AR103" s="2098"/>
      <c r="AS103" s="2098"/>
      <c r="AT103" s="2099"/>
      <c r="AU103" s="2100"/>
      <c r="AV103" s="24">
        <f t="shared" si="11"/>
        <v>0</v>
      </c>
      <c r="AW103" s="24" t="str">
        <f t="shared" si="12"/>
        <v>京（2017）朝不动产权第0031360号</v>
      </c>
      <c r="AX103" s="24" t="str">
        <f t="shared" si="13"/>
        <v>901-6</v>
      </c>
      <c r="AY103" s="42">
        <f t="shared" si="14"/>
        <v>8.4</v>
      </c>
      <c r="AZ103" s="16">
        <f t="shared" si="15"/>
        <v>83.28</v>
      </c>
      <c r="BA103" s="16">
        <f t="shared" si="16"/>
        <v>83.28</v>
      </c>
      <c r="BB103" s="16">
        <f t="shared" si="17"/>
        <v>83.28</v>
      </c>
      <c r="BC103" s="16">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59" t="str">
        <f>面积表!B98</f>
        <v>京（2017）朝不动产权第0031223号</v>
      </c>
      <c r="C104" s="1259" t="str">
        <f>面积表!C98</f>
        <v>901-7</v>
      </c>
      <c r="D104" s="2096" t="s">
        <v>3434</v>
      </c>
      <c r="E104" s="16">
        <f t="shared" si="7"/>
        <v>10.87</v>
      </c>
      <c r="F104" s="32"/>
      <c r="G104" s="33">
        <f t="shared" si="8"/>
        <v>107.74</v>
      </c>
      <c r="H104" s="20">
        <f t="shared" si="9"/>
        <v>107.74</v>
      </c>
      <c r="I104" s="2097">
        <f>面积表!G98</f>
        <v>107.74</v>
      </c>
      <c r="J104" s="2097">
        <v>0</v>
      </c>
      <c r="K104" s="2097">
        <v>0</v>
      </c>
      <c r="L104" s="2097">
        <v>0</v>
      </c>
      <c r="M104" s="39"/>
      <c r="N104" s="39"/>
      <c r="O104" s="39"/>
      <c r="P104" s="39"/>
      <c r="Q104" s="39"/>
      <c r="R104" s="39"/>
      <c r="S104" s="39"/>
      <c r="T104" s="39"/>
      <c r="U104" s="39"/>
      <c r="V104" s="39"/>
      <c r="W104" s="39"/>
      <c r="X104" s="39"/>
      <c r="Y104" s="39"/>
      <c r="Z104" s="39"/>
      <c r="AA104" s="39"/>
      <c r="AB104" s="39"/>
      <c r="AC104" s="16">
        <f t="shared" si="10"/>
        <v>0</v>
      </c>
      <c r="AD104" s="2098"/>
      <c r="AE104" s="2098"/>
      <c r="AF104" s="2098"/>
      <c r="AG104" s="2098"/>
      <c r="AH104" s="2098"/>
      <c r="AI104" s="2098"/>
      <c r="AJ104" s="2098"/>
      <c r="AK104" s="2098"/>
      <c r="AL104" s="2098"/>
      <c r="AM104" s="2098"/>
      <c r="AN104" s="2098"/>
      <c r="AO104" s="2098"/>
      <c r="AP104" s="2098"/>
      <c r="AQ104" s="2098"/>
      <c r="AR104" s="2098"/>
      <c r="AS104" s="2098"/>
      <c r="AT104" s="2099"/>
      <c r="AU104" s="2100"/>
      <c r="AV104" s="24">
        <f t="shared" si="11"/>
        <v>0</v>
      </c>
      <c r="AW104" s="24" t="str">
        <f t="shared" si="12"/>
        <v>京（2017）朝不动产权第0031223号</v>
      </c>
      <c r="AX104" s="24" t="str">
        <f t="shared" si="13"/>
        <v>901-7</v>
      </c>
      <c r="AY104" s="42">
        <f t="shared" si="14"/>
        <v>10.87</v>
      </c>
      <c r="AZ104" s="16">
        <f t="shared" si="15"/>
        <v>107.74</v>
      </c>
      <c r="BA104" s="16">
        <f t="shared" si="16"/>
        <v>107.74</v>
      </c>
      <c r="BB104" s="16">
        <f t="shared" si="17"/>
        <v>107.74</v>
      </c>
      <c r="BC104" s="16">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59" t="str">
        <f>面积表!B99</f>
        <v>京（2017）朝不动产权第0031229号</v>
      </c>
      <c r="C105" s="1259" t="str">
        <f>面积表!C99</f>
        <v>901-8</v>
      </c>
      <c r="D105" s="2096" t="s">
        <v>3434</v>
      </c>
      <c r="E105" s="16">
        <f t="shared" si="7"/>
        <v>8.84</v>
      </c>
      <c r="F105" s="32"/>
      <c r="G105" s="33">
        <f t="shared" si="8"/>
        <v>87.64</v>
      </c>
      <c r="H105" s="20">
        <f t="shared" si="9"/>
        <v>87.64</v>
      </c>
      <c r="I105" s="2097">
        <f>面积表!G99</f>
        <v>87.64</v>
      </c>
      <c r="J105" s="2097">
        <v>0</v>
      </c>
      <c r="K105" s="2097">
        <v>0</v>
      </c>
      <c r="L105" s="2097">
        <v>0</v>
      </c>
      <c r="M105" s="39"/>
      <c r="N105" s="39"/>
      <c r="O105" s="39"/>
      <c r="P105" s="39"/>
      <c r="Q105" s="39"/>
      <c r="R105" s="39"/>
      <c r="S105" s="39"/>
      <c r="T105" s="39"/>
      <c r="U105" s="39"/>
      <c r="V105" s="39"/>
      <c r="W105" s="39"/>
      <c r="X105" s="39"/>
      <c r="Y105" s="39"/>
      <c r="Z105" s="39"/>
      <c r="AA105" s="39"/>
      <c r="AB105" s="39"/>
      <c r="AC105" s="16">
        <f t="shared" si="10"/>
        <v>0</v>
      </c>
      <c r="AD105" s="2098"/>
      <c r="AE105" s="2098"/>
      <c r="AF105" s="2098"/>
      <c r="AG105" s="2098"/>
      <c r="AH105" s="2098"/>
      <c r="AI105" s="2098"/>
      <c r="AJ105" s="2098"/>
      <c r="AK105" s="2098"/>
      <c r="AL105" s="2098"/>
      <c r="AM105" s="2098"/>
      <c r="AN105" s="2098"/>
      <c r="AO105" s="2098"/>
      <c r="AP105" s="2098"/>
      <c r="AQ105" s="2098"/>
      <c r="AR105" s="2098"/>
      <c r="AS105" s="2098"/>
      <c r="AT105" s="2099"/>
      <c r="AU105" s="2100"/>
      <c r="AV105" s="24">
        <f t="shared" si="11"/>
        <v>0</v>
      </c>
      <c r="AW105" s="24" t="str">
        <f t="shared" si="12"/>
        <v>京（2017）朝不动产权第0031229号</v>
      </c>
      <c r="AX105" s="24" t="str">
        <f t="shared" si="13"/>
        <v>901-8</v>
      </c>
      <c r="AY105" s="42">
        <f t="shared" si="14"/>
        <v>8.84</v>
      </c>
      <c r="AZ105" s="16">
        <f t="shared" si="15"/>
        <v>87.64</v>
      </c>
      <c r="BA105" s="16">
        <f t="shared" si="16"/>
        <v>87.64</v>
      </c>
      <c r="BB105" s="16">
        <f t="shared" si="17"/>
        <v>87.64</v>
      </c>
      <c r="BC105" s="16">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59" t="str">
        <f>面积表!B100</f>
        <v>京（2017）朝不动产权第0031245号</v>
      </c>
      <c r="C106" s="1259" t="str">
        <f>面积表!C100</f>
        <v>901-9</v>
      </c>
      <c r="D106" s="2096" t="s">
        <v>3434</v>
      </c>
      <c r="E106" s="16">
        <f t="shared" si="7"/>
        <v>8.07</v>
      </c>
      <c r="F106" s="32"/>
      <c r="G106" s="33">
        <f t="shared" si="8"/>
        <v>80.06</v>
      </c>
      <c r="H106" s="20">
        <f t="shared" si="9"/>
        <v>80.06</v>
      </c>
      <c r="I106" s="2097">
        <f>面积表!G100</f>
        <v>80.06</v>
      </c>
      <c r="J106" s="2097">
        <v>0</v>
      </c>
      <c r="K106" s="2097">
        <v>0</v>
      </c>
      <c r="L106" s="2097">
        <v>0</v>
      </c>
      <c r="M106" s="39"/>
      <c r="N106" s="39"/>
      <c r="O106" s="39"/>
      <c r="P106" s="39"/>
      <c r="Q106" s="39"/>
      <c r="R106" s="39"/>
      <c r="S106" s="39"/>
      <c r="T106" s="39"/>
      <c r="U106" s="39"/>
      <c r="V106" s="39"/>
      <c r="W106" s="39"/>
      <c r="X106" s="39"/>
      <c r="Y106" s="39"/>
      <c r="Z106" s="39"/>
      <c r="AA106" s="39"/>
      <c r="AB106" s="39"/>
      <c r="AC106" s="16">
        <f t="shared" si="10"/>
        <v>0</v>
      </c>
      <c r="AD106" s="2098"/>
      <c r="AE106" s="2098"/>
      <c r="AF106" s="2098"/>
      <c r="AG106" s="2098"/>
      <c r="AH106" s="2098"/>
      <c r="AI106" s="2098"/>
      <c r="AJ106" s="2098"/>
      <c r="AK106" s="2098"/>
      <c r="AL106" s="2098"/>
      <c r="AM106" s="2098"/>
      <c r="AN106" s="2098"/>
      <c r="AO106" s="2098"/>
      <c r="AP106" s="2098"/>
      <c r="AQ106" s="2098"/>
      <c r="AR106" s="2098"/>
      <c r="AS106" s="2098"/>
      <c r="AT106" s="2099"/>
      <c r="AU106" s="2100"/>
      <c r="AV106" s="24">
        <f t="shared" si="11"/>
        <v>0</v>
      </c>
      <c r="AW106" s="24" t="str">
        <f t="shared" si="12"/>
        <v>京（2017）朝不动产权第0031245号</v>
      </c>
      <c r="AX106" s="24" t="str">
        <f t="shared" si="13"/>
        <v>901-9</v>
      </c>
      <c r="AY106" s="42">
        <f t="shared" si="14"/>
        <v>8.07</v>
      </c>
      <c r="AZ106" s="16">
        <f t="shared" si="15"/>
        <v>80.06</v>
      </c>
      <c r="BA106" s="16">
        <f t="shared" si="16"/>
        <v>80.06</v>
      </c>
      <c r="BB106" s="16">
        <f t="shared" si="17"/>
        <v>80.06</v>
      </c>
      <c r="BC106" s="16">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59" t="str">
        <f>面积表!B101</f>
        <v>京（2017）朝不动产权第0031234号</v>
      </c>
      <c r="C107" s="1259" t="str">
        <f>面积表!C101</f>
        <v>901-10</v>
      </c>
      <c r="D107" s="2096" t="s">
        <v>3434</v>
      </c>
      <c r="E107" s="16">
        <f t="shared" si="7"/>
        <v>8.07</v>
      </c>
      <c r="F107" s="32"/>
      <c r="G107" s="33">
        <f t="shared" si="8"/>
        <v>80.06</v>
      </c>
      <c r="H107" s="20">
        <f t="shared" si="9"/>
        <v>80.06</v>
      </c>
      <c r="I107" s="2097">
        <f>面积表!G101</f>
        <v>80.06</v>
      </c>
      <c r="J107" s="2097">
        <v>0</v>
      </c>
      <c r="K107" s="2097">
        <v>0</v>
      </c>
      <c r="L107" s="2097">
        <v>0</v>
      </c>
      <c r="M107" s="39"/>
      <c r="N107" s="39"/>
      <c r="O107" s="39"/>
      <c r="P107" s="39"/>
      <c r="Q107" s="39"/>
      <c r="R107" s="39"/>
      <c r="S107" s="39"/>
      <c r="T107" s="39"/>
      <c r="U107" s="39"/>
      <c r="V107" s="39"/>
      <c r="W107" s="39"/>
      <c r="X107" s="39"/>
      <c r="Y107" s="39"/>
      <c r="Z107" s="39"/>
      <c r="AA107" s="39"/>
      <c r="AB107" s="39"/>
      <c r="AC107" s="16">
        <f t="shared" si="10"/>
        <v>0</v>
      </c>
      <c r="AD107" s="2098"/>
      <c r="AE107" s="2098"/>
      <c r="AF107" s="2098"/>
      <c r="AG107" s="2098"/>
      <c r="AH107" s="2098"/>
      <c r="AI107" s="2098"/>
      <c r="AJ107" s="2098"/>
      <c r="AK107" s="2098"/>
      <c r="AL107" s="2098"/>
      <c r="AM107" s="2098"/>
      <c r="AN107" s="2098"/>
      <c r="AO107" s="2098"/>
      <c r="AP107" s="2098"/>
      <c r="AQ107" s="2098"/>
      <c r="AR107" s="2098"/>
      <c r="AS107" s="2098"/>
      <c r="AT107" s="2099"/>
      <c r="AU107" s="2100"/>
      <c r="AV107" s="24">
        <f t="shared" si="11"/>
        <v>0</v>
      </c>
      <c r="AW107" s="24" t="str">
        <f t="shared" si="12"/>
        <v>京（2017）朝不动产权第0031234号</v>
      </c>
      <c r="AX107" s="24" t="str">
        <f t="shared" si="13"/>
        <v>901-10</v>
      </c>
      <c r="AY107" s="42">
        <f t="shared" si="14"/>
        <v>8.07</v>
      </c>
      <c r="AZ107" s="16">
        <f t="shared" si="15"/>
        <v>80.06</v>
      </c>
      <c r="BA107" s="16">
        <f t="shared" si="16"/>
        <v>80.06</v>
      </c>
      <c r="BB107" s="16">
        <f t="shared" si="17"/>
        <v>80.06</v>
      </c>
      <c r="BC107" s="16">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59" t="str">
        <f>面积表!B102</f>
        <v>京（2017）朝不动产权第0031264号</v>
      </c>
      <c r="C108" s="1259" t="str">
        <f>面积表!C102</f>
        <v>901-11</v>
      </c>
      <c r="D108" s="2096" t="s">
        <v>3434</v>
      </c>
      <c r="E108" s="16">
        <f t="shared" si="7"/>
        <v>8.07</v>
      </c>
      <c r="F108" s="32"/>
      <c r="G108" s="33">
        <f t="shared" si="8"/>
        <v>80.06</v>
      </c>
      <c r="H108" s="20">
        <f t="shared" si="9"/>
        <v>80.06</v>
      </c>
      <c r="I108" s="2097">
        <f>面积表!G102</f>
        <v>80.06</v>
      </c>
      <c r="J108" s="2097">
        <v>0</v>
      </c>
      <c r="K108" s="2097">
        <v>0</v>
      </c>
      <c r="L108" s="2097">
        <v>0</v>
      </c>
      <c r="M108" s="39"/>
      <c r="N108" s="39"/>
      <c r="O108" s="39"/>
      <c r="P108" s="39"/>
      <c r="Q108" s="39"/>
      <c r="R108" s="39"/>
      <c r="S108" s="39"/>
      <c r="T108" s="39"/>
      <c r="U108" s="39"/>
      <c r="V108" s="39"/>
      <c r="W108" s="39"/>
      <c r="X108" s="39"/>
      <c r="Y108" s="39"/>
      <c r="Z108" s="39"/>
      <c r="AA108" s="39"/>
      <c r="AB108" s="39"/>
      <c r="AC108" s="16">
        <f t="shared" si="10"/>
        <v>0</v>
      </c>
      <c r="AD108" s="2098"/>
      <c r="AE108" s="2098"/>
      <c r="AF108" s="2098"/>
      <c r="AG108" s="2098"/>
      <c r="AH108" s="2098"/>
      <c r="AI108" s="2098"/>
      <c r="AJ108" s="2098"/>
      <c r="AK108" s="2098"/>
      <c r="AL108" s="2098"/>
      <c r="AM108" s="2098"/>
      <c r="AN108" s="2098"/>
      <c r="AO108" s="2098"/>
      <c r="AP108" s="2098"/>
      <c r="AQ108" s="2098"/>
      <c r="AR108" s="2098"/>
      <c r="AS108" s="2098"/>
      <c r="AT108" s="2099"/>
      <c r="AU108" s="2100"/>
      <c r="AV108" s="24">
        <f t="shared" si="11"/>
        <v>0</v>
      </c>
      <c r="AW108" s="24" t="str">
        <f t="shared" si="12"/>
        <v>京（2017）朝不动产权第0031264号</v>
      </c>
      <c r="AX108" s="24" t="str">
        <f t="shared" si="13"/>
        <v>901-11</v>
      </c>
      <c r="AY108" s="42">
        <f t="shared" si="14"/>
        <v>8.07</v>
      </c>
      <c r="AZ108" s="16">
        <f t="shared" si="15"/>
        <v>80.06</v>
      </c>
      <c r="BA108" s="16">
        <f t="shared" si="16"/>
        <v>80.06</v>
      </c>
      <c r="BB108" s="16">
        <f t="shared" si="17"/>
        <v>80.06</v>
      </c>
      <c r="BC108" s="16">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59" t="str">
        <f>面积表!B103</f>
        <v>京（2017）朝不动产权第0031292号</v>
      </c>
      <c r="C109" s="1259" t="str">
        <f>面积表!C103</f>
        <v>901-12</v>
      </c>
      <c r="D109" s="2096" t="s">
        <v>3434</v>
      </c>
      <c r="E109" s="16">
        <f t="shared" si="7"/>
        <v>10.050000000000001</v>
      </c>
      <c r="F109" s="32"/>
      <c r="G109" s="33">
        <f t="shared" si="8"/>
        <v>99.64</v>
      </c>
      <c r="H109" s="20">
        <f t="shared" si="9"/>
        <v>99.64</v>
      </c>
      <c r="I109" s="2097">
        <f>面积表!G103</f>
        <v>99.64</v>
      </c>
      <c r="J109" s="2097">
        <v>0</v>
      </c>
      <c r="K109" s="2097">
        <v>0</v>
      </c>
      <c r="L109" s="2097">
        <v>0</v>
      </c>
      <c r="M109" s="39"/>
      <c r="N109" s="39"/>
      <c r="O109" s="39"/>
      <c r="P109" s="39"/>
      <c r="Q109" s="39"/>
      <c r="R109" s="39"/>
      <c r="S109" s="39"/>
      <c r="T109" s="39"/>
      <c r="U109" s="39"/>
      <c r="V109" s="39"/>
      <c r="W109" s="39"/>
      <c r="X109" s="39"/>
      <c r="Y109" s="39"/>
      <c r="Z109" s="39"/>
      <c r="AA109" s="39"/>
      <c r="AB109" s="39"/>
      <c r="AC109" s="16">
        <f t="shared" si="10"/>
        <v>0</v>
      </c>
      <c r="AD109" s="2098"/>
      <c r="AE109" s="2098"/>
      <c r="AF109" s="2098"/>
      <c r="AG109" s="2098"/>
      <c r="AH109" s="2098"/>
      <c r="AI109" s="2098"/>
      <c r="AJ109" s="2098"/>
      <c r="AK109" s="2098"/>
      <c r="AL109" s="2098"/>
      <c r="AM109" s="2098"/>
      <c r="AN109" s="2098"/>
      <c r="AO109" s="2098"/>
      <c r="AP109" s="2098"/>
      <c r="AQ109" s="2098"/>
      <c r="AR109" s="2098"/>
      <c r="AS109" s="2098"/>
      <c r="AT109" s="2099"/>
      <c r="AU109" s="2100"/>
      <c r="AV109" s="24">
        <f t="shared" si="11"/>
        <v>0</v>
      </c>
      <c r="AW109" s="24" t="str">
        <f t="shared" si="12"/>
        <v>京（2017）朝不动产权第0031292号</v>
      </c>
      <c r="AX109" s="24" t="str">
        <f t="shared" si="13"/>
        <v>901-12</v>
      </c>
      <c r="AY109" s="42">
        <f t="shared" si="14"/>
        <v>10.050000000000001</v>
      </c>
      <c r="AZ109" s="16">
        <f t="shared" si="15"/>
        <v>99.64</v>
      </c>
      <c r="BA109" s="16">
        <f t="shared" si="16"/>
        <v>99.64</v>
      </c>
      <c r="BB109" s="16">
        <f t="shared" si="17"/>
        <v>99.64</v>
      </c>
      <c r="BC109" s="16">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59" t="str">
        <f>面积表!B104</f>
        <v>京（2017）朝不动产权第0031287号</v>
      </c>
      <c r="C110" s="1259" t="str">
        <f>面积表!C104</f>
        <v>901-13</v>
      </c>
      <c r="D110" s="2096" t="s">
        <v>3434</v>
      </c>
      <c r="E110" s="16">
        <f t="shared" si="7"/>
        <v>8.36</v>
      </c>
      <c r="F110" s="32"/>
      <c r="G110" s="33">
        <f t="shared" ref="G110:G141" si="36">H110+AC110+AT110</f>
        <v>82.89</v>
      </c>
      <c r="H110" s="20">
        <f t="shared" ref="H110:H141" si="37">SUMIF(I$12:AB$12,"总值",I110:AB110)</f>
        <v>82.89</v>
      </c>
      <c r="I110" s="2097">
        <f>面积表!G104</f>
        <v>82.89</v>
      </c>
      <c r="J110" s="2097">
        <v>0</v>
      </c>
      <c r="K110" s="2097">
        <v>0</v>
      </c>
      <c r="L110" s="2097">
        <v>0</v>
      </c>
      <c r="M110" s="39"/>
      <c r="N110" s="39"/>
      <c r="O110" s="39"/>
      <c r="P110" s="39"/>
      <c r="Q110" s="39"/>
      <c r="R110" s="39"/>
      <c r="S110" s="39"/>
      <c r="T110" s="39"/>
      <c r="U110" s="39"/>
      <c r="V110" s="39"/>
      <c r="W110" s="39"/>
      <c r="X110" s="39"/>
      <c r="Y110" s="39"/>
      <c r="Z110" s="39"/>
      <c r="AA110" s="39"/>
      <c r="AB110" s="39"/>
      <c r="AC110" s="16">
        <f t="shared" ref="AC110:AC141" si="38">SUMIF(AD$12:AS$12,"总值",AD110:AS110)</f>
        <v>0</v>
      </c>
      <c r="AD110" s="2098"/>
      <c r="AE110" s="2098"/>
      <c r="AF110" s="2098"/>
      <c r="AG110" s="2098"/>
      <c r="AH110" s="2098"/>
      <c r="AI110" s="2098"/>
      <c r="AJ110" s="2098"/>
      <c r="AK110" s="2098"/>
      <c r="AL110" s="2098"/>
      <c r="AM110" s="2098"/>
      <c r="AN110" s="2098"/>
      <c r="AO110" s="2098"/>
      <c r="AP110" s="2098"/>
      <c r="AQ110" s="2098"/>
      <c r="AR110" s="2098"/>
      <c r="AS110" s="2098"/>
      <c r="AT110" s="2099"/>
      <c r="AU110" s="2100"/>
      <c r="AV110" s="24">
        <f t="shared" si="11"/>
        <v>0</v>
      </c>
      <c r="AW110" s="24" t="str">
        <f t="shared" si="12"/>
        <v>京（2017）朝不动产权第0031287号</v>
      </c>
      <c r="AX110" s="24" t="str">
        <f t="shared" si="13"/>
        <v>901-13</v>
      </c>
      <c r="AY110" s="42">
        <f t="shared" ref="AY110:AY141" si="39">ROUND($AY$6*AZ110/$AZ$5,2)</f>
        <v>8.36</v>
      </c>
      <c r="AZ110" s="16">
        <f t="shared" ref="AZ110:AZ141" si="40">BA110+BL110</f>
        <v>82.89</v>
      </c>
      <c r="BA110" s="16">
        <f t="shared" ref="BA110:BA141" si="41">SUM(BB110:BK110)</f>
        <v>82.89</v>
      </c>
      <c r="BB110" s="16">
        <f t="shared" ref="BB110:BB141" si="42">IF($D110="是",I110-J110,0)</f>
        <v>82.89</v>
      </c>
      <c r="BC110" s="16">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59" t="str">
        <f>面积表!B105</f>
        <v>京（2017）朝不动产权第0031284号</v>
      </c>
      <c r="C111" s="1259" t="str">
        <f>面积表!C105</f>
        <v>901-14</v>
      </c>
      <c r="D111" s="2096" t="s">
        <v>3434</v>
      </c>
      <c r="E111" s="16">
        <f t="shared" si="7"/>
        <v>7.65</v>
      </c>
      <c r="F111" s="32"/>
      <c r="G111" s="33">
        <f t="shared" si="36"/>
        <v>75.83</v>
      </c>
      <c r="H111" s="20">
        <f t="shared" si="37"/>
        <v>75.83</v>
      </c>
      <c r="I111" s="2097">
        <f>面积表!G105</f>
        <v>75.83</v>
      </c>
      <c r="J111" s="2097">
        <v>0</v>
      </c>
      <c r="K111" s="2097">
        <v>0</v>
      </c>
      <c r="L111" s="2097">
        <v>0</v>
      </c>
      <c r="M111" s="39"/>
      <c r="N111" s="39"/>
      <c r="O111" s="39"/>
      <c r="P111" s="39"/>
      <c r="Q111" s="39"/>
      <c r="R111" s="39"/>
      <c r="S111" s="39"/>
      <c r="T111" s="39"/>
      <c r="U111" s="39"/>
      <c r="V111" s="39"/>
      <c r="W111" s="39"/>
      <c r="X111" s="39"/>
      <c r="Y111" s="39"/>
      <c r="Z111" s="39"/>
      <c r="AA111" s="39"/>
      <c r="AB111" s="39"/>
      <c r="AC111" s="16">
        <f t="shared" si="38"/>
        <v>0</v>
      </c>
      <c r="AD111" s="2098"/>
      <c r="AE111" s="2098"/>
      <c r="AF111" s="2098"/>
      <c r="AG111" s="2098"/>
      <c r="AH111" s="2098"/>
      <c r="AI111" s="2098"/>
      <c r="AJ111" s="2098"/>
      <c r="AK111" s="2098"/>
      <c r="AL111" s="2098"/>
      <c r="AM111" s="2098"/>
      <c r="AN111" s="2098"/>
      <c r="AO111" s="2098"/>
      <c r="AP111" s="2098"/>
      <c r="AQ111" s="2098"/>
      <c r="AR111" s="2098"/>
      <c r="AS111" s="2098"/>
      <c r="AT111" s="2099"/>
      <c r="AU111" s="2100"/>
      <c r="AV111" s="24">
        <f t="shared" si="11"/>
        <v>0</v>
      </c>
      <c r="AW111" s="24" t="str">
        <f t="shared" si="12"/>
        <v>京（2017）朝不动产权第0031284号</v>
      </c>
      <c r="AX111" s="24" t="str">
        <f t="shared" si="13"/>
        <v>901-14</v>
      </c>
      <c r="AY111" s="42">
        <f t="shared" si="39"/>
        <v>7.65</v>
      </c>
      <c r="AZ111" s="16">
        <f t="shared" si="40"/>
        <v>75.83</v>
      </c>
      <c r="BA111" s="16">
        <f t="shared" si="41"/>
        <v>75.83</v>
      </c>
      <c r="BB111" s="16">
        <f t="shared" si="42"/>
        <v>75.83</v>
      </c>
      <c r="BC111" s="16">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59" t="str">
        <f>面积表!B106</f>
        <v>京（2017）朝不动产权第0019975号</v>
      </c>
      <c r="C112" s="1259" t="str">
        <f>面积表!C106</f>
        <v>1001-1</v>
      </c>
      <c r="D112" s="2096" t="s">
        <v>3434</v>
      </c>
      <c r="E112" s="16">
        <f t="shared" si="7"/>
        <v>8.8800000000000008</v>
      </c>
      <c r="F112" s="32"/>
      <c r="G112" s="33">
        <f t="shared" si="36"/>
        <v>88.04</v>
      </c>
      <c r="H112" s="20">
        <f t="shared" si="37"/>
        <v>88.04</v>
      </c>
      <c r="I112" s="2097">
        <f>面积表!G106</f>
        <v>88.04</v>
      </c>
      <c r="J112" s="2097">
        <v>0</v>
      </c>
      <c r="K112" s="2097">
        <v>0</v>
      </c>
      <c r="L112" s="2097">
        <v>0</v>
      </c>
      <c r="M112" s="39"/>
      <c r="N112" s="39"/>
      <c r="O112" s="39"/>
      <c r="P112" s="39"/>
      <c r="Q112" s="39"/>
      <c r="R112" s="39"/>
      <c r="S112" s="39"/>
      <c r="T112" s="39"/>
      <c r="U112" s="39"/>
      <c r="V112" s="39"/>
      <c r="W112" s="39"/>
      <c r="X112" s="39"/>
      <c r="Y112" s="39"/>
      <c r="Z112" s="39"/>
      <c r="AA112" s="39"/>
      <c r="AB112" s="39"/>
      <c r="AC112" s="16">
        <f t="shared" si="38"/>
        <v>0</v>
      </c>
      <c r="AD112" s="2098"/>
      <c r="AE112" s="2098"/>
      <c r="AF112" s="2098"/>
      <c r="AG112" s="2098"/>
      <c r="AH112" s="2098"/>
      <c r="AI112" s="2098"/>
      <c r="AJ112" s="2098"/>
      <c r="AK112" s="2098"/>
      <c r="AL112" s="2098"/>
      <c r="AM112" s="2098"/>
      <c r="AN112" s="2098"/>
      <c r="AO112" s="2098"/>
      <c r="AP112" s="2098"/>
      <c r="AQ112" s="2098"/>
      <c r="AR112" s="2098"/>
      <c r="AS112" s="2098"/>
      <c r="AT112" s="2099"/>
      <c r="AU112" s="2100"/>
      <c r="AV112" s="24">
        <f t="shared" si="11"/>
        <v>0</v>
      </c>
      <c r="AW112" s="24" t="str">
        <f t="shared" si="12"/>
        <v>京（2017）朝不动产权第0019975号</v>
      </c>
      <c r="AX112" s="24" t="str">
        <f t="shared" si="13"/>
        <v>1001-1</v>
      </c>
      <c r="AY112" s="42">
        <f t="shared" si="39"/>
        <v>8.8800000000000008</v>
      </c>
      <c r="AZ112" s="16">
        <f t="shared" si="40"/>
        <v>88.04</v>
      </c>
      <c r="BA112" s="16">
        <f t="shared" si="41"/>
        <v>88.04</v>
      </c>
      <c r="BB112" s="16">
        <f t="shared" si="42"/>
        <v>88.04</v>
      </c>
      <c r="BC112" s="16">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59" t="str">
        <f>面积表!B107</f>
        <v>京（2017）朝不动产权第0019990号</v>
      </c>
      <c r="C113" s="1259" t="str">
        <f>面积表!C107</f>
        <v>1001-2</v>
      </c>
      <c r="D113" s="2096" t="s">
        <v>3434</v>
      </c>
      <c r="E113" s="16">
        <f t="shared" ref="E113:E144" si="61">IF($C$3="是",ROUND($A$3*G113/$B$3,2),ROUND($A$3*(G113-AT113)/$B$3,2))</f>
        <v>8.07</v>
      </c>
      <c r="F113" s="32"/>
      <c r="G113" s="33">
        <f t="shared" si="36"/>
        <v>80.06</v>
      </c>
      <c r="H113" s="20">
        <f t="shared" si="37"/>
        <v>80.06</v>
      </c>
      <c r="I113" s="2097">
        <f>面积表!G107</f>
        <v>80.06</v>
      </c>
      <c r="J113" s="2097">
        <v>0</v>
      </c>
      <c r="K113" s="2097">
        <v>0</v>
      </c>
      <c r="L113" s="2097">
        <v>0</v>
      </c>
      <c r="M113" s="39"/>
      <c r="N113" s="39"/>
      <c r="O113" s="39"/>
      <c r="P113" s="39"/>
      <c r="Q113" s="39"/>
      <c r="R113" s="39"/>
      <c r="S113" s="39"/>
      <c r="T113" s="39"/>
      <c r="U113" s="39"/>
      <c r="V113" s="39"/>
      <c r="W113" s="39"/>
      <c r="X113" s="39"/>
      <c r="Y113" s="39"/>
      <c r="Z113" s="39"/>
      <c r="AA113" s="39"/>
      <c r="AB113" s="39"/>
      <c r="AC113" s="16">
        <f t="shared" si="38"/>
        <v>0</v>
      </c>
      <c r="AD113" s="2098"/>
      <c r="AE113" s="2098"/>
      <c r="AF113" s="2098"/>
      <c r="AG113" s="2098"/>
      <c r="AH113" s="2098"/>
      <c r="AI113" s="2098"/>
      <c r="AJ113" s="2098"/>
      <c r="AK113" s="2098"/>
      <c r="AL113" s="2098"/>
      <c r="AM113" s="2098"/>
      <c r="AN113" s="2098"/>
      <c r="AO113" s="2098"/>
      <c r="AP113" s="2098"/>
      <c r="AQ113" s="2098"/>
      <c r="AR113" s="2098"/>
      <c r="AS113" s="2098"/>
      <c r="AT113" s="2099"/>
      <c r="AU113" s="2100"/>
      <c r="AV113" s="24">
        <f t="shared" ref="AV113:AV144" si="62">A113</f>
        <v>0</v>
      </c>
      <c r="AW113" s="24" t="str">
        <f t="shared" ref="AW113:AW144" si="63">B113</f>
        <v>京（2017）朝不动产权第0019990号</v>
      </c>
      <c r="AX113" s="24" t="str">
        <f t="shared" ref="AX113:AX144" si="64">C113</f>
        <v>1001-2</v>
      </c>
      <c r="AY113" s="42">
        <f t="shared" si="39"/>
        <v>8.07</v>
      </c>
      <c r="AZ113" s="16">
        <f t="shared" si="40"/>
        <v>80.06</v>
      </c>
      <c r="BA113" s="16">
        <f t="shared" si="41"/>
        <v>80.06</v>
      </c>
      <c r="BB113" s="16">
        <f t="shared" si="42"/>
        <v>80.06</v>
      </c>
      <c r="BC113" s="16">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59" t="str">
        <f>面积表!B108</f>
        <v>京（2017）朝不动产权第0019957号</v>
      </c>
      <c r="C114" s="1259" t="str">
        <f>面积表!C108</f>
        <v>1001-3</v>
      </c>
      <c r="D114" s="2096" t="s">
        <v>3434</v>
      </c>
      <c r="E114" s="16">
        <f t="shared" si="61"/>
        <v>8.07</v>
      </c>
      <c r="F114" s="32"/>
      <c r="G114" s="33">
        <f t="shared" si="36"/>
        <v>80.06</v>
      </c>
      <c r="H114" s="20">
        <f t="shared" si="37"/>
        <v>80.06</v>
      </c>
      <c r="I114" s="2097">
        <f>面积表!G108</f>
        <v>80.06</v>
      </c>
      <c r="J114" s="2097">
        <v>0</v>
      </c>
      <c r="K114" s="2097">
        <v>0</v>
      </c>
      <c r="L114" s="2097">
        <v>0</v>
      </c>
      <c r="M114" s="39"/>
      <c r="N114" s="39"/>
      <c r="O114" s="39"/>
      <c r="P114" s="39"/>
      <c r="Q114" s="39"/>
      <c r="R114" s="39"/>
      <c r="S114" s="39"/>
      <c r="T114" s="39"/>
      <c r="U114" s="39"/>
      <c r="V114" s="39"/>
      <c r="W114" s="39"/>
      <c r="X114" s="39"/>
      <c r="Y114" s="39"/>
      <c r="Z114" s="39"/>
      <c r="AA114" s="39"/>
      <c r="AB114" s="39"/>
      <c r="AC114" s="16">
        <f t="shared" si="38"/>
        <v>0</v>
      </c>
      <c r="AD114" s="2098"/>
      <c r="AE114" s="2098"/>
      <c r="AF114" s="2098"/>
      <c r="AG114" s="2098"/>
      <c r="AH114" s="2098"/>
      <c r="AI114" s="2098"/>
      <c r="AJ114" s="2098"/>
      <c r="AK114" s="2098"/>
      <c r="AL114" s="2098"/>
      <c r="AM114" s="2098"/>
      <c r="AN114" s="2098"/>
      <c r="AO114" s="2098"/>
      <c r="AP114" s="2098"/>
      <c r="AQ114" s="2098"/>
      <c r="AR114" s="2098"/>
      <c r="AS114" s="2098"/>
      <c r="AT114" s="2099"/>
      <c r="AU114" s="2100"/>
      <c r="AV114" s="24">
        <f t="shared" si="62"/>
        <v>0</v>
      </c>
      <c r="AW114" s="24" t="str">
        <f t="shared" si="63"/>
        <v>京（2017）朝不动产权第0019957号</v>
      </c>
      <c r="AX114" s="24" t="str">
        <f t="shared" si="64"/>
        <v>1001-3</v>
      </c>
      <c r="AY114" s="42">
        <f t="shared" si="39"/>
        <v>8.07</v>
      </c>
      <c r="AZ114" s="16">
        <f t="shared" si="40"/>
        <v>80.06</v>
      </c>
      <c r="BA114" s="16">
        <f t="shared" si="41"/>
        <v>80.06</v>
      </c>
      <c r="BB114" s="16">
        <f t="shared" si="42"/>
        <v>80.06</v>
      </c>
      <c r="BC114" s="16">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59" t="str">
        <f>面积表!B109</f>
        <v>京（2017）朝不动产权第0019991号</v>
      </c>
      <c r="C115" s="1259" t="str">
        <f>面积表!C109</f>
        <v>1001-4</v>
      </c>
      <c r="D115" s="2096" t="s">
        <v>3434</v>
      </c>
      <c r="E115" s="16">
        <f t="shared" si="61"/>
        <v>8.07</v>
      </c>
      <c r="F115" s="32"/>
      <c r="G115" s="33">
        <f t="shared" si="36"/>
        <v>80.06</v>
      </c>
      <c r="H115" s="20">
        <f t="shared" si="37"/>
        <v>80.06</v>
      </c>
      <c r="I115" s="2097">
        <f>面积表!G109</f>
        <v>80.06</v>
      </c>
      <c r="J115" s="2097">
        <v>0</v>
      </c>
      <c r="K115" s="2097">
        <v>0</v>
      </c>
      <c r="L115" s="2097">
        <v>0</v>
      </c>
      <c r="M115" s="39"/>
      <c r="N115" s="39"/>
      <c r="O115" s="39"/>
      <c r="P115" s="39"/>
      <c r="Q115" s="39"/>
      <c r="R115" s="39"/>
      <c r="S115" s="39"/>
      <c r="T115" s="39"/>
      <c r="U115" s="39"/>
      <c r="V115" s="39"/>
      <c r="W115" s="39"/>
      <c r="X115" s="39"/>
      <c r="Y115" s="39"/>
      <c r="Z115" s="39"/>
      <c r="AA115" s="39"/>
      <c r="AB115" s="39"/>
      <c r="AC115" s="16">
        <f t="shared" si="38"/>
        <v>0</v>
      </c>
      <c r="AD115" s="2098"/>
      <c r="AE115" s="2098"/>
      <c r="AF115" s="2098"/>
      <c r="AG115" s="2098"/>
      <c r="AH115" s="2098"/>
      <c r="AI115" s="2098"/>
      <c r="AJ115" s="2098"/>
      <c r="AK115" s="2098"/>
      <c r="AL115" s="2098"/>
      <c r="AM115" s="2098"/>
      <c r="AN115" s="2098"/>
      <c r="AO115" s="2098"/>
      <c r="AP115" s="2098"/>
      <c r="AQ115" s="2098"/>
      <c r="AR115" s="2098"/>
      <c r="AS115" s="2098"/>
      <c r="AT115" s="2099"/>
      <c r="AU115" s="2100"/>
      <c r="AV115" s="24">
        <f t="shared" si="62"/>
        <v>0</v>
      </c>
      <c r="AW115" s="24" t="str">
        <f t="shared" si="63"/>
        <v>京（2017）朝不动产权第0019991号</v>
      </c>
      <c r="AX115" s="24" t="str">
        <f t="shared" si="64"/>
        <v>1001-4</v>
      </c>
      <c r="AY115" s="42">
        <f t="shared" si="39"/>
        <v>8.07</v>
      </c>
      <c r="AZ115" s="16">
        <f t="shared" si="40"/>
        <v>80.06</v>
      </c>
      <c r="BA115" s="16">
        <f t="shared" si="41"/>
        <v>80.06</v>
      </c>
      <c r="BB115" s="16">
        <f t="shared" si="42"/>
        <v>80.06</v>
      </c>
      <c r="BC115" s="16">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59" t="str">
        <f>面积表!B110</f>
        <v>京（2017）朝不动产权第0020053号</v>
      </c>
      <c r="C116" s="1259" t="str">
        <f>面积表!C110</f>
        <v>1001-5</v>
      </c>
      <c r="D116" s="2096" t="s">
        <v>3434</v>
      </c>
      <c r="E116" s="16">
        <f t="shared" si="61"/>
        <v>10.07</v>
      </c>
      <c r="F116" s="32"/>
      <c r="G116" s="33">
        <f t="shared" si="36"/>
        <v>99.81</v>
      </c>
      <c r="H116" s="20">
        <f t="shared" si="37"/>
        <v>99.81</v>
      </c>
      <c r="I116" s="2097">
        <f>面积表!G110</f>
        <v>99.81</v>
      </c>
      <c r="J116" s="2097">
        <v>0</v>
      </c>
      <c r="K116" s="2097">
        <v>0</v>
      </c>
      <c r="L116" s="2097">
        <v>0</v>
      </c>
      <c r="M116" s="39"/>
      <c r="N116" s="39"/>
      <c r="O116" s="39"/>
      <c r="P116" s="39"/>
      <c r="Q116" s="39"/>
      <c r="R116" s="39"/>
      <c r="S116" s="39"/>
      <c r="T116" s="39"/>
      <c r="U116" s="39"/>
      <c r="V116" s="39"/>
      <c r="W116" s="39"/>
      <c r="X116" s="39"/>
      <c r="Y116" s="39"/>
      <c r="Z116" s="39"/>
      <c r="AA116" s="39"/>
      <c r="AB116" s="39"/>
      <c r="AC116" s="16">
        <f t="shared" si="38"/>
        <v>0</v>
      </c>
      <c r="AD116" s="2098"/>
      <c r="AE116" s="2098"/>
      <c r="AF116" s="2098"/>
      <c r="AG116" s="2098"/>
      <c r="AH116" s="2098"/>
      <c r="AI116" s="2098"/>
      <c r="AJ116" s="2098"/>
      <c r="AK116" s="2098"/>
      <c r="AL116" s="2098"/>
      <c r="AM116" s="2098"/>
      <c r="AN116" s="2098"/>
      <c r="AO116" s="2098"/>
      <c r="AP116" s="2098"/>
      <c r="AQ116" s="2098"/>
      <c r="AR116" s="2098"/>
      <c r="AS116" s="2098"/>
      <c r="AT116" s="2099"/>
      <c r="AU116" s="2100"/>
      <c r="AV116" s="24">
        <f t="shared" si="62"/>
        <v>0</v>
      </c>
      <c r="AW116" s="24" t="str">
        <f t="shared" si="63"/>
        <v>京（2017）朝不动产权第0020053号</v>
      </c>
      <c r="AX116" s="24" t="str">
        <f t="shared" si="64"/>
        <v>1001-5</v>
      </c>
      <c r="AY116" s="42">
        <f t="shared" si="39"/>
        <v>10.07</v>
      </c>
      <c r="AZ116" s="16">
        <f t="shared" si="40"/>
        <v>99.81</v>
      </c>
      <c r="BA116" s="16">
        <f t="shared" si="41"/>
        <v>99.81</v>
      </c>
      <c r="BB116" s="16">
        <f t="shared" si="42"/>
        <v>99.81</v>
      </c>
      <c r="BC116" s="16">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59" t="str">
        <f>面积表!B111</f>
        <v>京（2017）朝不动产权第0020057号</v>
      </c>
      <c r="C117" s="1259" t="str">
        <f>面积表!C111</f>
        <v>1001-6</v>
      </c>
      <c r="D117" s="2096" t="s">
        <v>3434</v>
      </c>
      <c r="E117" s="16">
        <f t="shared" si="61"/>
        <v>8.4</v>
      </c>
      <c r="F117" s="32"/>
      <c r="G117" s="33">
        <f t="shared" si="36"/>
        <v>83.28</v>
      </c>
      <c r="H117" s="20">
        <f t="shared" si="37"/>
        <v>83.28</v>
      </c>
      <c r="I117" s="2097">
        <f>面积表!G111</f>
        <v>83.28</v>
      </c>
      <c r="J117" s="2097">
        <v>0</v>
      </c>
      <c r="K117" s="2097">
        <v>0</v>
      </c>
      <c r="L117" s="2097">
        <v>0</v>
      </c>
      <c r="M117" s="39"/>
      <c r="N117" s="39"/>
      <c r="O117" s="39"/>
      <c r="P117" s="39"/>
      <c r="Q117" s="39"/>
      <c r="R117" s="39"/>
      <c r="S117" s="39"/>
      <c r="T117" s="39"/>
      <c r="U117" s="39"/>
      <c r="V117" s="39"/>
      <c r="W117" s="39"/>
      <c r="X117" s="39"/>
      <c r="Y117" s="39"/>
      <c r="Z117" s="39"/>
      <c r="AA117" s="39"/>
      <c r="AB117" s="39"/>
      <c r="AC117" s="16">
        <f t="shared" si="38"/>
        <v>0</v>
      </c>
      <c r="AD117" s="2098"/>
      <c r="AE117" s="2098"/>
      <c r="AF117" s="2098"/>
      <c r="AG117" s="2098"/>
      <c r="AH117" s="2098"/>
      <c r="AI117" s="2098"/>
      <c r="AJ117" s="2098"/>
      <c r="AK117" s="2098"/>
      <c r="AL117" s="2098"/>
      <c r="AM117" s="2098"/>
      <c r="AN117" s="2098"/>
      <c r="AO117" s="2098"/>
      <c r="AP117" s="2098"/>
      <c r="AQ117" s="2098"/>
      <c r="AR117" s="2098"/>
      <c r="AS117" s="2098"/>
      <c r="AT117" s="2099"/>
      <c r="AU117" s="2100"/>
      <c r="AV117" s="24">
        <f t="shared" si="62"/>
        <v>0</v>
      </c>
      <c r="AW117" s="24" t="str">
        <f t="shared" si="63"/>
        <v>京（2017）朝不动产权第0020057号</v>
      </c>
      <c r="AX117" s="24" t="str">
        <f t="shared" si="64"/>
        <v>1001-6</v>
      </c>
      <c r="AY117" s="42">
        <f t="shared" si="39"/>
        <v>8.4</v>
      </c>
      <c r="AZ117" s="16">
        <f t="shared" si="40"/>
        <v>83.28</v>
      </c>
      <c r="BA117" s="16">
        <f t="shared" si="41"/>
        <v>83.28</v>
      </c>
      <c r="BB117" s="16">
        <f t="shared" si="42"/>
        <v>83.28</v>
      </c>
      <c r="BC117" s="16">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59" t="str">
        <f>面积表!B112</f>
        <v>京（2017）朝不动产权第0020029号</v>
      </c>
      <c r="C118" s="1259" t="str">
        <f>面积表!C112</f>
        <v>1001-7</v>
      </c>
      <c r="D118" s="2096" t="s">
        <v>3434</v>
      </c>
      <c r="E118" s="16">
        <f t="shared" si="61"/>
        <v>10.87</v>
      </c>
      <c r="F118" s="32"/>
      <c r="G118" s="33">
        <f t="shared" si="36"/>
        <v>107.74</v>
      </c>
      <c r="H118" s="20">
        <f t="shared" si="37"/>
        <v>107.74</v>
      </c>
      <c r="I118" s="2097">
        <f>面积表!G112</f>
        <v>107.74</v>
      </c>
      <c r="J118" s="2097">
        <v>0</v>
      </c>
      <c r="K118" s="2097">
        <v>0</v>
      </c>
      <c r="L118" s="2097">
        <v>0</v>
      </c>
      <c r="M118" s="39"/>
      <c r="N118" s="39"/>
      <c r="O118" s="39"/>
      <c r="P118" s="39"/>
      <c r="Q118" s="39"/>
      <c r="R118" s="39"/>
      <c r="S118" s="39"/>
      <c r="T118" s="39"/>
      <c r="U118" s="39"/>
      <c r="V118" s="39"/>
      <c r="W118" s="39"/>
      <c r="X118" s="39"/>
      <c r="Y118" s="39"/>
      <c r="Z118" s="39"/>
      <c r="AA118" s="39"/>
      <c r="AB118" s="39"/>
      <c r="AC118" s="16">
        <f t="shared" si="38"/>
        <v>0</v>
      </c>
      <c r="AD118" s="2098"/>
      <c r="AE118" s="2098"/>
      <c r="AF118" s="2098"/>
      <c r="AG118" s="2098"/>
      <c r="AH118" s="2098"/>
      <c r="AI118" s="2098"/>
      <c r="AJ118" s="2098"/>
      <c r="AK118" s="2098"/>
      <c r="AL118" s="2098"/>
      <c r="AM118" s="2098"/>
      <c r="AN118" s="2098"/>
      <c r="AO118" s="2098"/>
      <c r="AP118" s="2098"/>
      <c r="AQ118" s="2098"/>
      <c r="AR118" s="2098"/>
      <c r="AS118" s="2098"/>
      <c r="AT118" s="2099"/>
      <c r="AU118" s="2100"/>
      <c r="AV118" s="24">
        <f t="shared" si="62"/>
        <v>0</v>
      </c>
      <c r="AW118" s="24" t="str">
        <f t="shared" si="63"/>
        <v>京（2017）朝不动产权第0020029号</v>
      </c>
      <c r="AX118" s="24" t="str">
        <f t="shared" si="64"/>
        <v>1001-7</v>
      </c>
      <c r="AY118" s="42">
        <f t="shared" si="39"/>
        <v>10.87</v>
      </c>
      <c r="AZ118" s="16">
        <f t="shared" si="40"/>
        <v>107.74</v>
      </c>
      <c r="BA118" s="16">
        <f t="shared" si="41"/>
        <v>107.74</v>
      </c>
      <c r="BB118" s="16">
        <f t="shared" si="42"/>
        <v>107.74</v>
      </c>
      <c r="BC118" s="16">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59" t="str">
        <f>面积表!B113</f>
        <v>京（2017）朝不动产权第0020033号</v>
      </c>
      <c r="C119" s="1259" t="str">
        <f>面积表!C113</f>
        <v>1001-8</v>
      </c>
      <c r="D119" s="2096" t="s">
        <v>3434</v>
      </c>
      <c r="E119" s="16">
        <f t="shared" si="61"/>
        <v>8.84</v>
      </c>
      <c r="F119" s="32"/>
      <c r="G119" s="33">
        <f t="shared" si="36"/>
        <v>87.64</v>
      </c>
      <c r="H119" s="20">
        <f t="shared" si="37"/>
        <v>87.64</v>
      </c>
      <c r="I119" s="2097">
        <f>面积表!G113</f>
        <v>87.64</v>
      </c>
      <c r="J119" s="2097">
        <v>0</v>
      </c>
      <c r="K119" s="2097">
        <v>0</v>
      </c>
      <c r="L119" s="2097">
        <v>0</v>
      </c>
      <c r="M119" s="39"/>
      <c r="N119" s="39"/>
      <c r="O119" s="39"/>
      <c r="P119" s="39"/>
      <c r="Q119" s="39"/>
      <c r="R119" s="39"/>
      <c r="S119" s="39"/>
      <c r="T119" s="39"/>
      <c r="U119" s="39"/>
      <c r="V119" s="39"/>
      <c r="W119" s="39"/>
      <c r="X119" s="39"/>
      <c r="Y119" s="39"/>
      <c r="Z119" s="39"/>
      <c r="AA119" s="39"/>
      <c r="AB119" s="39"/>
      <c r="AC119" s="16">
        <f t="shared" si="38"/>
        <v>0</v>
      </c>
      <c r="AD119" s="2098"/>
      <c r="AE119" s="2098"/>
      <c r="AF119" s="2098"/>
      <c r="AG119" s="2098"/>
      <c r="AH119" s="2098"/>
      <c r="AI119" s="2098"/>
      <c r="AJ119" s="2098"/>
      <c r="AK119" s="2098"/>
      <c r="AL119" s="2098"/>
      <c r="AM119" s="2098"/>
      <c r="AN119" s="2098"/>
      <c r="AO119" s="2098"/>
      <c r="AP119" s="2098"/>
      <c r="AQ119" s="2098"/>
      <c r="AR119" s="2098"/>
      <c r="AS119" s="2098"/>
      <c r="AT119" s="2099"/>
      <c r="AU119" s="2100"/>
      <c r="AV119" s="24">
        <f t="shared" si="62"/>
        <v>0</v>
      </c>
      <c r="AW119" s="24" t="str">
        <f t="shared" si="63"/>
        <v>京（2017）朝不动产权第0020033号</v>
      </c>
      <c r="AX119" s="24" t="str">
        <f t="shared" si="64"/>
        <v>1001-8</v>
      </c>
      <c r="AY119" s="42">
        <f t="shared" si="39"/>
        <v>8.84</v>
      </c>
      <c r="AZ119" s="16">
        <f t="shared" si="40"/>
        <v>87.64</v>
      </c>
      <c r="BA119" s="16">
        <f t="shared" si="41"/>
        <v>87.64</v>
      </c>
      <c r="BB119" s="16">
        <f t="shared" si="42"/>
        <v>87.64</v>
      </c>
      <c r="BC119" s="16">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59" t="str">
        <f>面积表!B114</f>
        <v>京（2017）朝不动产权第0020017号</v>
      </c>
      <c r="C120" s="1259" t="str">
        <f>面积表!C114</f>
        <v>1001-9</v>
      </c>
      <c r="D120" s="2096" t="s">
        <v>3434</v>
      </c>
      <c r="E120" s="16">
        <f t="shared" si="61"/>
        <v>8.07</v>
      </c>
      <c r="F120" s="32"/>
      <c r="G120" s="33">
        <f t="shared" si="36"/>
        <v>80.06</v>
      </c>
      <c r="H120" s="20">
        <f t="shared" si="37"/>
        <v>80.06</v>
      </c>
      <c r="I120" s="2097">
        <f>面积表!G114</f>
        <v>80.06</v>
      </c>
      <c r="J120" s="2097">
        <v>0</v>
      </c>
      <c r="K120" s="2097">
        <v>0</v>
      </c>
      <c r="L120" s="2097">
        <v>0</v>
      </c>
      <c r="M120" s="39"/>
      <c r="N120" s="39"/>
      <c r="O120" s="39"/>
      <c r="P120" s="39"/>
      <c r="Q120" s="39"/>
      <c r="R120" s="39"/>
      <c r="S120" s="39"/>
      <c r="T120" s="39"/>
      <c r="U120" s="39"/>
      <c r="V120" s="39"/>
      <c r="W120" s="39"/>
      <c r="X120" s="39"/>
      <c r="Y120" s="39"/>
      <c r="Z120" s="39"/>
      <c r="AA120" s="39"/>
      <c r="AB120" s="39"/>
      <c r="AC120" s="16">
        <f t="shared" si="38"/>
        <v>0</v>
      </c>
      <c r="AD120" s="2098"/>
      <c r="AE120" s="2098"/>
      <c r="AF120" s="2098"/>
      <c r="AG120" s="2098"/>
      <c r="AH120" s="2098"/>
      <c r="AI120" s="2098"/>
      <c r="AJ120" s="2098"/>
      <c r="AK120" s="2098"/>
      <c r="AL120" s="2098"/>
      <c r="AM120" s="2098"/>
      <c r="AN120" s="2098"/>
      <c r="AO120" s="2098"/>
      <c r="AP120" s="2098"/>
      <c r="AQ120" s="2098"/>
      <c r="AR120" s="2098"/>
      <c r="AS120" s="2098"/>
      <c r="AT120" s="2099"/>
      <c r="AU120" s="2100"/>
      <c r="AV120" s="24">
        <f t="shared" si="62"/>
        <v>0</v>
      </c>
      <c r="AW120" s="24" t="str">
        <f t="shared" si="63"/>
        <v>京（2017）朝不动产权第0020017号</v>
      </c>
      <c r="AX120" s="24" t="str">
        <f t="shared" si="64"/>
        <v>1001-9</v>
      </c>
      <c r="AY120" s="42">
        <f t="shared" si="39"/>
        <v>8.07</v>
      </c>
      <c r="AZ120" s="16">
        <f t="shared" si="40"/>
        <v>80.06</v>
      </c>
      <c r="BA120" s="16">
        <f t="shared" si="41"/>
        <v>80.06</v>
      </c>
      <c r="BB120" s="16">
        <f t="shared" si="42"/>
        <v>80.06</v>
      </c>
      <c r="BC120" s="16">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59" t="str">
        <f>面积表!B115</f>
        <v>京（2017）朝不动产权第0020006号</v>
      </c>
      <c r="C121" s="1259" t="str">
        <f>面积表!C115</f>
        <v>1001-10</v>
      </c>
      <c r="D121" s="2096" t="s">
        <v>3434</v>
      </c>
      <c r="E121" s="16">
        <f t="shared" si="61"/>
        <v>8.07</v>
      </c>
      <c r="F121" s="32"/>
      <c r="G121" s="33">
        <f t="shared" si="36"/>
        <v>80.06</v>
      </c>
      <c r="H121" s="20">
        <f t="shared" si="37"/>
        <v>80.06</v>
      </c>
      <c r="I121" s="2097">
        <f>面积表!G115</f>
        <v>80.06</v>
      </c>
      <c r="J121" s="2097">
        <v>0</v>
      </c>
      <c r="K121" s="2097">
        <v>0</v>
      </c>
      <c r="L121" s="2097">
        <v>0</v>
      </c>
      <c r="M121" s="39"/>
      <c r="N121" s="39"/>
      <c r="O121" s="39"/>
      <c r="P121" s="39"/>
      <c r="Q121" s="39"/>
      <c r="R121" s="39"/>
      <c r="S121" s="39"/>
      <c r="T121" s="39"/>
      <c r="U121" s="39"/>
      <c r="V121" s="39"/>
      <c r="W121" s="39"/>
      <c r="X121" s="39"/>
      <c r="Y121" s="39"/>
      <c r="Z121" s="39"/>
      <c r="AA121" s="39"/>
      <c r="AB121" s="39"/>
      <c r="AC121" s="16">
        <f t="shared" si="38"/>
        <v>0</v>
      </c>
      <c r="AD121" s="2098"/>
      <c r="AE121" s="2098"/>
      <c r="AF121" s="2098"/>
      <c r="AG121" s="2098"/>
      <c r="AH121" s="2098"/>
      <c r="AI121" s="2098"/>
      <c r="AJ121" s="2098"/>
      <c r="AK121" s="2098"/>
      <c r="AL121" s="2098"/>
      <c r="AM121" s="2098"/>
      <c r="AN121" s="2098"/>
      <c r="AO121" s="2098"/>
      <c r="AP121" s="2098"/>
      <c r="AQ121" s="2098"/>
      <c r="AR121" s="2098"/>
      <c r="AS121" s="2098"/>
      <c r="AT121" s="2099"/>
      <c r="AU121" s="2100"/>
      <c r="AV121" s="24">
        <f t="shared" si="62"/>
        <v>0</v>
      </c>
      <c r="AW121" s="24" t="str">
        <f t="shared" si="63"/>
        <v>京（2017）朝不动产权第0020006号</v>
      </c>
      <c r="AX121" s="24" t="str">
        <f t="shared" si="64"/>
        <v>1001-10</v>
      </c>
      <c r="AY121" s="42">
        <f t="shared" si="39"/>
        <v>8.07</v>
      </c>
      <c r="AZ121" s="16">
        <f t="shared" si="40"/>
        <v>80.06</v>
      </c>
      <c r="BA121" s="16">
        <f t="shared" si="41"/>
        <v>80.06</v>
      </c>
      <c r="BB121" s="16">
        <f t="shared" si="42"/>
        <v>80.06</v>
      </c>
      <c r="BC121" s="16">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59" t="str">
        <f>面积表!B116</f>
        <v>京（2017）朝不动产权第0031451号</v>
      </c>
      <c r="C122" s="1259" t="str">
        <f>面积表!C116</f>
        <v>1001-11</v>
      </c>
      <c r="D122" s="2096" t="s">
        <v>3434</v>
      </c>
      <c r="E122" s="16">
        <f t="shared" si="61"/>
        <v>8.07</v>
      </c>
      <c r="F122" s="32"/>
      <c r="G122" s="33">
        <f t="shared" si="36"/>
        <v>80.06</v>
      </c>
      <c r="H122" s="20">
        <f t="shared" si="37"/>
        <v>80.06</v>
      </c>
      <c r="I122" s="2097">
        <f>面积表!G116</f>
        <v>80.06</v>
      </c>
      <c r="J122" s="2097">
        <v>0</v>
      </c>
      <c r="K122" s="2097">
        <v>0</v>
      </c>
      <c r="L122" s="2097">
        <v>0</v>
      </c>
      <c r="M122" s="39"/>
      <c r="N122" s="39"/>
      <c r="O122" s="39"/>
      <c r="P122" s="39"/>
      <c r="Q122" s="39"/>
      <c r="R122" s="39"/>
      <c r="S122" s="39"/>
      <c r="T122" s="39"/>
      <c r="U122" s="39"/>
      <c r="V122" s="39"/>
      <c r="W122" s="39"/>
      <c r="X122" s="39"/>
      <c r="Y122" s="39"/>
      <c r="Z122" s="39"/>
      <c r="AA122" s="39"/>
      <c r="AB122" s="39"/>
      <c r="AC122" s="16">
        <f t="shared" si="38"/>
        <v>0</v>
      </c>
      <c r="AD122" s="2098"/>
      <c r="AE122" s="2098"/>
      <c r="AF122" s="2098"/>
      <c r="AG122" s="2098"/>
      <c r="AH122" s="2098"/>
      <c r="AI122" s="2098"/>
      <c r="AJ122" s="2098"/>
      <c r="AK122" s="2098"/>
      <c r="AL122" s="2098"/>
      <c r="AM122" s="2098"/>
      <c r="AN122" s="2098"/>
      <c r="AO122" s="2098"/>
      <c r="AP122" s="2098"/>
      <c r="AQ122" s="2098"/>
      <c r="AR122" s="2098"/>
      <c r="AS122" s="2098"/>
      <c r="AT122" s="2099"/>
      <c r="AU122" s="2100"/>
      <c r="AV122" s="24">
        <f t="shared" si="62"/>
        <v>0</v>
      </c>
      <c r="AW122" s="24" t="str">
        <f t="shared" si="63"/>
        <v>京（2017）朝不动产权第0031451号</v>
      </c>
      <c r="AX122" s="24" t="str">
        <f t="shared" si="64"/>
        <v>1001-11</v>
      </c>
      <c r="AY122" s="42">
        <f t="shared" si="39"/>
        <v>8.07</v>
      </c>
      <c r="AZ122" s="16">
        <f t="shared" si="40"/>
        <v>80.06</v>
      </c>
      <c r="BA122" s="16">
        <f t="shared" si="41"/>
        <v>80.06</v>
      </c>
      <c r="BB122" s="16">
        <f t="shared" si="42"/>
        <v>80.06</v>
      </c>
      <c r="BC122" s="16">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59" t="str">
        <f>面积表!B117</f>
        <v>京（2017）朝不动产权第0031455号</v>
      </c>
      <c r="C123" s="1259" t="str">
        <f>面积表!C117</f>
        <v>1001-12</v>
      </c>
      <c r="D123" s="2096" t="s">
        <v>3434</v>
      </c>
      <c r="E123" s="16">
        <f t="shared" si="61"/>
        <v>10.050000000000001</v>
      </c>
      <c r="F123" s="32"/>
      <c r="G123" s="33">
        <f t="shared" si="36"/>
        <v>99.64</v>
      </c>
      <c r="H123" s="20">
        <f t="shared" si="37"/>
        <v>99.64</v>
      </c>
      <c r="I123" s="2097">
        <f>面积表!G117</f>
        <v>99.64</v>
      </c>
      <c r="J123" s="2097">
        <v>0</v>
      </c>
      <c r="K123" s="2097">
        <v>0</v>
      </c>
      <c r="L123" s="2097">
        <v>0</v>
      </c>
      <c r="M123" s="39"/>
      <c r="N123" s="39"/>
      <c r="O123" s="39"/>
      <c r="P123" s="39"/>
      <c r="Q123" s="39"/>
      <c r="R123" s="39"/>
      <c r="S123" s="39"/>
      <c r="T123" s="39"/>
      <c r="U123" s="39"/>
      <c r="V123" s="39"/>
      <c r="W123" s="39"/>
      <c r="X123" s="39"/>
      <c r="Y123" s="39"/>
      <c r="Z123" s="39"/>
      <c r="AA123" s="39"/>
      <c r="AB123" s="39"/>
      <c r="AC123" s="16">
        <f t="shared" si="38"/>
        <v>0</v>
      </c>
      <c r="AD123" s="2098"/>
      <c r="AE123" s="2098"/>
      <c r="AF123" s="2098"/>
      <c r="AG123" s="2098"/>
      <c r="AH123" s="2098"/>
      <c r="AI123" s="2098"/>
      <c r="AJ123" s="2098"/>
      <c r="AK123" s="2098"/>
      <c r="AL123" s="2098"/>
      <c r="AM123" s="2098"/>
      <c r="AN123" s="2098"/>
      <c r="AO123" s="2098"/>
      <c r="AP123" s="2098"/>
      <c r="AQ123" s="2098"/>
      <c r="AR123" s="2098"/>
      <c r="AS123" s="2098"/>
      <c r="AT123" s="2099"/>
      <c r="AU123" s="2100"/>
      <c r="AV123" s="24">
        <f t="shared" si="62"/>
        <v>0</v>
      </c>
      <c r="AW123" s="24" t="str">
        <f t="shared" si="63"/>
        <v>京（2017）朝不动产权第0031455号</v>
      </c>
      <c r="AX123" s="24" t="str">
        <f t="shared" si="64"/>
        <v>1001-12</v>
      </c>
      <c r="AY123" s="42">
        <f t="shared" si="39"/>
        <v>10.050000000000001</v>
      </c>
      <c r="AZ123" s="16">
        <f t="shared" si="40"/>
        <v>99.64</v>
      </c>
      <c r="BA123" s="16">
        <f t="shared" si="41"/>
        <v>99.64</v>
      </c>
      <c r="BB123" s="16">
        <f t="shared" si="42"/>
        <v>99.64</v>
      </c>
      <c r="BC123" s="16">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59" t="str">
        <f>面积表!B118</f>
        <v>京（2017）朝不动产权第0031458号</v>
      </c>
      <c r="C124" s="1259" t="str">
        <f>面积表!C118</f>
        <v>1001-13</v>
      </c>
      <c r="D124" s="2096" t="s">
        <v>3434</v>
      </c>
      <c r="E124" s="16">
        <f t="shared" si="61"/>
        <v>8.36</v>
      </c>
      <c r="F124" s="32"/>
      <c r="G124" s="33">
        <f t="shared" si="36"/>
        <v>82.89</v>
      </c>
      <c r="H124" s="20">
        <f t="shared" si="37"/>
        <v>82.89</v>
      </c>
      <c r="I124" s="2097">
        <f>面积表!G118</f>
        <v>82.89</v>
      </c>
      <c r="J124" s="2097">
        <v>0</v>
      </c>
      <c r="K124" s="2097">
        <v>0</v>
      </c>
      <c r="L124" s="2097">
        <v>0</v>
      </c>
      <c r="M124" s="39"/>
      <c r="N124" s="39"/>
      <c r="O124" s="39"/>
      <c r="P124" s="39"/>
      <c r="Q124" s="39"/>
      <c r="R124" s="39"/>
      <c r="S124" s="39"/>
      <c r="T124" s="39"/>
      <c r="U124" s="39"/>
      <c r="V124" s="39"/>
      <c r="W124" s="39"/>
      <c r="X124" s="39"/>
      <c r="Y124" s="39"/>
      <c r="Z124" s="39"/>
      <c r="AA124" s="39"/>
      <c r="AB124" s="39"/>
      <c r="AC124" s="16">
        <f t="shared" si="38"/>
        <v>0</v>
      </c>
      <c r="AD124" s="2098"/>
      <c r="AE124" s="2098"/>
      <c r="AF124" s="2098"/>
      <c r="AG124" s="2098"/>
      <c r="AH124" s="2098"/>
      <c r="AI124" s="2098"/>
      <c r="AJ124" s="2098"/>
      <c r="AK124" s="2098"/>
      <c r="AL124" s="2098"/>
      <c r="AM124" s="2098"/>
      <c r="AN124" s="2098"/>
      <c r="AO124" s="2098"/>
      <c r="AP124" s="2098"/>
      <c r="AQ124" s="2098"/>
      <c r="AR124" s="2098"/>
      <c r="AS124" s="2098"/>
      <c r="AT124" s="2099"/>
      <c r="AU124" s="2100"/>
      <c r="AV124" s="24">
        <f t="shared" si="62"/>
        <v>0</v>
      </c>
      <c r="AW124" s="24" t="str">
        <f t="shared" si="63"/>
        <v>京（2017）朝不动产权第0031458号</v>
      </c>
      <c r="AX124" s="24" t="str">
        <f t="shared" si="64"/>
        <v>1001-13</v>
      </c>
      <c r="AY124" s="42">
        <f t="shared" si="39"/>
        <v>8.36</v>
      </c>
      <c r="AZ124" s="16">
        <f t="shared" si="40"/>
        <v>82.89</v>
      </c>
      <c r="BA124" s="16">
        <f t="shared" si="41"/>
        <v>82.89</v>
      </c>
      <c r="BB124" s="16">
        <f t="shared" si="42"/>
        <v>82.89</v>
      </c>
      <c r="BC124" s="16">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59" t="str">
        <f>面积表!B119</f>
        <v>京（2017）朝不动产权第0031461号</v>
      </c>
      <c r="C125" s="1259" t="str">
        <f>面积表!C119</f>
        <v>1001-14</v>
      </c>
      <c r="D125" s="2096" t="s">
        <v>3434</v>
      </c>
      <c r="E125" s="16">
        <f t="shared" si="61"/>
        <v>7.65</v>
      </c>
      <c r="F125" s="32"/>
      <c r="G125" s="33">
        <f t="shared" si="36"/>
        <v>75.83</v>
      </c>
      <c r="H125" s="20">
        <f t="shared" si="37"/>
        <v>75.83</v>
      </c>
      <c r="I125" s="2097">
        <f>面积表!G119</f>
        <v>75.83</v>
      </c>
      <c r="J125" s="2097">
        <v>0</v>
      </c>
      <c r="K125" s="2097">
        <v>0</v>
      </c>
      <c r="L125" s="2097">
        <v>0</v>
      </c>
      <c r="M125" s="39"/>
      <c r="N125" s="39"/>
      <c r="O125" s="39"/>
      <c r="P125" s="39"/>
      <c r="Q125" s="39"/>
      <c r="R125" s="39"/>
      <c r="S125" s="39"/>
      <c r="T125" s="39"/>
      <c r="U125" s="39"/>
      <c r="V125" s="39"/>
      <c r="W125" s="39"/>
      <c r="X125" s="39"/>
      <c r="Y125" s="39"/>
      <c r="Z125" s="39"/>
      <c r="AA125" s="39"/>
      <c r="AB125" s="39"/>
      <c r="AC125" s="16">
        <f t="shared" si="38"/>
        <v>0</v>
      </c>
      <c r="AD125" s="2098"/>
      <c r="AE125" s="2098"/>
      <c r="AF125" s="2098"/>
      <c r="AG125" s="2098"/>
      <c r="AH125" s="2098"/>
      <c r="AI125" s="2098"/>
      <c r="AJ125" s="2098"/>
      <c r="AK125" s="2098"/>
      <c r="AL125" s="2098"/>
      <c r="AM125" s="2098"/>
      <c r="AN125" s="2098"/>
      <c r="AO125" s="2098"/>
      <c r="AP125" s="2098"/>
      <c r="AQ125" s="2098"/>
      <c r="AR125" s="2098"/>
      <c r="AS125" s="2098"/>
      <c r="AT125" s="2099"/>
      <c r="AU125" s="2100"/>
      <c r="AV125" s="24">
        <f t="shared" si="62"/>
        <v>0</v>
      </c>
      <c r="AW125" s="24" t="str">
        <f t="shared" si="63"/>
        <v>京（2017）朝不动产权第0031461号</v>
      </c>
      <c r="AX125" s="24" t="str">
        <f t="shared" si="64"/>
        <v>1001-14</v>
      </c>
      <c r="AY125" s="42">
        <f t="shared" si="39"/>
        <v>7.65</v>
      </c>
      <c r="AZ125" s="16">
        <f t="shared" si="40"/>
        <v>75.83</v>
      </c>
      <c r="BA125" s="16">
        <f t="shared" si="41"/>
        <v>75.83</v>
      </c>
      <c r="BB125" s="16">
        <f t="shared" si="42"/>
        <v>75.83</v>
      </c>
      <c r="BC125" s="16">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59" t="str">
        <f>面积表!B120</f>
        <v>京（2017）朝不动产权第0031409号</v>
      </c>
      <c r="C126" s="1259" t="str">
        <f>面积表!C120</f>
        <v>1101-1</v>
      </c>
      <c r="D126" s="2096" t="s">
        <v>3434</v>
      </c>
      <c r="E126" s="16">
        <f t="shared" si="61"/>
        <v>8.8800000000000008</v>
      </c>
      <c r="F126" s="32"/>
      <c r="G126" s="33">
        <f t="shared" si="36"/>
        <v>88.04</v>
      </c>
      <c r="H126" s="20">
        <f t="shared" si="37"/>
        <v>88.04</v>
      </c>
      <c r="I126" s="2097">
        <f>面积表!G120</f>
        <v>88.04</v>
      </c>
      <c r="J126" s="2097">
        <v>0</v>
      </c>
      <c r="K126" s="2097">
        <v>0</v>
      </c>
      <c r="L126" s="2097">
        <v>0</v>
      </c>
      <c r="M126" s="39"/>
      <c r="N126" s="39"/>
      <c r="O126" s="39"/>
      <c r="P126" s="39"/>
      <c r="Q126" s="39"/>
      <c r="R126" s="39"/>
      <c r="S126" s="39"/>
      <c r="T126" s="39"/>
      <c r="U126" s="39"/>
      <c r="V126" s="39"/>
      <c r="W126" s="39"/>
      <c r="X126" s="39"/>
      <c r="Y126" s="39"/>
      <c r="Z126" s="39"/>
      <c r="AA126" s="39"/>
      <c r="AB126" s="39"/>
      <c r="AC126" s="16">
        <f t="shared" si="38"/>
        <v>0</v>
      </c>
      <c r="AD126" s="2098"/>
      <c r="AE126" s="2098"/>
      <c r="AF126" s="2098"/>
      <c r="AG126" s="2098"/>
      <c r="AH126" s="2098"/>
      <c r="AI126" s="2098"/>
      <c r="AJ126" s="2098"/>
      <c r="AK126" s="2098"/>
      <c r="AL126" s="2098"/>
      <c r="AM126" s="2098"/>
      <c r="AN126" s="2098"/>
      <c r="AO126" s="2098"/>
      <c r="AP126" s="2098"/>
      <c r="AQ126" s="2098"/>
      <c r="AR126" s="2098"/>
      <c r="AS126" s="2098"/>
      <c r="AT126" s="2099"/>
      <c r="AU126" s="2100"/>
      <c r="AV126" s="24">
        <f t="shared" si="62"/>
        <v>0</v>
      </c>
      <c r="AW126" s="24" t="str">
        <f t="shared" si="63"/>
        <v>京（2017）朝不动产权第0031409号</v>
      </c>
      <c r="AX126" s="24" t="str">
        <f t="shared" si="64"/>
        <v>1101-1</v>
      </c>
      <c r="AY126" s="42">
        <f t="shared" si="39"/>
        <v>8.8800000000000008</v>
      </c>
      <c r="AZ126" s="16">
        <f t="shared" si="40"/>
        <v>88.04</v>
      </c>
      <c r="BA126" s="16">
        <f t="shared" si="41"/>
        <v>88.04</v>
      </c>
      <c r="BB126" s="16">
        <f t="shared" si="42"/>
        <v>88.04</v>
      </c>
      <c r="BC126" s="16">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59" t="str">
        <f>面积表!B121</f>
        <v>京（2017）朝不动产权第0031398号</v>
      </c>
      <c r="C127" s="1259" t="str">
        <f>面积表!C121</f>
        <v>1101-2</v>
      </c>
      <c r="D127" s="2096" t="s">
        <v>3434</v>
      </c>
      <c r="E127" s="16">
        <f t="shared" si="61"/>
        <v>8.07</v>
      </c>
      <c r="F127" s="32"/>
      <c r="G127" s="33">
        <f t="shared" si="36"/>
        <v>80.06</v>
      </c>
      <c r="H127" s="20">
        <f t="shared" si="37"/>
        <v>80.06</v>
      </c>
      <c r="I127" s="2097">
        <f>面积表!G121</f>
        <v>80.06</v>
      </c>
      <c r="J127" s="2097">
        <v>0</v>
      </c>
      <c r="K127" s="2097">
        <v>0</v>
      </c>
      <c r="L127" s="2097">
        <v>0</v>
      </c>
      <c r="M127" s="39"/>
      <c r="N127" s="39"/>
      <c r="O127" s="39"/>
      <c r="P127" s="39"/>
      <c r="Q127" s="39"/>
      <c r="R127" s="39"/>
      <c r="S127" s="39"/>
      <c r="T127" s="39"/>
      <c r="U127" s="39"/>
      <c r="V127" s="39"/>
      <c r="W127" s="39"/>
      <c r="X127" s="39"/>
      <c r="Y127" s="39"/>
      <c r="Z127" s="39"/>
      <c r="AA127" s="39"/>
      <c r="AB127" s="39"/>
      <c r="AC127" s="16">
        <f t="shared" si="38"/>
        <v>0</v>
      </c>
      <c r="AD127" s="2098"/>
      <c r="AE127" s="2098"/>
      <c r="AF127" s="2098"/>
      <c r="AG127" s="2098"/>
      <c r="AH127" s="2098"/>
      <c r="AI127" s="2098"/>
      <c r="AJ127" s="2098"/>
      <c r="AK127" s="2098"/>
      <c r="AL127" s="2098"/>
      <c r="AM127" s="2098"/>
      <c r="AN127" s="2098"/>
      <c r="AO127" s="2098"/>
      <c r="AP127" s="2098"/>
      <c r="AQ127" s="2098"/>
      <c r="AR127" s="2098"/>
      <c r="AS127" s="2098"/>
      <c r="AT127" s="2099"/>
      <c r="AU127" s="2100"/>
      <c r="AV127" s="24">
        <f t="shared" si="62"/>
        <v>0</v>
      </c>
      <c r="AW127" s="24" t="str">
        <f t="shared" si="63"/>
        <v>京（2017）朝不动产权第0031398号</v>
      </c>
      <c r="AX127" s="24" t="str">
        <f t="shared" si="64"/>
        <v>1101-2</v>
      </c>
      <c r="AY127" s="42">
        <f t="shared" si="39"/>
        <v>8.07</v>
      </c>
      <c r="AZ127" s="16">
        <f t="shared" si="40"/>
        <v>80.06</v>
      </c>
      <c r="BA127" s="16">
        <f t="shared" si="41"/>
        <v>80.06</v>
      </c>
      <c r="BB127" s="16">
        <f t="shared" si="42"/>
        <v>80.06</v>
      </c>
      <c r="BC127" s="16">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59" t="str">
        <f>面积表!B122</f>
        <v>京（2017）朝不动产权第0031387号</v>
      </c>
      <c r="C128" s="1259" t="str">
        <f>面积表!C122</f>
        <v>1101-3</v>
      </c>
      <c r="D128" s="2096" t="s">
        <v>3434</v>
      </c>
      <c r="E128" s="16">
        <f t="shared" si="61"/>
        <v>8.07</v>
      </c>
      <c r="F128" s="32"/>
      <c r="G128" s="33">
        <f t="shared" si="36"/>
        <v>80.06</v>
      </c>
      <c r="H128" s="20">
        <f t="shared" si="37"/>
        <v>80.06</v>
      </c>
      <c r="I128" s="2097">
        <f>面积表!G122</f>
        <v>80.06</v>
      </c>
      <c r="J128" s="2097">
        <v>0</v>
      </c>
      <c r="K128" s="2097">
        <v>0</v>
      </c>
      <c r="L128" s="2097">
        <v>0</v>
      </c>
      <c r="M128" s="39"/>
      <c r="N128" s="39"/>
      <c r="O128" s="39"/>
      <c r="P128" s="39"/>
      <c r="Q128" s="39"/>
      <c r="R128" s="39"/>
      <c r="S128" s="39"/>
      <c r="T128" s="39"/>
      <c r="U128" s="39"/>
      <c r="V128" s="39"/>
      <c r="W128" s="39"/>
      <c r="X128" s="39"/>
      <c r="Y128" s="39"/>
      <c r="Z128" s="39"/>
      <c r="AA128" s="39"/>
      <c r="AB128" s="39"/>
      <c r="AC128" s="16">
        <f t="shared" si="38"/>
        <v>0</v>
      </c>
      <c r="AD128" s="2098"/>
      <c r="AE128" s="2098"/>
      <c r="AF128" s="2098"/>
      <c r="AG128" s="2098"/>
      <c r="AH128" s="2098"/>
      <c r="AI128" s="2098"/>
      <c r="AJ128" s="2098"/>
      <c r="AK128" s="2098"/>
      <c r="AL128" s="2098"/>
      <c r="AM128" s="2098"/>
      <c r="AN128" s="2098"/>
      <c r="AO128" s="2098"/>
      <c r="AP128" s="2098"/>
      <c r="AQ128" s="2098"/>
      <c r="AR128" s="2098"/>
      <c r="AS128" s="2098"/>
      <c r="AT128" s="2099"/>
      <c r="AU128" s="2100"/>
      <c r="AV128" s="24">
        <f t="shared" si="62"/>
        <v>0</v>
      </c>
      <c r="AW128" s="24" t="str">
        <f t="shared" si="63"/>
        <v>京（2017）朝不动产权第0031387号</v>
      </c>
      <c r="AX128" s="24" t="str">
        <f t="shared" si="64"/>
        <v>1101-3</v>
      </c>
      <c r="AY128" s="42">
        <f t="shared" si="39"/>
        <v>8.07</v>
      </c>
      <c r="AZ128" s="16">
        <f t="shared" si="40"/>
        <v>80.06</v>
      </c>
      <c r="BA128" s="16">
        <f t="shared" si="41"/>
        <v>80.06</v>
      </c>
      <c r="BB128" s="16">
        <f t="shared" si="42"/>
        <v>80.06</v>
      </c>
      <c r="BC128" s="16">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59" t="str">
        <f>面积表!B123</f>
        <v>京（2017）朝不动产权第0031374号</v>
      </c>
      <c r="C129" s="1259" t="str">
        <f>面积表!C123</f>
        <v>1101-4</v>
      </c>
      <c r="D129" s="2096" t="s">
        <v>3434</v>
      </c>
      <c r="E129" s="16">
        <f t="shared" si="61"/>
        <v>8.07</v>
      </c>
      <c r="F129" s="32"/>
      <c r="G129" s="33">
        <f t="shared" si="36"/>
        <v>80.06</v>
      </c>
      <c r="H129" s="20">
        <f t="shared" si="37"/>
        <v>80.06</v>
      </c>
      <c r="I129" s="2097">
        <f>面积表!G123</f>
        <v>80.06</v>
      </c>
      <c r="J129" s="2097">
        <v>0</v>
      </c>
      <c r="K129" s="2097">
        <v>0</v>
      </c>
      <c r="L129" s="2097">
        <v>0</v>
      </c>
      <c r="M129" s="39"/>
      <c r="N129" s="39"/>
      <c r="O129" s="39"/>
      <c r="P129" s="39"/>
      <c r="Q129" s="39"/>
      <c r="R129" s="39"/>
      <c r="S129" s="39"/>
      <c r="T129" s="39"/>
      <c r="U129" s="39"/>
      <c r="V129" s="39"/>
      <c r="W129" s="39"/>
      <c r="X129" s="39"/>
      <c r="Y129" s="39"/>
      <c r="Z129" s="39"/>
      <c r="AA129" s="39"/>
      <c r="AB129" s="39"/>
      <c r="AC129" s="16">
        <f t="shared" si="38"/>
        <v>0</v>
      </c>
      <c r="AD129" s="2098"/>
      <c r="AE129" s="2098"/>
      <c r="AF129" s="2098"/>
      <c r="AG129" s="2098"/>
      <c r="AH129" s="2098"/>
      <c r="AI129" s="2098"/>
      <c r="AJ129" s="2098"/>
      <c r="AK129" s="2098"/>
      <c r="AL129" s="2098"/>
      <c r="AM129" s="2098"/>
      <c r="AN129" s="2098"/>
      <c r="AO129" s="2098"/>
      <c r="AP129" s="2098"/>
      <c r="AQ129" s="2098"/>
      <c r="AR129" s="2098"/>
      <c r="AS129" s="2098"/>
      <c r="AT129" s="2099"/>
      <c r="AU129" s="2100"/>
      <c r="AV129" s="24">
        <f t="shared" si="62"/>
        <v>0</v>
      </c>
      <c r="AW129" s="24" t="str">
        <f t="shared" si="63"/>
        <v>京（2017）朝不动产权第0031374号</v>
      </c>
      <c r="AX129" s="24" t="str">
        <f t="shared" si="64"/>
        <v>1101-4</v>
      </c>
      <c r="AY129" s="42">
        <f t="shared" si="39"/>
        <v>8.07</v>
      </c>
      <c r="AZ129" s="16">
        <f t="shared" si="40"/>
        <v>80.06</v>
      </c>
      <c r="BA129" s="16">
        <f t="shared" si="41"/>
        <v>80.06</v>
      </c>
      <c r="BB129" s="16">
        <f t="shared" si="42"/>
        <v>80.06</v>
      </c>
      <c r="BC129" s="16">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59" t="str">
        <f>面积表!B124</f>
        <v>京（2017）朝不动产权第0031074号</v>
      </c>
      <c r="C130" s="1259" t="str">
        <f>面积表!C124</f>
        <v>1101-5</v>
      </c>
      <c r="D130" s="2096" t="s">
        <v>3434</v>
      </c>
      <c r="E130" s="16">
        <f t="shared" si="61"/>
        <v>10.07</v>
      </c>
      <c r="F130" s="32"/>
      <c r="G130" s="33">
        <f t="shared" si="36"/>
        <v>99.81</v>
      </c>
      <c r="H130" s="20">
        <f t="shared" si="37"/>
        <v>99.81</v>
      </c>
      <c r="I130" s="2097">
        <f>面积表!G124</f>
        <v>99.81</v>
      </c>
      <c r="J130" s="2097">
        <v>0</v>
      </c>
      <c r="K130" s="2097">
        <v>0</v>
      </c>
      <c r="L130" s="2097">
        <v>0</v>
      </c>
      <c r="M130" s="39"/>
      <c r="N130" s="39"/>
      <c r="O130" s="39"/>
      <c r="P130" s="39"/>
      <c r="Q130" s="39"/>
      <c r="R130" s="39"/>
      <c r="S130" s="39"/>
      <c r="T130" s="39"/>
      <c r="U130" s="39"/>
      <c r="V130" s="39"/>
      <c r="W130" s="39"/>
      <c r="X130" s="39"/>
      <c r="Y130" s="39"/>
      <c r="Z130" s="39"/>
      <c r="AA130" s="39"/>
      <c r="AB130" s="39"/>
      <c r="AC130" s="16">
        <f t="shared" si="38"/>
        <v>0</v>
      </c>
      <c r="AD130" s="2098"/>
      <c r="AE130" s="2098"/>
      <c r="AF130" s="2098"/>
      <c r="AG130" s="2098"/>
      <c r="AH130" s="2098"/>
      <c r="AI130" s="2098"/>
      <c r="AJ130" s="2098"/>
      <c r="AK130" s="2098"/>
      <c r="AL130" s="2098"/>
      <c r="AM130" s="2098"/>
      <c r="AN130" s="2098"/>
      <c r="AO130" s="2098"/>
      <c r="AP130" s="2098"/>
      <c r="AQ130" s="2098"/>
      <c r="AR130" s="2098"/>
      <c r="AS130" s="2098"/>
      <c r="AT130" s="2099"/>
      <c r="AU130" s="2100"/>
      <c r="AV130" s="24">
        <f t="shared" si="62"/>
        <v>0</v>
      </c>
      <c r="AW130" s="24" t="str">
        <f t="shared" si="63"/>
        <v>京（2017）朝不动产权第0031074号</v>
      </c>
      <c r="AX130" s="24" t="str">
        <f t="shared" si="64"/>
        <v>1101-5</v>
      </c>
      <c r="AY130" s="42">
        <f t="shared" si="39"/>
        <v>10.07</v>
      </c>
      <c r="AZ130" s="16">
        <f t="shared" si="40"/>
        <v>99.81</v>
      </c>
      <c r="BA130" s="16">
        <f t="shared" si="41"/>
        <v>99.81</v>
      </c>
      <c r="BB130" s="16">
        <f t="shared" si="42"/>
        <v>99.81</v>
      </c>
      <c r="BC130" s="16">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59" t="str">
        <f>面积表!B125</f>
        <v>京（2017）朝不动产权第0031078号</v>
      </c>
      <c r="C131" s="1259" t="str">
        <f>面积表!C125</f>
        <v>1101-6</v>
      </c>
      <c r="D131" s="2096" t="s">
        <v>3434</v>
      </c>
      <c r="E131" s="16">
        <f t="shared" si="61"/>
        <v>8.4</v>
      </c>
      <c r="F131" s="32"/>
      <c r="G131" s="33">
        <f t="shared" si="36"/>
        <v>83.28</v>
      </c>
      <c r="H131" s="20">
        <f t="shared" si="37"/>
        <v>83.28</v>
      </c>
      <c r="I131" s="2097">
        <f>面积表!G125</f>
        <v>83.28</v>
      </c>
      <c r="J131" s="2097">
        <v>0</v>
      </c>
      <c r="K131" s="2097">
        <v>0</v>
      </c>
      <c r="L131" s="2097">
        <v>0</v>
      </c>
      <c r="M131" s="39"/>
      <c r="N131" s="39"/>
      <c r="O131" s="39"/>
      <c r="P131" s="39"/>
      <c r="Q131" s="39"/>
      <c r="R131" s="39"/>
      <c r="S131" s="39"/>
      <c r="T131" s="39"/>
      <c r="U131" s="39"/>
      <c r="V131" s="39"/>
      <c r="W131" s="39"/>
      <c r="X131" s="39"/>
      <c r="Y131" s="39"/>
      <c r="Z131" s="39"/>
      <c r="AA131" s="39"/>
      <c r="AB131" s="39"/>
      <c r="AC131" s="16">
        <f t="shared" si="38"/>
        <v>0</v>
      </c>
      <c r="AD131" s="2098"/>
      <c r="AE131" s="2098"/>
      <c r="AF131" s="2098"/>
      <c r="AG131" s="2098"/>
      <c r="AH131" s="2098"/>
      <c r="AI131" s="2098"/>
      <c r="AJ131" s="2098"/>
      <c r="AK131" s="2098"/>
      <c r="AL131" s="2098"/>
      <c r="AM131" s="2098"/>
      <c r="AN131" s="2098"/>
      <c r="AO131" s="2098"/>
      <c r="AP131" s="2098"/>
      <c r="AQ131" s="2098"/>
      <c r="AR131" s="2098"/>
      <c r="AS131" s="2098"/>
      <c r="AT131" s="2099"/>
      <c r="AU131" s="2100"/>
      <c r="AV131" s="24">
        <f t="shared" si="62"/>
        <v>0</v>
      </c>
      <c r="AW131" s="24" t="str">
        <f t="shared" si="63"/>
        <v>京（2017）朝不动产权第0031078号</v>
      </c>
      <c r="AX131" s="24" t="str">
        <f t="shared" si="64"/>
        <v>1101-6</v>
      </c>
      <c r="AY131" s="42">
        <f t="shared" si="39"/>
        <v>8.4</v>
      </c>
      <c r="AZ131" s="16">
        <f t="shared" si="40"/>
        <v>83.28</v>
      </c>
      <c r="BA131" s="16">
        <f t="shared" si="41"/>
        <v>83.28</v>
      </c>
      <c r="BB131" s="16">
        <f t="shared" si="42"/>
        <v>83.28</v>
      </c>
      <c r="BC131" s="16">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59" t="str">
        <f>面积表!B126</f>
        <v>京（2017）朝不动产权第0019989号</v>
      </c>
      <c r="C132" s="1259" t="str">
        <f>面积表!C126</f>
        <v>1101-7</v>
      </c>
      <c r="D132" s="2096" t="s">
        <v>3434</v>
      </c>
      <c r="E132" s="16">
        <f t="shared" si="61"/>
        <v>10.87</v>
      </c>
      <c r="F132" s="32"/>
      <c r="G132" s="33">
        <f t="shared" si="36"/>
        <v>107.74</v>
      </c>
      <c r="H132" s="20">
        <f t="shared" si="37"/>
        <v>107.74</v>
      </c>
      <c r="I132" s="2097">
        <f>面积表!G126</f>
        <v>107.74</v>
      </c>
      <c r="J132" s="2097">
        <v>0</v>
      </c>
      <c r="K132" s="2097">
        <v>0</v>
      </c>
      <c r="L132" s="2097">
        <v>0</v>
      </c>
      <c r="M132" s="39"/>
      <c r="N132" s="39"/>
      <c r="O132" s="39"/>
      <c r="P132" s="39"/>
      <c r="Q132" s="39"/>
      <c r="R132" s="39"/>
      <c r="S132" s="39"/>
      <c r="T132" s="39"/>
      <c r="U132" s="39"/>
      <c r="V132" s="39"/>
      <c r="W132" s="39"/>
      <c r="X132" s="39"/>
      <c r="Y132" s="39"/>
      <c r="Z132" s="39"/>
      <c r="AA132" s="39"/>
      <c r="AB132" s="39"/>
      <c r="AC132" s="16">
        <f t="shared" si="38"/>
        <v>0</v>
      </c>
      <c r="AD132" s="2098"/>
      <c r="AE132" s="2098"/>
      <c r="AF132" s="2098"/>
      <c r="AG132" s="2098"/>
      <c r="AH132" s="2098"/>
      <c r="AI132" s="2098"/>
      <c r="AJ132" s="2098"/>
      <c r="AK132" s="2098"/>
      <c r="AL132" s="2098"/>
      <c r="AM132" s="2098"/>
      <c r="AN132" s="2098"/>
      <c r="AO132" s="2098"/>
      <c r="AP132" s="2098"/>
      <c r="AQ132" s="2098"/>
      <c r="AR132" s="2098"/>
      <c r="AS132" s="2098"/>
      <c r="AT132" s="2099"/>
      <c r="AU132" s="2100"/>
      <c r="AV132" s="24">
        <f t="shared" si="62"/>
        <v>0</v>
      </c>
      <c r="AW132" s="24" t="str">
        <f t="shared" si="63"/>
        <v>京（2017）朝不动产权第0019989号</v>
      </c>
      <c r="AX132" s="24" t="str">
        <f t="shared" si="64"/>
        <v>1101-7</v>
      </c>
      <c r="AY132" s="42">
        <f t="shared" si="39"/>
        <v>10.87</v>
      </c>
      <c r="AZ132" s="16">
        <f t="shared" si="40"/>
        <v>107.74</v>
      </c>
      <c r="BA132" s="16">
        <f t="shared" si="41"/>
        <v>107.74</v>
      </c>
      <c r="BB132" s="16">
        <f t="shared" si="42"/>
        <v>107.74</v>
      </c>
      <c r="BC132" s="16">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59" t="str">
        <f>面积表!B127</f>
        <v>京（2017）朝不动产权第0019987号</v>
      </c>
      <c r="C133" s="1259" t="str">
        <f>面积表!C127</f>
        <v>1101-8</v>
      </c>
      <c r="D133" s="2096" t="s">
        <v>3434</v>
      </c>
      <c r="E133" s="16">
        <f t="shared" si="61"/>
        <v>8.84</v>
      </c>
      <c r="F133" s="32"/>
      <c r="G133" s="33">
        <f t="shared" si="36"/>
        <v>87.64</v>
      </c>
      <c r="H133" s="20">
        <f t="shared" si="37"/>
        <v>87.64</v>
      </c>
      <c r="I133" s="2097">
        <f>面积表!G127</f>
        <v>87.64</v>
      </c>
      <c r="J133" s="2097">
        <v>0</v>
      </c>
      <c r="K133" s="2097">
        <v>0</v>
      </c>
      <c r="L133" s="2097">
        <v>0</v>
      </c>
      <c r="M133" s="39"/>
      <c r="N133" s="39"/>
      <c r="O133" s="39"/>
      <c r="P133" s="39"/>
      <c r="Q133" s="39"/>
      <c r="R133" s="39"/>
      <c r="S133" s="39"/>
      <c r="T133" s="39"/>
      <c r="U133" s="39"/>
      <c r="V133" s="39"/>
      <c r="W133" s="39"/>
      <c r="X133" s="39"/>
      <c r="Y133" s="39"/>
      <c r="Z133" s="39"/>
      <c r="AA133" s="39"/>
      <c r="AB133" s="39"/>
      <c r="AC133" s="16">
        <f t="shared" si="38"/>
        <v>0</v>
      </c>
      <c r="AD133" s="2098"/>
      <c r="AE133" s="2098"/>
      <c r="AF133" s="2098"/>
      <c r="AG133" s="2098"/>
      <c r="AH133" s="2098"/>
      <c r="AI133" s="2098"/>
      <c r="AJ133" s="2098"/>
      <c r="AK133" s="2098"/>
      <c r="AL133" s="2098"/>
      <c r="AM133" s="2098"/>
      <c r="AN133" s="2098"/>
      <c r="AO133" s="2098"/>
      <c r="AP133" s="2098"/>
      <c r="AQ133" s="2098"/>
      <c r="AR133" s="2098"/>
      <c r="AS133" s="2098"/>
      <c r="AT133" s="2099"/>
      <c r="AU133" s="2100"/>
      <c r="AV133" s="24">
        <f t="shared" si="62"/>
        <v>0</v>
      </c>
      <c r="AW133" s="24" t="str">
        <f t="shared" si="63"/>
        <v>京（2017）朝不动产权第0019987号</v>
      </c>
      <c r="AX133" s="24" t="str">
        <f t="shared" si="64"/>
        <v>1101-8</v>
      </c>
      <c r="AY133" s="42">
        <f t="shared" si="39"/>
        <v>8.84</v>
      </c>
      <c r="AZ133" s="16">
        <f t="shared" si="40"/>
        <v>87.64</v>
      </c>
      <c r="BA133" s="16">
        <f t="shared" si="41"/>
        <v>87.64</v>
      </c>
      <c r="BB133" s="16">
        <f t="shared" si="42"/>
        <v>87.64</v>
      </c>
      <c r="BC133" s="16">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59" t="str">
        <f>面积表!B128</f>
        <v>京（2017）朝不动产权第0020022号</v>
      </c>
      <c r="C134" s="1259" t="str">
        <f>面积表!C128</f>
        <v>1101-9</v>
      </c>
      <c r="D134" s="2096" t="s">
        <v>3434</v>
      </c>
      <c r="E134" s="16">
        <f t="shared" si="61"/>
        <v>8.07</v>
      </c>
      <c r="F134" s="32"/>
      <c r="G134" s="33">
        <f t="shared" si="36"/>
        <v>80.06</v>
      </c>
      <c r="H134" s="20">
        <f t="shared" si="37"/>
        <v>80.06</v>
      </c>
      <c r="I134" s="2097">
        <f>面积表!G128</f>
        <v>80.06</v>
      </c>
      <c r="J134" s="2097">
        <v>0</v>
      </c>
      <c r="K134" s="2097">
        <v>0</v>
      </c>
      <c r="L134" s="2097">
        <v>0</v>
      </c>
      <c r="M134" s="39"/>
      <c r="N134" s="39"/>
      <c r="O134" s="39"/>
      <c r="P134" s="39"/>
      <c r="Q134" s="39"/>
      <c r="R134" s="39"/>
      <c r="S134" s="39"/>
      <c r="T134" s="39"/>
      <c r="U134" s="39"/>
      <c r="V134" s="39"/>
      <c r="W134" s="39"/>
      <c r="X134" s="39"/>
      <c r="Y134" s="39"/>
      <c r="Z134" s="39"/>
      <c r="AA134" s="39"/>
      <c r="AB134" s="39"/>
      <c r="AC134" s="16">
        <f t="shared" si="38"/>
        <v>0</v>
      </c>
      <c r="AD134" s="2098"/>
      <c r="AE134" s="2098"/>
      <c r="AF134" s="2098"/>
      <c r="AG134" s="2098"/>
      <c r="AH134" s="2098"/>
      <c r="AI134" s="2098"/>
      <c r="AJ134" s="2098"/>
      <c r="AK134" s="2098"/>
      <c r="AL134" s="2098"/>
      <c r="AM134" s="2098"/>
      <c r="AN134" s="2098"/>
      <c r="AO134" s="2098"/>
      <c r="AP134" s="2098"/>
      <c r="AQ134" s="2098"/>
      <c r="AR134" s="2098"/>
      <c r="AS134" s="2098"/>
      <c r="AT134" s="2099"/>
      <c r="AU134" s="2100"/>
      <c r="AV134" s="24">
        <f t="shared" si="62"/>
        <v>0</v>
      </c>
      <c r="AW134" s="24" t="str">
        <f t="shared" si="63"/>
        <v>京（2017）朝不动产权第0020022号</v>
      </c>
      <c r="AX134" s="24" t="str">
        <f t="shared" si="64"/>
        <v>1101-9</v>
      </c>
      <c r="AY134" s="42">
        <f t="shared" si="39"/>
        <v>8.07</v>
      </c>
      <c r="AZ134" s="16">
        <f t="shared" si="40"/>
        <v>80.06</v>
      </c>
      <c r="BA134" s="16">
        <f t="shared" si="41"/>
        <v>80.06</v>
      </c>
      <c r="BB134" s="16">
        <f t="shared" si="42"/>
        <v>80.06</v>
      </c>
      <c r="BC134" s="16">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59" t="str">
        <f>面积表!B129</f>
        <v>京（2017）朝不动产权第0019993号</v>
      </c>
      <c r="C135" s="1259" t="str">
        <f>面积表!C129</f>
        <v>1101-10</v>
      </c>
      <c r="D135" s="2096" t="s">
        <v>3434</v>
      </c>
      <c r="E135" s="16">
        <f t="shared" si="61"/>
        <v>8.07</v>
      </c>
      <c r="F135" s="32"/>
      <c r="G135" s="33">
        <f t="shared" si="36"/>
        <v>80.06</v>
      </c>
      <c r="H135" s="20">
        <f t="shared" si="37"/>
        <v>80.06</v>
      </c>
      <c r="I135" s="2097">
        <f>面积表!G129</f>
        <v>80.06</v>
      </c>
      <c r="J135" s="2097">
        <v>0</v>
      </c>
      <c r="K135" s="2097">
        <v>0</v>
      </c>
      <c r="L135" s="2097">
        <v>0</v>
      </c>
      <c r="M135" s="39"/>
      <c r="N135" s="39"/>
      <c r="O135" s="39"/>
      <c r="P135" s="39"/>
      <c r="Q135" s="39"/>
      <c r="R135" s="39"/>
      <c r="S135" s="39"/>
      <c r="T135" s="39"/>
      <c r="U135" s="39"/>
      <c r="V135" s="39"/>
      <c r="W135" s="39"/>
      <c r="X135" s="39"/>
      <c r="Y135" s="39"/>
      <c r="Z135" s="39"/>
      <c r="AA135" s="39"/>
      <c r="AB135" s="39"/>
      <c r="AC135" s="16">
        <f t="shared" si="38"/>
        <v>0</v>
      </c>
      <c r="AD135" s="2098"/>
      <c r="AE135" s="2098"/>
      <c r="AF135" s="2098"/>
      <c r="AG135" s="2098"/>
      <c r="AH135" s="2098"/>
      <c r="AI135" s="2098"/>
      <c r="AJ135" s="2098"/>
      <c r="AK135" s="2098"/>
      <c r="AL135" s="2098"/>
      <c r="AM135" s="2098"/>
      <c r="AN135" s="2098"/>
      <c r="AO135" s="2098"/>
      <c r="AP135" s="2098"/>
      <c r="AQ135" s="2098"/>
      <c r="AR135" s="2098"/>
      <c r="AS135" s="2098"/>
      <c r="AT135" s="2099"/>
      <c r="AU135" s="2100"/>
      <c r="AV135" s="24">
        <f t="shared" si="62"/>
        <v>0</v>
      </c>
      <c r="AW135" s="24" t="str">
        <f t="shared" si="63"/>
        <v>京（2017）朝不动产权第0019993号</v>
      </c>
      <c r="AX135" s="24" t="str">
        <f t="shared" si="64"/>
        <v>1101-10</v>
      </c>
      <c r="AY135" s="42">
        <f t="shared" si="39"/>
        <v>8.07</v>
      </c>
      <c r="AZ135" s="16">
        <f t="shared" si="40"/>
        <v>80.06</v>
      </c>
      <c r="BA135" s="16">
        <f t="shared" si="41"/>
        <v>80.06</v>
      </c>
      <c r="BB135" s="16">
        <f t="shared" si="42"/>
        <v>80.06</v>
      </c>
      <c r="BC135" s="16">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59" t="str">
        <f>面积表!B130</f>
        <v>京（2017）朝不动产权第0025245号</v>
      </c>
      <c r="C136" s="1259" t="str">
        <f>面积表!C130</f>
        <v>1101-11</v>
      </c>
      <c r="D136" s="2096" t="s">
        <v>3434</v>
      </c>
      <c r="E136" s="16">
        <f t="shared" si="61"/>
        <v>8.07</v>
      </c>
      <c r="F136" s="32"/>
      <c r="G136" s="33">
        <f t="shared" si="36"/>
        <v>80.06</v>
      </c>
      <c r="H136" s="20">
        <f t="shared" si="37"/>
        <v>80.06</v>
      </c>
      <c r="I136" s="2097">
        <f>面积表!G130</f>
        <v>80.06</v>
      </c>
      <c r="J136" s="2097">
        <v>0</v>
      </c>
      <c r="K136" s="2097">
        <v>0</v>
      </c>
      <c r="L136" s="2097">
        <v>0</v>
      </c>
      <c r="M136" s="39"/>
      <c r="N136" s="39"/>
      <c r="O136" s="39"/>
      <c r="P136" s="39"/>
      <c r="Q136" s="39"/>
      <c r="R136" s="39"/>
      <c r="S136" s="39"/>
      <c r="T136" s="39"/>
      <c r="U136" s="39"/>
      <c r="V136" s="39"/>
      <c r="W136" s="39"/>
      <c r="X136" s="39"/>
      <c r="Y136" s="39"/>
      <c r="Z136" s="39"/>
      <c r="AA136" s="39"/>
      <c r="AB136" s="39"/>
      <c r="AC136" s="16">
        <f t="shared" si="38"/>
        <v>0</v>
      </c>
      <c r="AD136" s="2098"/>
      <c r="AE136" s="2098"/>
      <c r="AF136" s="2098"/>
      <c r="AG136" s="2098"/>
      <c r="AH136" s="2098"/>
      <c r="AI136" s="2098"/>
      <c r="AJ136" s="2098"/>
      <c r="AK136" s="2098"/>
      <c r="AL136" s="2098"/>
      <c r="AM136" s="2098"/>
      <c r="AN136" s="2098"/>
      <c r="AO136" s="2098"/>
      <c r="AP136" s="2098"/>
      <c r="AQ136" s="2098"/>
      <c r="AR136" s="2098"/>
      <c r="AS136" s="2098"/>
      <c r="AT136" s="2099"/>
      <c r="AU136" s="2100"/>
      <c r="AV136" s="24">
        <f t="shared" si="62"/>
        <v>0</v>
      </c>
      <c r="AW136" s="24" t="str">
        <f t="shared" si="63"/>
        <v>京（2017）朝不动产权第0025245号</v>
      </c>
      <c r="AX136" s="24" t="str">
        <f t="shared" si="64"/>
        <v>1101-11</v>
      </c>
      <c r="AY136" s="42">
        <f t="shared" si="39"/>
        <v>8.07</v>
      </c>
      <c r="AZ136" s="16">
        <f t="shared" si="40"/>
        <v>80.06</v>
      </c>
      <c r="BA136" s="16">
        <f t="shared" si="41"/>
        <v>80.06</v>
      </c>
      <c r="BB136" s="16">
        <f t="shared" si="42"/>
        <v>80.06</v>
      </c>
      <c r="BC136" s="16">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59" t="str">
        <f>面积表!B131</f>
        <v>京（2017）朝不动产权第0022702号</v>
      </c>
      <c r="C137" s="1259" t="str">
        <f>面积表!C131</f>
        <v>1101-12</v>
      </c>
      <c r="D137" s="2096" t="s">
        <v>3434</v>
      </c>
      <c r="E137" s="16">
        <f t="shared" si="61"/>
        <v>10.050000000000001</v>
      </c>
      <c r="F137" s="32"/>
      <c r="G137" s="33">
        <f t="shared" si="36"/>
        <v>99.64</v>
      </c>
      <c r="H137" s="20">
        <f t="shared" si="37"/>
        <v>99.64</v>
      </c>
      <c r="I137" s="2097">
        <f>面积表!G131</f>
        <v>99.64</v>
      </c>
      <c r="J137" s="2097">
        <v>0</v>
      </c>
      <c r="K137" s="2097">
        <v>0</v>
      </c>
      <c r="L137" s="2097">
        <v>0</v>
      </c>
      <c r="M137" s="39"/>
      <c r="N137" s="39"/>
      <c r="O137" s="39"/>
      <c r="P137" s="39"/>
      <c r="Q137" s="39"/>
      <c r="R137" s="39"/>
      <c r="S137" s="39"/>
      <c r="T137" s="39"/>
      <c r="U137" s="39"/>
      <c r="V137" s="39"/>
      <c r="W137" s="39"/>
      <c r="X137" s="39"/>
      <c r="Y137" s="39"/>
      <c r="Z137" s="39"/>
      <c r="AA137" s="39"/>
      <c r="AB137" s="39"/>
      <c r="AC137" s="16">
        <f t="shared" si="38"/>
        <v>0</v>
      </c>
      <c r="AD137" s="2098"/>
      <c r="AE137" s="2098"/>
      <c r="AF137" s="2098"/>
      <c r="AG137" s="2098"/>
      <c r="AH137" s="2098"/>
      <c r="AI137" s="2098"/>
      <c r="AJ137" s="2098"/>
      <c r="AK137" s="2098"/>
      <c r="AL137" s="2098"/>
      <c r="AM137" s="2098"/>
      <c r="AN137" s="2098"/>
      <c r="AO137" s="2098"/>
      <c r="AP137" s="2098"/>
      <c r="AQ137" s="2098"/>
      <c r="AR137" s="2098"/>
      <c r="AS137" s="2098"/>
      <c r="AT137" s="2099"/>
      <c r="AU137" s="2100"/>
      <c r="AV137" s="24">
        <f t="shared" si="62"/>
        <v>0</v>
      </c>
      <c r="AW137" s="24" t="str">
        <f t="shared" si="63"/>
        <v>京（2017）朝不动产权第0022702号</v>
      </c>
      <c r="AX137" s="24" t="str">
        <f t="shared" si="64"/>
        <v>1101-12</v>
      </c>
      <c r="AY137" s="42">
        <f t="shared" si="39"/>
        <v>10.050000000000001</v>
      </c>
      <c r="AZ137" s="16">
        <f t="shared" si="40"/>
        <v>99.64</v>
      </c>
      <c r="BA137" s="16">
        <f t="shared" si="41"/>
        <v>99.64</v>
      </c>
      <c r="BB137" s="16">
        <f t="shared" si="42"/>
        <v>99.64</v>
      </c>
      <c r="BC137" s="16">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59" t="str">
        <f>面积表!B132</f>
        <v>京（2017）朝不动产权第0022639号</v>
      </c>
      <c r="C138" s="1259" t="str">
        <f>面积表!C132</f>
        <v>1101-13</v>
      </c>
      <c r="D138" s="2096" t="s">
        <v>3434</v>
      </c>
      <c r="E138" s="16">
        <f t="shared" si="61"/>
        <v>8.36</v>
      </c>
      <c r="F138" s="32"/>
      <c r="G138" s="33">
        <f t="shared" si="36"/>
        <v>82.89</v>
      </c>
      <c r="H138" s="20">
        <f t="shared" si="37"/>
        <v>82.89</v>
      </c>
      <c r="I138" s="2097">
        <f>面积表!G132</f>
        <v>82.89</v>
      </c>
      <c r="J138" s="2097">
        <v>0</v>
      </c>
      <c r="K138" s="2097">
        <v>0</v>
      </c>
      <c r="L138" s="2097">
        <v>0</v>
      </c>
      <c r="M138" s="39"/>
      <c r="N138" s="39"/>
      <c r="O138" s="39"/>
      <c r="P138" s="39"/>
      <c r="Q138" s="39"/>
      <c r="R138" s="39"/>
      <c r="S138" s="39"/>
      <c r="T138" s="39"/>
      <c r="U138" s="39"/>
      <c r="V138" s="39"/>
      <c r="W138" s="39"/>
      <c r="X138" s="39"/>
      <c r="Y138" s="39"/>
      <c r="Z138" s="39"/>
      <c r="AA138" s="39"/>
      <c r="AB138" s="39"/>
      <c r="AC138" s="16">
        <f t="shared" si="38"/>
        <v>0</v>
      </c>
      <c r="AD138" s="2098"/>
      <c r="AE138" s="2098"/>
      <c r="AF138" s="2098"/>
      <c r="AG138" s="2098"/>
      <c r="AH138" s="2098"/>
      <c r="AI138" s="2098"/>
      <c r="AJ138" s="2098"/>
      <c r="AK138" s="2098"/>
      <c r="AL138" s="2098"/>
      <c r="AM138" s="2098"/>
      <c r="AN138" s="2098"/>
      <c r="AO138" s="2098"/>
      <c r="AP138" s="2098"/>
      <c r="AQ138" s="2098"/>
      <c r="AR138" s="2098"/>
      <c r="AS138" s="2098"/>
      <c r="AT138" s="2099"/>
      <c r="AU138" s="2100"/>
      <c r="AV138" s="24">
        <f t="shared" si="62"/>
        <v>0</v>
      </c>
      <c r="AW138" s="24" t="str">
        <f t="shared" si="63"/>
        <v>京（2017）朝不动产权第0022639号</v>
      </c>
      <c r="AX138" s="24" t="str">
        <f t="shared" si="64"/>
        <v>1101-13</v>
      </c>
      <c r="AY138" s="42">
        <f t="shared" si="39"/>
        <v>8.36</v>
      </c>
      <c r="AZ138" s="16">
        <f t="shared" si="40"/>
        <v>82.89</v>
      </c>
      <c r="BA138" s="16">
        <f t="shared" si="41"/>
        <v>82.89</v>
      </c>
      <c r="BB138" s="16">
        <f t="shared" si="42"/>
        <v>82.89</v>
      </c>
      <c r="BC138" s="16">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59" t="str">
        <f>面积表!B133</f>
        <v>京（2017）朝不动产权第0022634号</v>
      </c>
      <c r="C139" s="1259" t="str">
        <f>面积表!C133</f>
        <v>1101-14</v>
      </c>
      <c r="D139" s="2096" t="s">
        <v>3434</v>
      </c>
      <c r="E139" s="16">
        <f t="shared" si="61"/>
        <v>7.65</v>
      </c>
      <c r="F139" s="32"/>
      <c r="G139" s="33">
        <f t="shared" si="36"/>
        <v>75.83</v>
      </c>
      <c r="H139" s="20">
        <f t="shared" si="37"/>
        <v>75.83</v>
      </c>
      <c r="I139" s="2097">
        <f>面积表!G133</f>
        <v>75.83</v>
      </c>
      <c r="J139" s="2097">
        <v>0</v>
      </c>
      <c r="K139" s="2097">
        <v>0</v>
      </c>
      <c r="L139" s="2097">
        <v>0</v>
      </c>
      <c r="M139" s="39"/>
      <c r="N139" s="39"/>
      <c r="O139" s="39"/>
      <c r="P139" s="39"/>
      <c r="Q139" s="39"/>
      <c r="R139" s="39"/>
      <c r="S139" s="39"/>
      <c r="T139" s="39"/>
      <c r="U139" s="39"/>
      <c r="V139" s="39"/>
      <c r="W139" s="39"/>
      <c r="X139" s="39"/>
      <c r="Y139" s="39"/>
      <c r="Z139" s="39"/>
      <c r="AA139" s="39"/>
      <c r="AB139" s="39"/>
      <c r="AC139" s="16">
        <f t="shared" si="38"/>
        <v>0</v>
      </c>
      <c r="AD139" s="2098"/>
      <c r="AE139" s="2098"/>
      <c r="AF139" s="2098"/>
      <c r="AG139" s="2098"/>
      <c r="AH139" s="2098"/>
      <c r="AI139" s="2098"/>
      <c r="AJ139" s="2098"/>
      <c r="AK139" s="2098"/>
      <c r="AL139" s="2098"/>
      <c r="AM139" s="2098"/>
      <c r="AN139" s="2098"/>
      <c r="AO139" s="2098"/>
      <c r="AP139" s="2098"/>
      <c r="AQ139" s="2098"/>
      <c r="AR139" s="2098"/>
      <c r="AS139" s="2098"/>
      <c r="AT139" s="2099"/>
      <c r="AU139" s="2100"/>
      <c r="AV139" s="24">
        <f t="shared" si="62"/>
        <v>0</v>
      </c>
      <c r="AW139" s="24" t="str">
        <f t="shared" si="63"/>
        <v>京（2017）朝不动产权第0022634号</v>
      </c>
      <c r="AX139" s="24" t="str">
        <f t="shared" si="64"/>
        <v>1101-14</v>
      </c>
      <c r="AY139" s="42">
        <f t="shared" si="39"/>
        <v>7.65</v>
      </c>
      <c r="AZ139" s="16">
        <f t="shared" si="40"/>
        <v>75.83</v>
      </c>
      <c r="BA139" s="16">
        <f t="shared" si="41"/>
        <v>75.83</v>
      </c>
      <c r="BB139" s="16">
        <f t="shared" si="42"/>
        <v>75.83</v>
      </c>
      <c r="BC139" s="16">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59" t="str">
        <f>面积表!B134</f>
        <v>京（2017）朝不动产权第0022637号</v>
      </c>
      <c r="C140" s="1259" t="str">
        <f>面积表!C134</f>
        <v>1201-1</v>
      </c>
      <c r="D140" s="2096" t="s">
        <v>3434</v>
      </c>
      <c r="E140" s="16">
        <f t="shared" si="61"/>
        <v>8.8800000000000008</v>
      </c>
      <c r="F140" s="32"/>
      <c r="G140" s="33">
        <f t="shared" si="36"/>
        <v>88.04</v>
      </c>
      <c r="H140" s="20">
        <f t="shared" si="37"/>
        <v>88.04</v>
      </c>
      <c r="I140" s="2097">
        <f>面积表!G134</f>
        <v>88.04</v>
      </c>
      <c r="J140" s="2097">
        <v>0</v>
      </c>
      <c r="K140" s="2097">
        <v>0</v>
      </c>
      <c r="L140" s="2097">
        <v>0</v>
      </c>
      <c r="M140" s="39"/>
      <c r="N140" s="39"/>
      <c r="O140" s="39"/>
      <c r="P140" s="39"/>
      <c r="Q140" s="39"/>
      <c r="R140" s="39"/>
      <c r="S140" s="39"/>
      <c r="T140" s="39"/>
      <c r="U140" s="39"/>
      <c r="V140" s="39"/>
      <c r="W140" s="39"/>
      <c r="X140" s="39"/>
      <c r="Y140" s="39"/>
      <c r="Z140" s="39"/>
      <c r="AA140" s="39"/>
      <c r="AB140" s="39"/>
      <c r="AC140" s="16">
        <f t="shared" si="38"/>
        <v>0</v>
      </c>
      <c r="AD140" s="2098"/>
      <c r="AE140" s="2098"/>
      <c r="AF140" s="2098"/>
      <c r="AG140" s="2098"/>
      <c r="AH140" s="2098"/>
      <c r="AI140" s="2098"/>
      <c r="AJ140" s="2098"/>
      <c r="AK140" s="2098"/>
      <c r="AL140" s="2098"/>
      <c r="AM140" s="2098"/>
      <c r="AN140" s="2098"/>
      <c r="AO140" s="2098"/>
      <c r="AP140" s="2098"/>
      <c r="AQ140" s="2098"/>
      <c r="AR140" s="2098"/>
      <c r="AS140" s="2098"/>
      <c r="AT140" s="2099"/>
      <c r="AU140" s="2100"/>
      <c r="AV140" s="24">
        <f t="shared" si="62"/>
        <v>0</v>
      </c>
      <c r="AW140" s="24" t="str">
        <f t="shared" si="63"/>
        <v>京（2017）朝不动产权第0022637号</v>
      </c>
      <c r="AX140" s="2871" t="str">
        <f t="shared" si="64"/>
        <v>1201-1</v>
      </c>
      <c r="AY140" s="2872">
        <f t="shared" si="39"/>
        <v>8.8800000000000008</v>
      </c>
      <c r="AZ140" s="2873">
        <f t="shared" si="40"/>
        <v>88.04</v>
      </c>
      <c r="BA140" s="2873">
        <f t="shared" si="41"/>
        <v>88.04</v>
      </c>
      <c r="BB140" s="2873">
        <f t="shared" si="42"/>
        <v>88.04</v>
      </c>
      <c r="BC140" s="2873">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59" t="str">
        <f>面积表!B135</f>
        <v>京（2017）朝不动产权第0022640号</v>
      </c>
      <c r="C141" s="1259" t="str">
        <f>面积表!C135</f>
        <v>1201-2</v>
      </c>
      <c r="D141" s="2096" t="s">
        <v>3434</v>
      </c>
      <c r="E141" s="16">
        <f t="shared" si="61"/>
        <v>8.07</v>
      </c>
      <c r="F141" s="32"/>
      <c r="G141" s="33">
        <f t="shared" si="36"/>
        <v>80.06</v>
      </c>
      <c r="H141" s="20">
        <f t="shared" si="37"/>
        <v>80.06</v>
      </c>
      <c r="I141" s="2097">
        <f>面积表!G135</f>
        <v>80.06</v>
      </c>
      <c r="J141" s="2097">
        <v>0</v>
      </c>
      <c r="K141" s="2097">
        <v>0</v>
      </c>
      <c r="L141" s="2097">
        <v>0</v>
      </c>
      <c r="M141" s="39"/>
      <c r="N141" s="39"/>
      <c r="O141" s="39"/>
      <c r="P141" s="39"/>
      <c r="Q141" s="39"/>
      <c r="R141" s="39"/>
      <c r="S141" s="39"/>
      <c r="T141" s="39"/>
      <c r="U141" s="39"/>
      <c r="V141" s="39"/>
      <c r="W141" s="39"/>
      <c r="X141" s="39"/>
      <c r="Y141" s="39"/>
      <c r="Z141" s="39"/>
      <c r="AA141" s="39"/>
      <c r="AB141" s="39"/>
      <c r="AC141" s="16">
        <f t="shared" si="38"/>
        <v>0</v>
      </c>
      <c r="AD141" s="2098"/>
      <c r="AE141" s="2098"/>
      <c r="AF141" s="2098"/>
      <c r="AG141" s="2098"/>
      <c r="AH141" s="2098"/>
      <c r="AI141" s="2098"/>
      <c r="AJ141" s="2098"/>
      <c r="AK141" s="2098"/>
      <c r="AL141" s="2098"/>
      <c r="AM141" s="2098"/>
      <c r="AN141" s="2098"/>
      <c r="AO141" s="2098"/>
      <c r="AP141" s="2098"/>
      <c r="AQ141" s="2098"/>
      <c r="AR141" s="2098"/>
      <c r="AS141" s="2098"/>
      <c r="AT141" s="2099"/>
      <c r="AU141" s="2100"/>
      <c r="AV141" s="24">
        <f t="shared" si="62"/>
        <v>0</v>
      </c>
      <c r="AW141" s="24" t="str">
        <f t="shared" si="63"/>
        <v>京（2017）朝不动产权第0022640号</v>
      </c>
      <c r="AX141" s="24" t="str">
        <f t="shared" si="64"/>
        <v>1201-2</v>
      </c>
      <c r="AY141" s="42">
        <f t="shared" si="39"/>
        <v>8.07</v>
      </c>
      <c r="AZ141" s="16">
        <f t="shared" si="40"/>
        <v>80.06</v>
      </c>
      <c r="BA141" s="16">
        <f t="shared" si="41"/>
        <v>80.06</v>
      </c>
      <c r="BB141" s="16">
        <f t="shared" si="42"/>
        <v>80.06</v>
      </c>
      <c r="BC141" s="16">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59" t="str">
        <f>面积表!B136</f>
        <v>京（2017）朝不动产权第0022710号</v>
      </c>
      <c r="C142" s="1259" t="str">
        <f>面积表!C136</f>
        <v>1201-3</v>
      </c>
      <c r="D142" s="2096" t="s">
        <v>3434</v>
      </c>
      <c r="E142" s="16">
        <f t="shared" si="61"/>
        <v>8.07</v>
      </c>
      <c r="F142" s="32"/>
      <c r="G142" s="33">
        <f t="shared" ref="G142:G173" si="65">H142+AC142+AT142</f>
        <v>80.06</v>
      </c>
      <c r="H142" s="20">
        <f t="shared" ref="H142:H173" si="66">SUMIF(I$12:AB$12,"总值",I142:AB142)</f>
        <v>80.06</v>
      </c>
      <c r="I142" s="2097">
        <f>面积表!G136</f>
        <v>80.06</v>
      </c>
      <c r="J142" s="2097">
        <v>0</v>
      </c>
      <c r="K142" s="2097">
        <v>0</v>
      </c>
      <c r="L142" s="2097">
        <v>0</v>
      </c>
      <c r="M142" s="39"/>
      <c r="N142" s="39"/>
      <c r="O142" s="39"/>
      <c r="P142" s="39"/>
      <c r="Q142" s="39"/>
      <c r="R142" s="39"/>
      <c r="S142" s="39"/>
      <c r="T142" s="39"/>
      <c r="U142" s="39"/>
      <c r="V142" s="39"/>
      <c r="W142" s="39"/>
      <c r="X142" s="39"/>
      <c r="Y142" s="39"/>
      <c r="Z142" s="39"/>
      <c r="AA142" s="39"/>
      <c r="AB142" s="39"/>
      <c r="AC142" s="16">
        <f t="shared" ref="AC142:AC173" si="67">SUMIF(AD$12:AS$12,"总值",AD142:AS142)</f>
        <v>0</v>
      </c>
      <c r="AD142" s="2098"/>
      <c r="AE142" s="2098"/>
      <c r="AF142" s="2098"/>
      <c r="AG142" s="2098"/>
      <c r="AH142" s="2098"/>
      <c r="AI142" s="2098"/>
      <c r="AJ142" s="2098"/>
      <c r="AK142" s="2098"/>
      <c r="AL142" s="2098"/>
      <c r="AM142" s="2098"/>
      <c r="AN142" s="2098"/>
      <c r="AO142" s="2098"/>
      <c r="AP142" s="2098"/>
      <c r="AQ142" s="2098"/>
      <c r="AR142" s="2098"/>
      <c r="AS142" s="2098"/>
      <c r="AT142" s="2099"/>
      <c r="AU142" s="2100"/>
      <c r="AV142" s="24">
        <f t="shared" si="62"/>
        <v>0</v>
      </c>
      <c r="AW142" s="24" t="str">
        <f t="shared" si="63"/>
        <v>京（2017）朝不动产权第0022710号</v>
      </c>
      <c r="AX142" s="24" t="str">
        <f t="shared" si="64"/>
        <v>1201-3</v>
      </c>
      <c r="AY142" s="42">
        <f t="shared" ref="AY142:AY173" si="68">ROUND($AY$6*AZ142/$AZ$5,2)</f>
        <v>8.07</v>
      </c>
      <c r="AZ142" s="16">
        <f t="shared" ref="AZ142:AZ173" si="69">BA142+BL142</f>
        <v>80.06</v>
      </c>
      <c r="BA142" s="16">
        <f t="shared" ref="BA142:BA173" si="70">SUM(BB142:BK142)</f>
        <v>80.06</v>
      </c>
      <c r="BB142" s="16">
        <f t="shared" ref="BB142:BB173" si="71">IF($D142="是",I142-J142,0)</f>
        <v>80.06</v>
      </c>
      <c r="BC142" s="16">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59" t="str">
        <f>面积表!B137</f>
        <v>京（2017）朝不动产权第0022826号</v>
      </c>
      <c r="C143" s="1259" t="str">
        <f>面积表!C137</f>
        <v>1201-4</v>
      </c>
      <c r="D143" s="2096" t="s">
        <v>3434</v>
      </c>
      <c r="E143" s="16">
        <f t="shared" si="61"/>
        <v>8.07</v>
      </c>
      <c r="F143" s="32"/>
      <c r="G143" s="33">
        <f t="shared" si="65"/>
        <v>80.06</v>
      </c>
      <c r="H143" s="20">
        <f t="shared" si="66"/>
        <v>80.06</v>
      </c>
      <c r="I143" s="2097">
        <f>面积表!G137</f>
        <v>80.06</v>
      </c>
      <c r="J143" s="2097">
        <v>0</v>
      </c>
      <c r="K143" s="2097">
        <v>0</v>
      </c>
      <c r="L143" s="2097">
        <v>0</v>
      </c>
      <c r="M143" s="39"/>
      <c r="N143" s="39"/>
      <c r="O143" s="39"/>
      <c r="P143" s="39"/>
      <c r="Q143" s="39"/>
      <c r="R143" s="39"/>
      <c r="S143" s="39"/>
      <c r="T143" s="39"/>
      <c r="U143" s="39"/>
      <c r="V143" s="39"/>
      <c r="W143" s="39"/>
      <c r="X143" s="39"/>
      <c r="Y143" s="39"/>
      <c r="Z143" s="39"/>
      <c r="AA143" s="39"/>
      <c r="AB143" s="39"/>
      <c r="AC143" s="16">
        <f t="shared" si="67"/>
        <v>0</v>
      </c>
      <c r="AD143" s="2098"/>
      <c r="AE143" s="2098"/>
      <c r="AF143" s="2098"/>
      <c r="AG143" s="2098"/>
      <c r="AH143" s="2098"/>
      <c r="AI143" s="2098"/>
      <c r="AJ143" s="2098"/>
      <c r="AK143" s="2098"/>
      <c r="AL143" s="2098"/>
      <c r="AM143" s="2098"/>
      <c r="AN143" s="2098"/>
      <c r="AO143" s="2098"/>
      <c r="AP143" s="2098"/>
      <c r="AQ143" s="2098"/>
      <c r="AR143" s="2098"/>
      <c r="AS143" s="2098"/>
      <c r="AT143" s="2099"/>
      <c r="AU143" s="2100"/>
      <c r="AV143" s="24">
        <f t="shared" si="62"/>
        <v>0</v>
      </c>
      <c r="AW143" s="24" t="str">
        <f t="shared" si="63"/>
        <v>京（2017）朝不动产权第0022826号</v>
      </c>
      <c r="AX143" s="24" t="str">
        <f t="shared" si="64"/>
        <v>1201-4</v>
      </c>
      <c r="AY143" s="42">
        <f t="shared" si="68"/>
        <v>8.07</v>
      </c>
      <c r="AZ143" s="16">
        <f t="shared" si="69"/>
        <v>80.06</v>
      </c>
      <c r="BA143" s="16">
        <f t="shared" si="70"/>
        <v>80.06</v>
      </c>
      <c r="BB143" s="16">
        <f t="shared" si="71"/>
        <v>80.06</v>
      </c>
      <c r="BC143" s="16">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59" t="str">
        <f>面积表!B138</f>
        <v>京（2017）朝不动产权第0022814号</v>
      </c>
      <c r="C144" s="1259" t="str">
        <f>面积表!C138</f>
        <v>1201-5</v>
      </c>
      <c r="D144" s="2096" t="s">
        <v>3434</v>
      </c>
      <c r="E144" s="16">
        <f t="shared" si="61"/>
        <v>10.07</v>
      </c>
      <c r="F144" s="32"/>
      <c r="G144" s="33">
        <f t="shared" si="65"/>
        <v>99.81</v>
      </c>
      <c r="H144" s="20">
        <f t="shared" si="66"/>
        <v>99.81</v>
      </c>
      <c r="I144" s="2097">
        <f>面积表!G138</f>
        <v>99.81</v>
      </c>
      <c r="J144" s="2097">
        <v>0</v>
      </c>
      <c r="K144" s="2097">
        <v>0</v>
      </c>
      <c r="L144" s="2097">
        <v>0</v>
      </c>
      <c r="M144" s="39"/>
      <c r="N144" s="39"/>
      <c r="O144" s="39"/>
      <c r="P144" s="39"/>
      <c r="Q144" s="39"/>
      <c r="R144" s="39"/>
      <c r="S144" s="39"/>
      <c r="T144" s="39"/>
      <c r="U144" s="39"/>
      <c r="V144" s="39"/>
      <c r="W144" s="39"/>
      <c r="X144" s="39"/>
      <c r="Y144" s="39"/>
      <c r="Z144" s="39"/>
      <c r="AA144" s="39"/>
      <c r="AB144" s="39"/>
      <c r="AC144" s="16">
        <f t="shared" si="67"/>
        <v>0</v>
      </c>
      <c r="AD144" s="2098"/>
      <c r="AE144" s="2098"/>
      <c r="AF144" s="2098"/>
      <c r="AG144" s="2098"/>
      <c r="AH144" s="2098"/>
      <c r="AI144" s="2098"/>
      <c r="AJ144" s="2098"/>
      <c r="AK144" s="2098"/>
      <c r="AL144" s="2098"/>
      <c r="AM144" s="2098"/>
      <c r="AN144" s="2098"/>
      <c r="AO144" s="2098"/>
      <c r="AP144" s="2098"/>
      <c r="AQ144" s="2098"/>
      <c r="AR144" s="2098"/>
      <c r="AS144" s="2098"/>
      <c r="AT144" s="2099"/>
      <c r="AU144" s="2100"/>
      <c r="AV144" s="24">
        <f t="shared" si="62"/>
        <v>0</v>
      </c>
      <c r="AW144" s="24" t="str">
        <f t="shared" si="63"/>
        <v>京（2017）朝不动产权第0022814号</v>
      </c>
      <c r="AX144" s="24" t="str">
        <f t="shared" si="64"/>
        <v>1201-5</v>
      </c>
      <c r="AY144" s="42">
        <f t="shared" si="68"/>
        <v>10.07</v>
      </c>
      <c r="AZ144" s="16">
        <f t="shared" si="69"/>
        <v>99.81</v>
      </c>
      <c r="BA144" s="16">
        <f t="shared" si="70"/>
        <v>99.81</v>
      </c>
      <c r="BB144" s="16">
        <f t="shared" si="71"/>
        <v>99.81</v>
      </c>
      <c r="BC144" s="16">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59" t="str">
        <f>面积表!B139</f>
        <v>京（2017）朝不动产权第0022707号</v>
      </c>
      <c r="C145" s="1259" t="str">
        <f>面积表!C139</f>
        <v>1201-6</v>
      </c>
      <c r="D145" s="2096" t="s">
        <v>3434</v>
      </c>
      <c r="E145" s="16">
        <f t="shared" ref="E145:E176" si="90">IF($C$3="是",ROUND($A$3*G145/$B$3,2),ROUND($A$3*(G145-AT145)/$B$3,2))</f>
        <v>8.4</v>
      </c>
      <c r="F145" s="32"/>
      <c r="G145" s="33">
        <f t="shared" si="65"/>
        <v>83.28</v>
      </c>
      <c r="H145" s="20">
        <f t="shared" si="66"/>
        <v>83.28</v>
      </c>
      <c r="I145" s="2097">
        <f>面积表!G139</f>
        <v>83.28</v>
      </c>
      <c r="J145" s="2097">
        <v>0</v>
      </c>
      <c r="K145" s="2097">
        <v>0</v>
      </c>
      <c r="L145" s="2097">
        <v>0</v>
      </c>
      <c r="M145" s="39"/>
      <c r="N145" s="39"/>
      <c r="O145" s="39"/>
      <c r="P145" s="39"/>
      <c r="Q145" s="39"/>
      <c r="R145" s="39"/>
      <c r="S145" s="39"/>
      <c r="T145" s="39"/>
      <c r="U145" s="39"/>
      <c r="V145" s="39"/>
      <c r="W145" s="39"/>
      <c r="X145" s="39"/>
      <c r="Y145" s="39"/>
      <c r="Z145" s="39"/>
      <c r="AA145" s="39"/>
      <c r="AB145" s="39"/>
      <c r="AC145" s="16">
        <f t="shared" si="67"/>
        <v>0</v>
      </c>
      <c r="AD145" s="2098"/>
      <c r="AE145" s="2098"/>
      <c r="AF145" s="2098"/>
      <c r="AG145" s="2098"/>
      <c r="AH145" s="2098"/>
      <c r="AI145" s="2098"/>
      <c r="AJ145" s="2098"/>
      <c r="AK145" s="2098"/>
      <c r="AL145" s="2098"/>
      <c r="AM145" s="2098"/>
      <c r="AN145" s="2098"/>
      <c r="AO145" s="2098"/>
      <c r="AP145" s="2098"/>
      <c r="AQ145" s="2098"/>
      <c r="AR145" s="2098"/>
      <c r="AS145" s="2098"/>
      <c r="AT145" s="2099"/>
      <c r="AU145" s="2100"/>
      <c r="AV145" s="24">
        <f t="shared" ref="AV145:AV176" si="91">A145</f>
        <v>0</v>
      </c>
      <c r="AW145" s="24" t="str">
        <f t="shared" ref="AW145:AW176" si="92">B145</f>
        <v>京（2017）朝不动产权第0022707号</v>
      </c>
      <c r="AX145" s="24" t="str">
        <f t="shared" ref="AX145:AX176" si="93">C145</f>
        <v>1201-6</v>
      </c>
      <c r="AY145" s="42">
        <f t="shared" si="68"/>
        <v>8.4</v>
      </c>
      <c r="AZ145" s="16">
        <f t="shared" si="69"/>
        <v>83.28</v>
      </c>
      <c r="BA145" s="16">
        <f t="shared" si="70"/>
        <v>83.28</v>
      </c>
      <c r="BB145" s="16">
        <f t="shared" si="71"/>
        <v>83.28</v>
      </c>
      <c r="BC145" s="16">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59" t="str">
        <f>面积表!B140</f>
        <v>京（2017）朝不动产权第0022829号</v>
      </c>
      <c r="C146" s="1259" t="str">
        <f>面积表!C140</f>
        <v>1201-7</v>
      </c>
      <c r="D146" s="2096" t="s">
        <v>3434</v>
      </c>
      <c r="E146" s="16">
        <f t="shared" si="90"/>
        <v>10.87</v>
      </c>
      <c r="F146" s="32"/>
      <c r="G146" s="33">
        <f t="shared" si="65"/>
        <v>107.74</v>
      </c>
      <c r="H146" s="20">
        <f t="shared" si="66"/>
        <v>107.74</v>
      </c>
      <c r="I146" s="2097">
        <f>面积表!G140</f>
        <v>107.74</v>
      </c>
      <c r="J146" s="2097">
        <v>0</v>
      </c>
      <c r="K146" s="2097">
        <v>0</v>
      </c>
      <c r="L146" s="2097">
        <v>0</v>
      </c>
      <c r="M146" s="39"/>
      <c r="N146" s="39"/>
      <c r="O146" s="39"/>
      <c r="P146" s="39"/>
      <c r="Q146" s="39"/>
      <c r="R146" s="39"/>
      <c r="S146" s="39"/>
      <c r="T146" s="39"/>
      <c r="U146" s="39"/>
      <c r="V146" s="39"/>
      <c r="W146" s="39"/>
      <c r="X146" s="39"/>
      <c r="Y146" s="39"/>
      <c r="Z146" s="39"/>
      <c r="AA146" s="39"/>
      <c r="AB146" s="39"/>
      <c r="AC146" s="16">
        <f t="shared" si="67"/>
        <v>0</v>
      </c>
      <c r="AD146" s="2098"/>
      <c r="AE146" s="2098"/>
      <c r="AF146" s="2098"/>
      <c r="AG146" s="2098"/>
      <c r="AH146" s="2098"/>
      <c r="AI146" s="2098"/>
      <c r="AJ146" s="2098"/>
      <c r="AK146" s="2098"/>
      <c r="AL146" s="2098"/>
      <c r="AM146" s="2098"/>
      <c r="AN146" s="2098"/>
      <c r="AO146" s="2098"/>
      <c r="AP146" s="2098"/>
      <c r="AQ146" s="2098"/>
      <c r="AR146" s="2098"/>
      <c r="AS146" s="2098"/>
      <c r="AT146" s="2099"/>
      <c r="AU146" s="2100"/>
      <c r="AV146" s="24">
        <f t="shared" si="91"/>
        <v>0</v>
      </c>
      <c r="AW146" s="24" t="str">
        <f t="shared" si="92"/>
        <v>京（2017）朝不动产权第0022829号</v>
      </c>
      <c r="AX146" s="24" t="str">
        <f t="shared" si="93"/>
        <v>1201-7</v>
      </c>
      <c r="AY146" s="42">
        <f t="shared" si="68"/>
        <v>10.87</v>
      </c>
      <c r="AZ146" s="16">
        <f t="shared" si="69"/>
        <v>107.74</v>
      </c>
      <c r="BA146" s="16">
        <f t="shared" si="70"/>
        <v>107.74</v>
      </c>
      <c r="BB146" s="16">
        <f t="shared" si="71"/>
        <v>107.74</v>
      </c>
      <c r="BC146" s="16">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59" t="str">
        <f>面积表!B141</f>
        <v>京（2017）朝不动产权第0022804号</v>
      </c>
      <c r="C147" s="1259" t="str">
        <f>面积表!C141</f>
        <v>1201-8</v>
      </c>
      <c r="D147" s="2096" t="s">
        <v>3434</v>
      </c>
      <c r="E147" s="16">
        <f t="shared" si="90"/>
        <v>8.84</v>
      </c>
      <c r="F147" s="32"/>
      <c r="G147" s="33">
        <f t="shared" si="65"/>
        <v>87.64</v>
      </c>
      <c r="H147" s="20">
        <f t="shared" si="66"/>
        <v>87.64</v>
      </c>
      <c r="I147" s="2097">
        <f>面积表!G141</f>
        <v>87.64</v>
      </c>
      <c r="J147" s="2097">
        <v>0</v>
      </c>
      <c r="K147" s="2097">
        <v>0</v>
      </c>
      <c r="L147" s="2097">
        <v>0</v>
      </c>
      <c r="M147" s="39"/>
      <c r="N147" s="39"/>
      <c r="O147" s="39"/>
      <c r="P147" s="39"/>
      <c r="Q147" s="39"/>
      <c r="R147" s="39"/>
      <c r="S147" s="39"/>
      <c r="T147" s="39"/>
      <c r="U147" s="39"/>
      <c r="V147" s="39"/>
      <c r="W147" s="39"/>
      <c r="X147" s="39"/>
      <c r="Y147" s="39"/>
      <c r="Z147" s="39"/>
      <c r="AA147" s="39"/>
      <c r="AB147" s="39"/>
      <c r="AC147" s="16">
        <f t="shared" si="67"/>
        <v>0</v>
      </c>
      <c r="AD147" s="2098"/>
      <c r="AE147" s="2098"/>
      <c r="AF147" s="2098"/>
      <c r="AG147" s="2098"/>
      <c r="AH147" s="2098"/>
      <c r="AI147" s="2098"/>
      <c r="AJ147" s="2098"/>
      <c r="AK147" s="2098"/>
      <c r="AL147" s="2098"/>
      <c r="AM147" s="2098"/>
      <c r="AN147" s="2098"/>
      <c r="AO147" s="2098"/>
      <c r="AP147" s="2098"/>
      <c r="AQ147" s="2098"/>
      <c r="AR147" s="2098"/>
      <c r="AS147" s="2098"/>
      <c r="AT147" s="2099"/>
      <c r="AU147" s="2100"/>
      <c r="AV147" s="24">
        <f t="shared" si="91"/>
        <v>0</v>
      </c>
      <c r="AW147" s="24" t="str">
        <f t="shared" si="92"/>
        <v>京（2017）朝不动产权第0022804号</v>
      </c>
      <c r="AX147" s="24" t="str">
        <f t="shared" si="93"/>
        <v>1201-8</v>
      </c>
      <c r="AY147" s="42">
        <f t="shared" si="68"/>
        <v>8.84</v>
      </c>
      <c r="AZ147" s="16">
        <f t="shared" si="69"/>
        <v>87.64</v>
      </c>
      <c r="BA147" s="16">
        <f t="shared" si="70"/>
        <v>87.64</v>
      </c>
      <c r="BB147" s="16">
        <f t="shared" si="71"/>
        <v>87.64</v>
      </c>
      <c r="BC147" s="16">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59" t="str">
        <f>面积表!B142</f>
        <v>京（2017）朝不动产权第0022817号</v>
      </c>
      <c r="C148" s="1259" t="str">
        <f>面积表!C142</f>
        <v>1201-9</v>
      </c>
      <c r="D148" s="2096" t="s">
        <v>3434</v>
      </c>
      <c r="E148" s="16">
        <f t="shared" si="90"/>
        <v>8.07</v>
      </c>
      <c r="F148" s="32"/>
      <c r="G148" s="33">
        <f t="shared" si="65"/>
        <v>80.06</v>
      </c>
      <c r="H148" s="20">
        <f t="shared" si="66"/>
        <v>80.06</v>
      </c>
      <c r="I148" s="2097">
        <f>面积表!G142</f>
        <v>80.06</v>
      </c>
      <c r="J148" s="2097">
        <v>0</v>
      </c>
      <c r="K148" s="2097">
        <v>0</v>
      </c>
      <c r="L148" s="2097">
        <v>0</v>
      </c>
      <c r="M148" s="39"/>
      <c r="N148" s="39"/>
      <c r="O148" s="39"/>
      <c r="P148" s="39"/>
      <c r="Q148" s="39"/>
      <c r="R148" s="39"/>
      <c r="S148" s="39"/>
      <c r="T148" s="39"/>
      <c r="U148" s="39"/>
      <c r="V148" s="39"/>
      <c r="W148" s="39"/>
      <c r="X148" s="39"/>
      <c r="Y148" s="39"/>
      <c r="Z148" s="39"/>
      <c r="AA148" s="39"/>
      <c r="AB148" s="39"/>
      <c r="AC148" s="16">
        <f t="shared" si="67"/>
        <v>0</v>
      </c>
      <c r="AD148" s="2098"/>
      <c r="AE148" s="2098"/>
      <c r="AF148" s="2098"/>
      <c r="AG148" s="2098"/>
      <c r="AH148" s="2098"/>
      <c r="AI148" s="2098"/>
      <c r="AJ148" s="2098"/>
      <c r="AK148" s="2098"/>
      <c r="AL148" s="2098"/>
      <c r="AM148" s="2098"/>
      <c r="AN148" s="2098"/>
      <c r="AO148" s="2098"/>
      <c r="AP148" s="2098"/>
      <c r="AQ148" s="2098"/>
      <c r="AR148" s="2098"/>
      <c r="AS148" s="2098"/>
      <c r="AT148" s="2099"/>
      <c r="AU148" s="2100"/>
      <c r="AV148" s="24">
        <f t="shared" si="91"/>
        <v>0</v>
      </c>
      <c r="AW148" s="24" t="str">
        <f t="shared" si="92"/>
        <v>京（2017）朝不动产权第0022817号</v>
      </c>
      <c r="AX148" s="24" t="str">
        <f t="shared" si="93"/>
        <v>1201-9</v>
      </c>
      <c r="AY148" s="42">
        <f t="shared" si="68"/>
        <v>8.07</v>
      </c>
      <c r="AZ148" s="16">
        <f t="shared" si="69"/>
        <v>80.06</v>
      </c>
      <c r="BA148" s="16">
        <f t="shared" si="70"/>
        <v>80.06</v>
      </c>
      <c r="BB148" s="16">
        <f t="shared" si="71"/>
        <v>80.06</v>
      </c>
      <c r="BC148" s="16">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59" t="str">
        <f>面积表!B143</f>
        <v>京（2017）朝不动产权第0022862号</v>
      </c>
      <c r="C149" s="1259" t="str">
        <f>面积表!C143</f>
        <v>1201-10</v>
      </c>
      <c r="D149" s="2096" t="s">
        <v>3434</v>
      </c>
      <c r="E149" s="16">
        <f t="shared" si="90"/>
        <v>8.07</v>
      </c>
      <c r="F149" s="32"/>
      <c r="G149" s="33">
        <f t="shared" si="65"/>
        <v>80.06</v>
      </c>
      <c r="H149" s="20">
        <f t="shared" si="66"/>
        <v>80.06</v>
      </c>
      <c r="I149" s="2097">
        <f>面积表!G143</f>
        <v>80.06</v>
      </c>
      <c r="J149" s="2097">
        <v>0</v>
      </c>
      <c r="K149" s="2097">
        <v>0</v>
      </c>
      <c r="L149" s="2097">
        <v>0</v>
      </c>
      <c r="M149" s="39"/>
      <c r="N149" s="39"/>
      <c r="O149" s="39"/>
      <c r="P149" s="39"/>
      <c r="Q149" s="39"/>
      <c r="R149" s="39"/>
      <c r="S149" s="39"/>
      <c r="T149" s="39"/>
      <c r="U149" s="39"/>
      <c r="V149" s="39"/>
      <c r="W149" s="39"/>
      <c r="X149" s="39"/>
      <c r="Y149" s="39"/>
      <c r="Z149" s="39"/>
      <c r="AA149" s="39"/>
      <c r="AB149" s="39"/>
      <c r="AC149" s="16">
        <f t="shared" si="67"/>
        <v>0</v>
      </c>
      <c r="AD149" s="2098"/>
      <c r="AE149" s="2098"/>
      <c r="AF149" s="2098"/>
      <c r="AG149" s="2098"/>
      <c r="AH149" s="2098"/>
      <c r="AI149" s="2098"/>
      <c r="AJ149" s="2098"/>
      <c r="AK149" s="2098"/>
      <c r="AL149" s="2098"/>
      <c r="AM149" s="2098"/>
      <c r="AN149" s="2098"/>
      <c r="AO149" s="2098"/>
      <c r="AP149" s="2098"/>
      <c r="AQ149" s="2098"/>
      <c r="AR149" s="2098"/>
      <c r="AS149" s="2098"/>
      <c r="AT149" s="2099"/>
      <c r="AU149" s="2100"/>
      <c r="AV149" s="24">
        <f t="shared" si="91"/>
        <v>0</v>
      </c>
      <c r="AW149" s="24" t="str">
        <f t="shared" si="92"/>
        <v>京（2017）朝不动产权第0022862号</v>
      </c>
      <c r="AX149" s="24" t="str">
        <f t="shared" si="93"/>
        <v>1201-10</v>
      </c>
      <c r="AY149" s="42">
        <f t="shared" si="68"/>
        <v>8.07</v>
      </c>
      <c r="AZ149" s="16">
        <f t="shared" si="69"/>
        <v>80.06</v>
      </c>
      <c r="BA149" s="16">
        <f t="shared" si="70"/>
        <v>80.06</v>
      </c>
      <c r="BB149" s="16">
        <f t="shared" si="71"/>
        <v>80.06</v>
      </c>
      <c r="BC149" s="16">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59" t="str">
        <f>面积表!B144</f>
        <v>京（2017）朝不动产权第0022851号</v>
      </c>
      <c r="C150" s="1259" t="str">
        <f>面积表!C144</f>
        <v>1201-11</v>
      </c>
      <c r="D150" s="2096" t="s">
        <v>3434</v>
      </c>
      <c r="E150" s="16">
        <f t="shared" si="90"/>
        <v>8.07</v>
      </c>
      <c r="F150" s="32"/>
      <c r="G150" s="33">
        <f t="shared" si="65"/>
        <v>80.06</v>
      </c>
      <c r="H150" s="20">
        <f t="shared" si="66"/>
        <v>80.06</v>
      </c>
      <c r="I150" s="2097">
        <f>面积表!G144</f>
        <v>80.06</v>
      </c>
      <c r="J150" s="2097">
        <v>0</v>
      </c>
      <c r="K150" s="2097">
        <v>0</v>
      </c>
      <c r="L150" s="2097">
        <v>0</v>
      </c>
      <c r="M150" s="39"/>
      <c r="N150" s="39"/>
      <c r="O150" s="39"/>
      <c r="P150" s="39"/>
      <c r="Q150" s="39"/>
      <c r="R150" s="39"/>
      <c r="S150" s="39"/>
      <c r="T150" s="39"/>
      <c r="U150" s="39"/>
      <c r="V150" s="39"/>
      <c r="W150" s="39"/>
      <c r="X150" s="39"/>
      <c r="Y150" s="39"/>
      <c r="Z150" s="39"/>
      <c r="AA150" s="39"/>
      <c r="AB150" s="39"/>
      <c r="AC150" s="16">
        <f t="shared" si="67"/>
        <v>0</v>
      </c>
      <c r="AD150" s="2098"/>
      <c r="AE150" s="2098"/>
      <c r="AF150" s="2098"/>
      <c r="AG150" s="2098"/>
      <c r="AH150" s="2098"/>
      <c r="AI150" s="2098"/>
      <c r="AJ150" s="2098"/>
      <c r="AK150" s="2098"/>
      <c r="AL150" s="2098"/>
      <c r="AM150" s="2098"/>
      <c r="AN150" s="2098"/>
      <c r="AO150" s="2098"/>
      <c r="AP150" s="2098"/>
      <c r="AQ150" s="2098"/>
      <c r="AR150" s="2098"/>
      <c r="AS150" s="2098"/>
      <c r="AT150" s="2099"/>
      <c r="AU150" s="2100"/>
      <c r="AV150" s="24">
        <f t="shared" si="91"/>
        <v>0</v>
      </c>
      <c r="AW150" s="24" t="str">
        <f t="shared" si="92"/>
        <v>京（2017）朝不动产权第0022851号</v>
      </c>
      <c r="AX150" s="24" t="str">
        <f t="shared" si="93"/>
        <v>1201-11</v>
      </c>
      <c r="AY150" s="42">
        <f t="shared" si="68"/>
        <v>8.07</v>
      </c>
      <c r="AZ150" s="16">
        <f t="shared" si="69"/>
        <v>80.06</v>
      </c>
      <c r="BA150" s="16">
        <f t="shared" si="70"/>
        <v>80.06</v>
      </c>
      <c r="BB150" s="16">
        <f t="shared" si="71"/>
        <v>80.06</v>
      </c>
      <c r="BC150" s="16">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59" t="str">
        <f>面积表!B145</f>
        <v>京（2017）朝不动产权第0022847号</v>
      </c>
      <c r="C151" s="1259" t="str">
        <f>面积表!C145</f>
        <v>1201-12</v>
      </c>
      <c r="D151" s="2096" t="s">
        <v>3434</v>
      </c>
      <c r="E151" s="16">
        <f t="shared" si="90"/>
        <v>10.050000000000001</v>
      </c>
      <c r="F151" s="32"/>
      <c r="G151" s="33">
        <f t="shared" si="65"/>
        <v>99.64</v>
      </c>
      <c r="H151" s="20">
        <f t="shared" si="66"/>
        <v>99.64</v>
      </c>
      <c r="I151" s="2097">
        <f>面积表!G145</f>
        <v>99.64</v>
      </c>
      <c r="J151" s="2097">
        <v>0</v>
      </c>
      <c r="K151" s="2097">
        <v>0</v>
      </c>
      <c r="L151" s="2097">
        <v>0</v>
      </c>
      <c r="M151" s="39"/>
      <c r="N151" s="39"/>
      <c r="O151" s="39"/>
      <c r="P151" s="39"/>
      <c r="Q151" s="39"/>
      <c r="R151" s="39"/>
      <c r="S151" s="39"/>
      <c r="T151" s="39"/>
      <c r="U151" s="39"/>
      <c r="V151" s="39"/>
      <c r="W151" s="39"/>
      <c r="X151" s="39"/>
      <c r="Y151" s="39"/>
      <c r="Z151" s="39"/>
      <c r="AA151" s="39"/>
      <c r="AB151" s="39"/>
      <c r="AC151" s="16">
        <f t="shared" si="67"/>
        <v>0</v>
      </c>
      <c r="AD151" s="2098"/>
      <c r="AE151" s="2098"/>
      <c r="AF151" s="2098"/>
      <c r="AG151" s="2098"/>
      <c r="AH151" s="2098"/>
      <c r="AI151" s="2098"/>
      <c r="AJ151" s="2098"/>
      <c r="AK151" s="2098"/>
      <c r="AL151" s="2098"/>
      <c r="AM151" s="2098"/>
      <c r="AN151" s="2098"/>
      <c r="AO151" s="2098"/>
      <c r="AP151" s="2098"/>
      <c r="AQ151" s="2098"/>
      <c r="AR151" s="2098"/>
      <c r="AS151" s="2098"/>
      <c r="AT151" s="2099"/>
      <c r="AU151" s="2100"/>
      <c r="AV151" s="24">
        <f t="shared" si="91"/>
        <v>0</v>
      </c>
      <c r="AW151" s="24" t="str">
        <f t="shared" si="92"/>
        <v>京（2017）朝不动产权第0022847号</v>
      </c>
      <c r="AX151" s="24" t="str">
        <f t="shared" si="93"/>
        <v>1201-12</v>
      </c>
      <c r="AY151" s="42">
        <f t="shared" si="68"/>
        <v>10.050000000000001</v>
      </c>
      <c r="AZ151" s="16">
        <f t="shared" si="69"/>
        <v>99.64</v>
      </c>
      <c r="BA151" s="16">
        <f t="shared" si="70"/>
        <v>99.64</v>
      </c>
      <c r="BB151" s="16">
        <f t="shared" si="71"/>
        <v>99.64</v>
      </c>
      <c r="BC151" s="16">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59" t="str">
        <f>面积表!B146</f>
        <v>京（2017）朝不动产权第0031081号</v>
      </c>
      <c r="C152" s="1259" t="str">
        <f>面积表!C146</f>
        <v>1201-13</v>
      </c>
      <c r="D152" s="2096" t="s">
        <v>3434</v>
      </c>
      <c r="E152" s="16">
        <f t="shared" si="90"/>
        <v>8.36</v>
      </c>
      <c r="F152" s="32"/>
      <c r="G152" s="33">
        <f t="shared" si="65"/>
        <v>82.89</v>
      </c>
      <c r="H152" s="20">
        <f t="shared" si="66"/>
        <v>82.89</v>
      </c>
      <c r="I152" s="2097">
        <f>面积表!G146</f>
        <v>82.89</v>
      </c>
      <c r="J152" s="2097">
        <v>0</v>
      </c>
      <c r="K152" s="2097">
        <v>0</v>
      </c>
      <c r="L152" s="2097">
        <v>0</v>
      </c>
      <c r="M152" s="39"/>
      <c r="N152" s="39"/>
      <c r="O152" s="39"/>
      <c r="P152" s="39"/>
      <c r="Q152" s="39"/>
      <c r="R152" s="39"/>
      <c r="S152" s="39"/>
      <c r="T152" s="39"/>
      <c r="U152" s="39"/>
      <c r="V152" s="39"/>
      <c r="W152" s="39"/>
      <c r="X152" s="39"/>
      <c r="Y152" s="39"/>
      <c r="Z152" s="39"/>
      <c r="AA152" s="39"/>
      <c r="AB152" s="39"/>
      <c r="AC152" s="16">
        <f t="shared" si="67"/>
        <v>0</v>
      </c>
      <c r="AD152" s="2098"/>
      <c r="AE152" s="2098"/>
      <c r="AF152" s="2098"/>
      <c r="AG152" s="2098"/>
      <c r="AH152" s="2098"/>
      <c r="AI152" s="2098"/>
      <c r="AJ152" s="2098"/>
      <c r="AK152" s="2098"/>
      <c r="AL152" s="2098"/>
      <c r="AM152" s="2098"/>
      <c r="AN152" s="2098"/>
      <c r="AO152" s="2098"/>
      <c r="AP152" s="2098"/>
      <c r="AQ152" s="2098"/>
      <c r="AR152" s="2098"/>
      <c r="AS152" s="2098"/>
      <c r="AT152" s="2099"/>
      <c r="AU152" s="2100"/>
      <c r="AV152" s="24">
        <f t="shared" si="91"/>
        <v>0</v>
      </c>
      <c r="AW152" s="24" t="str">
        <f t="shared" si="92"/>
        <v>京（2017）朝不动产权第0031081号</v>
      </c>
      <c r="AX152" s="24" t="str">
        <f t="shared" si="93"/>
        <v>1201-13</v>
      </c>
      <c r="AY152" s="42">
        <f t="shared" si="68"/>
        <v>8.36</v>
      </c>
      <c r="AZ152" s="16">
        <f t="shared" si="69"/>
        <v>82.89</v>
      </c>
      <c r="BA152" s="16">
        <f t="shared" si="70"/>
        <v>82.89</v>
      </c>
      <c r="BB152" s="16">
        <f t="shared" si="71"/>
        <v>82.89</v>
      </c>
      <c r="BC152" s="16">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59" t="str">
        <f>面积表!B147</f>
        <v>京（2017）朝不动产权第0031003号</v>
      </c>
      <c r="C153" s="1259" t="str">
        <f>面积表!C147</f>
        <v>1201-14</v>
      </c>
      <c r="D153" s="2096" t="s">
        <v>3434</v>
      </c>
      <c r="E153" s="16">
        <f t="shared" si="90"/>
        <v>7.65</v>
      </c>
      <c r="F153" s="32"/>
      <c r="G153" s="33">
        <f t="shared" si="65"/>
        <v>75.83</v>
      </c>
      <c r="H153" s="20">
        <f t="shared" si="66"/>
        <v>75.83</v>
      </c>
      <c r="I153" s="2097">
        <f>面积表!G147</f>
        <v>75.83</v>
      </c>
      <c r="J153" s="2097">
        <v>0</v>
      </c>
      <c r="K153" s="2097">
        <v>0</v>
      </c>
      <c r="L153" s="2097">
        <v>0</v>
      </c>
      <c r="M153" s="39"/>
      <c r="N153" s="39"/>
      <c r="O153" s="39"/>
      <c r="P153" s="39"/>
      <c r="Q153" s="39"/>
      <c r="R153" s="39"/>
      <c r="S153" s="39"/>
      <c r="T153" s="39"/>
      <c r="U153" s="39"/>
      <c r="V153" s="39"/>
      <c r="W153" s="39"/>
      <c r="X153" s="39"/>
      <c r="Y153" s="39"/>
      <c r="Z153" s="39"/>
      <c r="AA153" s="39"/>
      <c r="AB153" s="39"/>
      <c r="AC153" s="16">
        <f t="shared" si="67"/>
        <v>0</v>
      </c>
      <c r="AD153" s="2098"/>
      <c r="AE153" s="2098"/>
      <c r="AF153" s="2098"/>
      <c r="AG153" s="2098"/>
      <c r="AH153" s="2098"/>
      <c r="AI153" s="2098"/>
      <c r="AJ153" s="2098"/>
      <c r="AK153" s="2098"/>
      <c r="AL153" s="2098"/>
      <c r="AM153" s="2098"/>
      <c r="AN153" s="2098"/>
      <c r="AO153" s="2098"/>
      <c r="AP153" s="2098"/>
      <c r="AQ153" s="2098"/>
      <c r="AR153" s="2098"/>
      <c r="AS153" s="2098"/>
      <c r="AT153" s="2099"/>
      <c r="AU153" s="2100"/>
      <c r="AV153" s="24">
        <f t="shared" si="91"/>
        <v>0</v>
      </c>
      <c r="AW153" s="24" t="str">
        <f t="shared" si="92"/>
        <v>京（2017）朝不动产权第0031003号</v>
      </c>
      <c r="AX153" s="24" t="str">
        <f t="shared" si="93"/>
        <v>1201-14</v>
      </c>
      <c r="AY153" s="42">
        <f t="shared" si="68"/>
        <v>7.65</v>
      </c>
      <c r="AZ153" s="16">
        <f t="shared" si="69"/>
        <v>75.83</v>
      </c>
      <c r="BA153" s="16">
        <f t="shared" si="70"/>
        <v>75.83</v>
      </c>
      <c r="BB153" s="16">
        <f t="shared" si="71"/>
        <v>75.83</v>
      </c>
      <c r="BC153" s="16">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59" t="str">
        <f>面积表!B148</f>
        <v>京（2017）朝不动产权第0030930号</v>
      </c>
      <c r="C154" s="1259" t="str">
        <f>面积表!C148</f>
        <v>1301-1</v>
      </c>
      <c r="D154" s="2096" t="s">
        <v>3434</v>
      </c>
      <c r="E154" s="16">
        <f t="shared" si="90"/>
        <v>8.8800000000000008</v>
      </c>
      <c r="F154" s="32"/>
      <c r="G154" s="33">
        <f t="shared" si="65"/>
        <v>88.04</v>
      </c>
      <c r="H154" s="20">
        <f t="shared" si="66"/>
        <v>88.04</v>
      </c>
      <c r="I154" s="2097">
        <f>面积表!G148</f>
        <v>88.04</v>
      </c>
      <c r="J154" s="2097">
        <v>0</v>
      </c>
      <c r="K154" s="2097">
        <v>0</v>
      </c>
      <c r="L154" s="2097">
        <v>0</v>
      </c>
      <c r="M154" s="39"/>
      <c r="N154" s="39"/>
      <c r="O154" s="39"/>
      <c r="P154" s="39"/>
      <c r="Q154" s="39"/>
      <c r="R154" s="39"/>
      <c r="S154" s="39"/>
      <c r="T154" s="39"/>
      <c r="U154" s="39"/>
      <c r="V154" s="39"/>
      <c r="W154" s="39"/>
      <c r="X154" s="39"/>
      <c r="Y154" s="39"/>
      <c r="Z154" s="39"/>
      <c r="AA154" s="39"/>
      <c r="AB154" s="39"/>
      <c r="AC154" s="16">
        <f t="shared" si="67"/>
        <v>0</v>
      </c>
      <c r="AD154" s="2098"/>
      <c r="AE154" s="2098"/>
      <c r="AF154" s="2098"/>
      <c r="AG154" s="2098"/>
      <c r="AH154" s="2098"/>
      <c r="AI154" s="2098"/>
      <c r="AJ154" s="2098"/>
      <c r="AK154" s="2098"/>
      <c r="AL154" s="2098"/>
      <c r="AM154" s="2098"/>
      <c r="AN154" s="2098"/>
      <c r="AO154" s="2098"/>
      <c r="AP154" s="2098"/>
      <c r="AQ154" s="2098"/>
      <c r="AR154" s="2098"/>
      <c r="AS154" s="2098"/>
      <c r="AT154" s="2099"/>
      <c r="AU154" s="2100"/>
      <c r="AV154" s="24">
        <f t="shared" si="91"/>
        <v>0</v>
      </c>
      <c r="AW154" s="24" t="str">
        <f t="shared" si="92"/>
        <v>京（2017）朝不动产权第0030930号</v>
      </c>
      <c r="AX154" s="24" t="str">
        <f t="shared" si="93"/>
        <v>1301-1</v>
      </c>
      <c r="AY154" s="42">
        <f t="shared" si="68"/>
        <v>8.8800000000000008</v>
      </c>
      <c r="AZ154" s="16">
        <f t="shared" si="69"/>
        <v>88.04</v>
      </c>
      <c r="BA154" s="16">
        <f t="shared" si="70"/>
        <v>88.04</v>
      </c>
      <c r="BB154" s="16">
        <f t="shared" si="71"/>
        <v>88.04</v>
      </c>
      <c r="BC154" s="16">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59" t="str">
        <f>面积表!B149</f>
        <v>京（2017）朝不动产权第0030937号</v>
      </c>
      <c r="C155" s="1259" t="str">
        <f>面积表!C149</f>
        <v>1301-2</v>
      </c>
      <c r="D155" s="2096" t="s">
        <v>3434</v>
      </c>
      <c r="E155" s="16">
        <f t="shared" si="90"/>
        <v>8.07</v>
      </c>
      <c r="F155" s="32"/>
      <c r="G155" s="33">
        <f t="shared" si="65"/>
        <v>80.06</v>
      </c>
      <c r="H155" s="20">
        <f t="shared" si="66"/>
        <v>80.06</v>
      </c>
      <c r="I155" s="2097">
        <f>面积表!G149</f>
        <v>80.06</v>
      </c>
      <c r="J155" s="2097">
        <v>0</v>
      </c>
      <c r="K155" s="2097">
        <v>0</v>
      </c>
      <c r="L155" s="2097">
        <v>0</v>
      </c>
      <c r="M155" s="39"/>
      <c r="N155" s="39"/>
      <c r="O155" s="39"/>
      <c r="P155" s="39"/>
      <c r="Q155" s="39"/>
      <c r="R155" s="39"/>
      <c r="S155" s="39"/>
      <c r="T155" s="39"/>
      <c r="U155" s="39"/>
      <c r="V155" s="39"/>
      <c r="W155" s="39"/>
      <c r="X155" s="39"/>
      <c r="Y155" s="39"/>
      <c r="Z155" s="39"/>
      <c r="AA155" s="39"/>
      <c r="AB155" s="39"/>
      <c r="AC155" s="16">
        <f t="shared" si="67"/>
        <v>0</v>
      </c>
      <c r="AD155" s="2098"/>
      <c r="AE155" s="2098"/>
      <c r="AF155" s="2098"/>
      <c r="AG155" s="2098"/>
      <c r="AH155" s="2098"/>
      <c r="AI155" s="2098"/>
      <c r="AJ155" s="2098"/>
      <c r="AK155" s="2098"/>
      <c r="AL155" s="2098"/>
      <c r="AM155" s="2098"/>
      <c r="AN155" s="2098"/>
      <c r="AO155" s="2098"/>
      <c r="AP155" s="2098"/>
      <c r="AQ155" s="2098"/>
      <c r="AR155" s="2098"/>
      <c r="AS155" s="2098"/>
      <c r="AT155" s="2099"/>
      <c r="AU155" s="2100"/>
      <c r="AV155" s="24">
        <f t="shared" si="91"/>
        <v>0</v>
      </c>
      <c r="AW155" s="24" t="str">
        <f t="shared" si="92"/>
        <v>京（2017）朝不动产权第0030937号</v>
      </c>
      <c r="AX155" s="24" t="str">
        <f t="shared" si="93"/>
        <v>1301-2</v>
      </c>
      <c r="AY155" s="42">
        <f t="shared" si="68"/>
        <v>8.07</v>
      </c>
      <c r="AZ155" s="16">
        <f t="shared" si="69"/>
        <v>80.06</v>
      </c>
      <c r="BA155" s="16">
        <f t="shared" si="70"/>
        <v>80.06</v>
      </c>
      <c r="BB155" s="16">
        <f t="shared" si="71"/>
        <v>80.06</v>
      </c>
      <c r="BC155" s="16">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59" t="str">
        <f>面积表!B150</f>
        <v>京（2017）朝不动产权第0030948号</v>
      </c>
      <c r="C156" s="1259" t="str">
        <f>面积表!C150</f>
        <v>1301-3</v>
      </c>
      <c r="D156" s="2096" t="s">
        <v>3434</v>
      </c>
      <c r="E156" s="16">
        <f t="shared" si="90"/>
        <v>8.07</v>
      </c>
      <c r="F156" s="32"/>
      <c r="G156" s="33">
        <f t="shared" si="65"/>
        <v>80.06</v>
      </c>
      <c r="H156" s="20">
        <f t="shared" si="66"/>
        <v>80.06</v>
      </c>
      <c r="I156" s="2097">
        <f>面积表!G150</f>
        <v>80.06</v>
      </c>
      <c r="J156" s="2097">
        <v>0</v>
      </c>
      <c r="K156" s="2097">
        <v>0</v>
      </c>
      <c r="L156" s="2097">
        <v>0</v>
      </c>
      <c r="M156" s="39"/>
      <c r="N156" s="39"/>
      <c r="O156" s="39"/>
      <c r="P156" s="39"/>
      <c r="Q156" s="39"/>
      <c r="R156" s="39"/>
      <c r="S156" s="39"/>
      <c r="T156" s="39"/>
      <c r="U156" s="39"/>
      <c r="V156" s="39"/>
      <c r="W156" s="39"/>
      <c r="X156" s="39"/>
      <c r="Y156" s="39"/>
      <c r="Z156" s="39"/>
      <c r="AA156" s="39"/>
      <c r="AB156" s="39"/>
      <c r="AC156" s="16">
        <f t="shared" si="67"/>
        <v>0</v>
      </c>
      <c r="AD156" s="2098"/>
      <c r="AE156" s="2098"/>
      <c r="AF156" s="2098"/>
      <c r="AG156" s="2098"/>
      <c r="AH156" s="2098"/>
      <c r="AI156" s="2098"/>
      <c r="AJ156" s="2098"/>
      <c r="AK156" s="2098"/>
      <c r="AL156" s="2098"/>
      <c r="AM156" s="2098"/>
      <c r="AN156" s="2098"/>
      <c r="AO156" s="2098"/>
      <c r="AP156" s="2098"/>
      <c r="AQ156" s="2098"/>
      <c r="AR156" s="2098"/>
      <c r="AS156" s="2098"/>
      <c r="AT156" s="2099"/>
      <c r="AU156" s="2100"/>
      <c r="AV156" s="24">
        <f t="shared" si="91"/>
        <v>0</v>
      </c>
      <c r="AW156" s="24" t="str">
        <f t="shared" si="92"/>
        <v>京（2017）朝不动产权第0030948号</v>
      </c>
      <c r="AX156" s="24" t="str">
        <f t="shared" si="93"/>
        <v>1301-3</v>
      </c>
      <c r="AY156" s="42">
        <f t="shared" si="68"/>
        <v>8.07</v>
      </c>
      <c r="AZ156" s="16">
        <f t="shared" si="69"/>
        <v>80.06</v>
      </c>
      <c r="BA156" s="16">
        <f t="shared" si="70"/>
        <v>80.06</v>
      </c>
      <c r="BB156" s="16">
        <f t="shared" si="71"/>
        <v>80.06</v>
      </c>
      <c r="BC156" s="16">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59" t="str">
        <f>面积表!B151</f>
        <v>京（2017）朝不动产权第0030876号</v>
      </c>
      <c r="C157" s="1259" t="str">
        <f>面积表!C151</f>
        <v>1301-4</v>
      </c>
      <c r="D157" s="2096" t="s">
        <v>3434</v>
      </c>
      <c r="E157" s="16">
        <f t="shared" si="90"/>
        <v>8.07</v>
      </c>
      <c r="F157" s="32"/>
      <c r="G157" s="33">
        <f t="shared" si="65"/>
        <v>80.06</v>
      </c>
      <c r="H157" s="20">
        <f t="shared" si="66"/>
        <v>80.06</v>
      </c>
      <c r="I157" s="2097">
        <f>面积表!G151</f>
        <v>80.06</v>
      </c>
      <c r="J157" s="2097">
        <v>0</v>
      </c>
      <c r="K157" s="2097">
        <v>0</v>
      </c>
      <c r="L157" s="2097">
        <v>0</v>
      </c>
      <c r="M157" s="39"/>
      <c r="N157" s="39"/>
      <c r="O157" s="39"/>
      <c r="P157" s="39"/>
      <c r="Q157" s="39"/>
      <c r="R157" s="39"/>
      <c r="S157" s="39"/>
      <c r="T157" s="39"/>
      <c r="U157" s="39"/>
      <c r="V157" s="39"/>
      <c r="W157" s="39"/>
      <c r="X157" s="39"/>
      <c r="Y157" s="39"/>
      <c r="Z157" s="39"/>
      <c r="AA157" s="39"/>
      <c r="AB157" s="39"/>
      <c r="AC157" s="16">
        <f t="shared" si="67"/>
        <v>0</v>
      </c>
      <c r="AD157" s="2098"/>
      <c r="AE157" s="2098"/>
      <c r="AF157" s="2098"/>
      <c r="AG157" s="2098"/>
      <c r="AH157" s="2098"/>
      <c r="AI157" s="2098"/>
      <c r="AJ157" s="2098"/>
      <c r="AK157" s="2098"/>
      <c r="AL157" s="2098"/>
      <c r="AM157" s="2098"/>
      <c r="AN157" s="2098"/>
      <c r="AO157" s="2098"/>
      <c r="AP157" s="2098"/>
      <c r="AQ157" s="2098"/>
      <c r="AR157" s="2098"/>
      <c r="AS157" s="2098"/>
      <c r="AT157" s="2099"/>
      <c r="AU157" s="2100"/>
      <c r="AV157" s="24">
        <f t="shared" si="91"/>
        <v>0</v>
      </c>
      <c r="AW157" s="24" t="str">
        <f t="shared" si="92"/>
        <v>京（2017）朝不动产权第0030876号</v>
      </c>
      <c r="AX157" s="24" t="str">
        <f t="shared" si="93"/>
        <v>1301-4</v>
      </c>
      <c r="AY157" s="42">
        <f t="shared" si="68"/>
        <v>8.07</v>
      </c>
      <c r="AZ157" s="16">
        <f t="shared" si="69"/>
        <v>80.06</v>
      </c>
      <c r="BA157" s="16">
        <f t="shared" si="70"/>
        <v>80.06</v>
      </c>
      <c r="BB157" s="16">
        <f t="shared" si="71"/>
        <v>80.06</v>
      </c>
      <c r="BC157" s="16">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59" t="str">
        <f>面积表!B152</f>
        <v>京（2017）朝不动产权第0030878号</v>
      </c>
      <c r="C158" s="1259" t="str">
        <f>面积表!C152</f>
        <v>1301-5</v>
      </c>
      <c r="D158" s="2096" t="s">
        <v>3434</v>
      </c>
      <c r="E158" s="16">
        <f t="shared" si="90"/>
        <v>10.07</v>
      </c>
      <c r="F158" s="32"/>
      <c r="G158" s="33">
        <f t="shared" si="65"/>
        <v>99.81</v>
      </c>
      <c r="H158" s="20">
        <f t="shared" si="66"/>
        <v>99.81</v>
      </c>
      <c r="I158" s="2097">
        <f>面积表!G152</f>
        <v>99.81</v>
      </c>
      <c r="J158" s="2097">
        <v>0</v>
      </c>
      <c r="K158" s="2097">
        <v>0</v>
      </c>
      <c r="L158" s="2097">
        <v>0</v>
      </c>
      <c r="M158" s="39"/>
      <c r="N158" s="39"/>
      <c r="O158" s="39"/>
      <c r="P158" s="39"/>
      <c r="Q158" s="39"/>
      <c r="R158" s="39"/>
      <c r="S158" s="39"/>
      <c r="T158" s="39"/>
      <c r="U158" s="39"/>
      <c r="V158" s="39"/>
      <c r="W158" s="39"/>
      <c r="X158" s="39"/>
      <c r="Y158" s="39"/>
      <c r="Z158" s="39"/>
      <c r="AA158" s="39"/>
      <c r="AB158" s="39"/>
      <c r="AC158" s="16">
        <f t="shared" si="67"/>
        <v>0</v>
      </c>
      <c r="AD158" s="2098"/>
      <c r="AE158" s="2098"/>
      <c r="AF158" s="2098"/>
      <c r="AG158" s="2098"/>
      <c r="AH158" s="2098"/>
      <c r="AI158" s="2098"/>
      <c r="AJ158" s="2098"/>
      <c r="AK158" s="2098"/>
      <c r="AL158" s="2098"/>
      <c r="AM158" s="2098"/>
      <c r="AN158" s="2098"/>
      <c r="AO158" s="2098"/>
      <c r="AP158" s="2098"/>
      <c r="AQ158" s="2098"/>
      <c r="AR158" s="2098"/>
      <c r="AS158" s="2098"/>
      <c r="AT158" s="2099"/>
      <c r="AU158" s="2100"/>
      <c r="AV158" s="24">
        <f t="shared" si="91"/>
        <v>0</v>
      </c>
      <c r="AW158" s="24" t="str">
        <f t="shared" si="92"/>
        <v>京（2017）朝不动产权第0030878号</v>
      </c>
      <c r="AX158" s="24" t="str">
        <f t="shared" si="93"/>
        <v>1301-5</v>
      </c>
      <c r="AY158" s="42">
        <f t="shared" si="68"/>
        <v>10.07</v>
      </c>
      <c r="AZ158" s="16">
        <f t="shared" si="69"/>
        <v>99.81</v>
      </c>
      <c r="BA158" s="16">
        <f t="shared" si="70"/>
        <v>99.81</v>
      </c>
      <c r="BB158" s="16">
        <f t="shared" si="71"/>
        <v>99.81</v>
      </c>
      <c r="BC158" s="16">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59" t="str">
        <f>面积表!B153</f>
        <v>京（2017）朝不动产权第0030889号</v>
      </c>
      <c r="C159" s="1259" t="str">
        <f>面积表!C153</f>
        <v>1301-6</v>
      </c>
      <c r="D159" s="2096" t="s">
        <v>3434</v>
      </c>
      <c r="E159" s="16">
        <f t="shared" si="90"/>
        <v>8.4</v>
      </c>
      <c r="F159" s="32"/>
      <c r="G159" s="33">
        <f t="shared" si="65"/>
        <v>83.28</v>
      </c>
      <c r="H159" s="20">
        <f t="shared" si="66"/>
        <v>83.28</v>
      </c>
      <c r="I159" s="2097">
        <f>面积表!G153</f>
        <v>83.28</v>
      </c>
      <c r="J159" s="2097">
        <v>0</v>
      </c>
      <c r="K159" s="2097">
        <v>0</v>
      </c>
      <c r="L159" s="2097">
        <v>0</v>
      </c>
      <c r="M159" s="39"/>
      <c r="N159" s="39"/>
      <c r="O159" s="39"/>
      <c r="P159" s="39"/>
      <c r="Q159" s="39"/>
      <c r="R159" s="39"/>
      <c r="S159" s="39"/>
      <c r="T159" s="39"/>
      <c r="U159" s="39"/>
      <c r="V159" s="39"/>
      <c r="W159" s="39"/>
      <c r="X159" s="39"/>
      <c r="Y159" s="39"/>
      <c r="Z159" s="39"/>
      <c r="AA159" s="39"/>
      <c r="AB159" s="39"/>
      <c r="AC159" s="16">
        <f t="shared" si="67"/>
        <v>0</v>
      </c>
      <c r="AD159" s="2098"/>
      <c r="AE159" s="2098"/>
      <c r="AF159" s="2098"/>
      <c r="AG159" s="2098"/>
      <c r="AH159" s="2098"/>
      <c r="AI159" s="2098"/>
      <c r="AJ159" s="2098"/>
      <c r="AK159" s="2098"/>
      <c r="AL159" s="2098"/>
      <c r="AM159" s="2098"/>
      <c r="AN159" s="2098"/>
      <c r="AO159" s="2098"/>
      <c r="AP159" s="2098"/>
      <c r="AQ159" s="2098"/>
      <c r="AR159" s="2098"/>
      <c r="AS159" s="2098"/>
      <c r="AT159" s="2099"/>
      <c r="AU159" s="2100"/>
      <c r="AV159" s="24">
        <f t="shared" si="91"/>
        <v>0</v>
      </c>
      <c r="AW159" s="24" t="str">
        <f t="shared" si="92"/>
        <v>京（2017）朝不动产权第0030889号</v>
      </c>
      <c r="AX159" s="24" t="str">
        <f t="shared" si="93"/>
        <v>1301-6</v>
      </c>
      <c r="AY159" s="42">
        <f t="shared" si="68"/>
        <v>8.4</v>
      </c>
      <c r="AZ159" s="16">
        <f t="shared" si="69"/>
        <v>83.28</v>
      </c>
      <c r="BA159" s="16">
        <f t="shared" si="70"/>
        <v>83.28</v>
      </c>
      <c r="BB159" s="16">
        <f t="shared" si="71"/>
        <v>83.28</v>
      </c>
      <c r="BC159" s="16">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59" t="str">
        <f>面积表!B154</f>
        <v>京（2017）朝不动产权第0030883号</v>
      </c>
      <c r="C160" s="1259" t="str">
        <f>面积表!C154</f>
        <v>1301-7</v>
      </c>
      <c r="D160" s="2096" t="s">
        <v>3434</v>
      </c>
      <c r="E160" s="16">
        <f t="shared" si="90"/>
        <v>10.87</v>
      </c>
      <c r="F160" s="32"/>
      <c r="G160" s="33">
        <f t="shared" si="65"/>
        <v>107.74</v>
      </c>
      <c r="H160" s="20">
        <f t="shared" si="66"/>
        <v>107.74</v>
      </c>
      <c r="I160" s="2097">
        <f>面积表!G154</f>
        <v>107.74</v>
      </c>
      <c r="J160" s="2097">
        <v>0</v>
      </c>
      <c r="K160" s="2097">
        <v>0</v>
      </c>
      <c r="L160" s="2097">
        <v>0</v>
      </c>
      <c r="M160" s="39"/>
      <c r="N160" s="39"/>
      <c r="O160" s="39"/>
      <c r="P160" s="39"/>
      <c r="Q160" s="39"/>
      <c r="R160" s="39"/>
      <c r="S160" s="39"/>
      <c r="T160" s="39"/>
      <c r="U160" s="39"/>
      <c r="V160" s="39"/>
      <c r="W160" s="39"/>
      <c r="X160" s="39"/>
      <c r="Y160" s="39"/>
      <c r="Z160" s="39"/>
      <c r="AA160" s="39"/>
      <c r="AB160" s="39"/>
      <c r="AC160" s="16">
        <f t="shared" si="67"/>
        <v>0</v>
      </c>
      <c r="AD160" s="2098"/>
      <c r="AE160" s="2098"/>
      <c r="AF160" s="2098"/>
      <c r="AG160" s="2098"/>
      <c r="AH160" s="2098"/>
      <c r="AI160" s="2098"/>
      <c r="AJ160" s="2098"/>
      <c r="AK160" s="2098"/>
      <c r="AL160" s="2098"/>
      <c r="AM160" s="2098"/>
      <c r="AN160" s="2098"/>
      <c r="AO160" s="2098"/>
      <c r="AP160" s="2098"/>
      <c r="AQ160" s="2098"/>
      <c r="AR160" s="2098"/>
      <c r="AS160" s="2098"/>
      <c r="AT160" s="2099"/>
      <c r="AU160" s="2100"/>
      <c r="AV160" s="24">
        <f t="shared" si="91"/>
        <v>0</v>
      </c>
      <c r="AW160" s="24" t="str">
        <f t="shared" si="92"/>
        <v>京（2017）朝不动产权第0030883号</v>
      </c>
      <c r="AX160" s="24" t="str">
        <f t="shared" si="93"/>
        <v>1301-7</v>
      </c>
      <c r="AY160" s="42">
        <f t="shared" si="68"/>
        <v>10.87</v>
      </c>
      <c r="AZ160" s="16">
        <f t="shared" si="69"/>
        <v>107.74</v>
      </c>
      <c r="BA160" s="16">
        <f t="shared" si="70"/>
        <v>107.74</v>
      </c>
      <c r="BB160" s="16">
        <f t="shared" si="71"/>
        <v>107.74</v>
      </c>
      <c r="BC160" s="16">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59" t="str">
        <f>面积表!B155</f>
        <v>京（2017）朝不动产权第0030894号</v>
      </c>
      <c r="C161" s="1259" t="str">
        <f>面积表!C155</f>
        <v>1301-8</v>
      </c>
      <c r="D161" s="2096" t="s">
        <v>3434</v>
      </c>
      <c r="E161" s="16">
        <f t="shared" si="90"/>
        <v>8.84</v>
      </c>
      <c r="F161" s="32"/>
      <c r="G161" s="33">
        <f t="shared" si="65"/>
        <v>87.64</v>
      </c>
      <c r="H161" s="20">
        <f t="shared" si="66"/>
        <v>87.64</v>
      </c>
      <c r="I161" s="2097">
        <f>面积表!G155</f>
        <v>87.64</v>
      </c>
      <c r="J161" s="2097">
        <v>0</v>
      </c>
      <c r="K161" s="2097">
        <v>0</v>
      </c>
      <c r="L161" s="2097">
        <v>0</v>
      </c>
      <c r="M161" s="39"/>
      <c r="N161" s="39"/>
      <c r="O161" s="39"/>
      <c r="P161" s="39"/>
      <c r="Q161" s="39"/>
      <c r="R161" s="39"/>
      <c r="S161" s="39"/>
      <c r="T161" s="39"/>
      <c r="U161" s="39"/>
      <c r="V161" s="39"/>
      <c r="W161" s="39"/>
      <c r="X161" s="39"/>
      <c r="Y161" s="39"/>
      <c r="Z161" s="39"/>
      <c r="AA161" s="39"/>
      <c r="AB161" s="39"/>
      <c r="AC161" s="16">
        <f t="shared" si="67"/>
        <v>0</v>
      </c>
      <c r="AD161" s="2098"/>
      <c r="AE161" s="2098"/>
      <c r="AF161" s="2098"/>
      <c r="AG161" s="2098"/>
      <c r="AH161" s="2098"/>
      <c r="AI161" s="2098"/>
      <c r="AJ161" s="2098"/>
      <c r="AK161" s="2098"/>
      <c r="AL161" s="2098"/>
      <c r="AM161" s="2098"/>
      <c r="AN161" s="2098"/>
      <c r="AO161" s="2098"/>
      <c r="AP161" s="2098"/>
      <c r="AQ161" s="2098"/>
      <c r="AR161" s="2098"/>
      <c r="AS161" s="2098"/>
      <c r="AT161" s="2099"/>
      <c r="AU161" s="2100"/>
      <c r="AV161" s="24">
        <f t="shared" si="91"/>
        <v>0</v>
      </c>
      <c r="AW161" s="24" t="str">
        <f t="shared" si="92"/>
        <v>京（2017）朝不动产权第0030894号</v>
      </c>
      <c r="AX161" s="24" t="str">
        <f t="shared" si="93"/>
        <v>1301-8</v>
      </c>
      <c r="AY161" s="42">
        <f t="shared" si="68"/>
        <v>8.84</v>
      </c>
      <c r="AZ161" s="16">
        <f t="shared" si="69"/>
        <v>87.64</v>
      </c>
      <c r="BA161" s="16">
        <f t="shared" si="70"/>
        <v>87.64</v>
      </c>
      <c r="BB161" s="16">
        <f t="shared" si="71"/>
        <v>87.64</v>
      </c>
      <c r="BC161" s="16">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59" t="str">
        <f>面积表!B156</f>
        <v>京（2017）朝不动产权第0030897号</v>
      </c>
      <c r="C162" s="1259" t="str">
        <f>面积表!C156</f>
        <v>1301-9</v>
      </c>
      <c r="D162" s="2096" t="s">
        <v>3434</v>
      </c>
      <c r="E162" s="16">
        <f t="shared" si="90"/>
        <v>8.07</v>
      </c>
      <c r="F162" s="32"/>
      <c r="G162" s="33">
        <f t="shared" si="65"/>
        <v>80.06</v>
      </c>
      <c r="H162" s="20">
        <f t="shared" si="66"/>
        <v>80.06</v>
      </c>
      <c r="I162" s="2097">
        <f>面积表!G156</f>
        <v>80.06</v>
      </c>
      <c r="J162" s="2097">
        <v>0</v>
      </c>
      <c r="K162" s="2097">
        <v>0</v>
      </c>
      <c r="L162" s="2097">
        <v>0</v>
      </c>
      <c r="M162" s="39"/>
      <c r="N162" s="39"/>
      <c r="O162" s="39"/>
      <c r="P162" s="39"/>
      <c r="Q162" s="39"/>
      <c r="R162" s="39"/>
      <c r="S162" s="39"/>
      <c r="T162" s="39"/>
      <c r="U162" s="39"/>
      <c r="V162" s="39"/>
      <c r="W162" s="39"/>
      <c r="X162" s="39"/>
      <c r="Y162" s="39"/>
      <c r="Z162" s="39"/>
      <c r="AA162" s="39"/>
      <c r="AB162" s="39"/>
      <c r="AC162" s="16">
        <f t="shared" si="67"/>
        <v>0</v>
      </c>
      <c r="AD162" s="2098"/>
      <c r="AE162" s="2098"/>
      <c r="AF162" s="2098"/>
      <c r="AG162" s="2098"/>
      <c r="AH162" s="2098"/>
      <c r="AI162" s="2098"/>
      <c r="AJ162" s="2098"/>
      <c r="AK162" s="2098"/>
      <c r="AL162" s="2098"/>
      <c r="AM162" s="2098"/>
      <c r="AN162" s="2098"/>
      <c r="AO162" s="2098"/>
      <c r="AP162" s="2098"/>
      <c r="AQ162" s="2098"/>
      <c r="AR162" s="2098"/>
      <c r="AS162" s="2098"/>
      <c r="AT162" s="2099"/>
      <c r="AU162" s="2100"/>
      <c r="AV162" s="24">
        <f t="shared" si="91"/>
        <v>0</v>
      </c>
      <c r="AW162" s="24" t="str">
        <f t="shared" si="92"/>
        <v>京（2017）朝不动产权第0030897号</v>
      </c>
      <c r="AX162" s="24" t="str">
        <f t="shared" si="93"/>
        <v>1301-9</v>
      </c>
      <c r="AY162" s="42">
        <f t="shared" si="68"/>
        <v>8.07</v>
      </c>
      <c r="AZ162" s="16">
        <f t="shared" si="69"/>
        <v>80.06</v>
      </c>
      <c r="BA162" s="16">
        <f t="shared" si="70"/>
        <v>80.06</v>
      </c>
      <c r="BB162" s="16">
        <f t="shared" si="71"/>
        <v>80.06</v>
      </c>
      <c r="BC162" s="16">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59" t="str">
        <f>面积表!B157</f>
        <v>京（2017）朝不动产权第0030873号</v>
      </c>
      <c r="C163" s="1259" t="str">
        <f>面积表!C157</f>
        <v>1301-10</v>
      </c>
      <c r="D163" s="2096" t="s">
        <v>3434</v>
      </c>
      <c r="E163" s="16">
        <f t="shared" si="90"/>
        <v>8.07</v>
      </c>
      <c r="F163" s="32"/>
      <c r="G163" s="33">
        <f t="shared" si="65"/>
        <v>80.06</v>
      </c>
      <c r="H163" s="20">
        <f t="shared" si="66"/>
        <v>80.06</v>
      </c>
      <c r="I163" s="2097">
        <f>面积表!G157</f>
        <v>80.06</v>
      </c>
      <c r="J163" s="2097">
        <v>0</v>
      </c>
      <c r="K163" s="2097">
        <v>0</v>
      </c>
      <c r="L163" s="2097">
        <v>0</v>
      </c>
      <c r="M163" s="39"/>
      <c r="N163" s="39"/>
      <c r="O163" s="39"/>
      <c r="P163" s="39"/>
      <c r="Q163" s="39"/>
      <c r="R163" s="39"/>
      <c r="S163" s="39"/>
      <c r="T163" s="39"/>
      <c r="U163" s="39"/>
      <c r="V163" s="39"/>
      <c r="W163" s="39"/>
      <c r="X163" s="39"/>
      <c r="Y163" s="39"/>
      <c r="Z163" s="39"/>
      <c r="AA163" s="39"/>
      <c r="AB163" s="39"/>
      <c r="AC163" s="16">
        <f t="shared" si="67"/>
        <v>0</v>
      </c>
      <c r="AD163" s="2098"/>
      <c r="AE163" s="2098"/>
      <c r="AF163" s="2098"/>
      <c r="AG163" s="2098"/>
      <c r="AH163" s="2098"/>
      <c r="AI163" s="2098"/>
      <c r="AJ163" s="2098"/>
      <c r="AK163" s="2098"/>
      <c r="AL163" s="2098"/>
      <c r="AM163" s="2098"/>
      <c r="AN163" s="2098"/>
      <c r="AO163" s="2098"/>
      <c r="AP163" s="2098"/>
      <c r="AQ163" s="2098"/>
      <c r="AR163" s="2098"/>
      <c r="AS163" s="2098"/>
      <c r="AT163" s="2099"/>
      <c r="AU163" s="2100"/>
      <c r="AV163" s="24">
        <f t="shared" si="91"/>
        <v>0</v>
      </c>
      <c r="AW163" s="24" t="str">
        <f t="shared" si="92"/>
        <v>京（2017）朝不动产权第0030873号</v>
      </c>
      <c r="AX163" s="24" t="str">
        <f t="shared" si="93"/>
        <v>1301-10</v>
      </c>
      <c r="AY163" s="42">
        <f t="shared" si="68"/>
        <v>8.07</v>
      </c>
      <c r="AZ163" s="16">
        <f t="shared" si="69"/>
        <v>80.06</v>
      </c>
      <c r="BA163" s="16">
        <f t="shared" si="70"/>
        <v>80.06</v>
      </c>
      <c r="BB163" s="16">
        <f t="shared" si="71"/>
        <v>80.06</v>
      </c>
      <c r="BC163" s="16">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59" t="str">
        <f>面积表!B158</f>
        <v>京（2017）朝不动产权第0030903号</v>
      </c>
      <c r="C164" s="1259" t="str">
        <f>面积表!C158</f>
        <v>1301-11</v>
      </c>
      <c r="D164" s="2096" t="s">
        <v>3434</v>
      </c>
      <c r="E164" s="16">
        <f t="shared" si="90"/>
        <v>8.07</v>
      </c>
      <c r="F164" s="32"/>
      <c r="G164" s="33">
        <f t="shared" si="65"/>
        <v>80.06</v>
      </c>
      <c r="H164" s="20">
        <f t="shared" si="66"/>
        <v>80.06</v>
      </c>
      <c r="I164" s="2097">
        <f>面积表!G158</f>
        <v>80.06</v>
      </c>
      <c r="J164" s="2097">
        <v>0</v>
      </c>
      <c r="K164" s="2097">
        <v>0</v>
      </c>
      <c r="L164" s="2097">
        <v>0</v>
      </c>
      <c r="M164" s="39"/>
      <c r="N164" s="39"/>
      <c r="O164" s="39"/>
      <c r="P164" s="39"/>
      <c r="Q164" s="39"/>
      <c r="R164" s="39"/>
      <c r="S164" s="39"/>
      <c r="T164" s="39"/>
      <c r="U164" s="39"/>
      <c r="V164" s="39"/>
      <c r="W164" s="39"/>
      <c r="X164" s="39"/>
      <c r="Y164" s="39"/>
      <c r="Z164" s="39"/>
      <c r="AA164" s="39"/>
      <c r="AB164" s="39"/>
      <c r="AC164" s="16">
        <f t="shared" si="67"/>
        <v>0</v>
      </c>
      <c r="AD164" s="2098"/>
      <c r="AE164" s="2098"/>
      <c r="AF164" s="2098"/>
      <c r="AG164" s="2098"/>
      <c r="AH164" s="2098"/>
      <c r="AI164" s="2098"/>
      <c r="AJ164" s="2098"/>
      <c r="AK164" s="2098"/>
      <c r="AL164" s="2098"/>
      <c r="AM164" s="2098"/>
      <c r="AN164" s="2098"/>
      <c r="AO164" s="2098"/>
      <c r="AP164" s="2098"/>
      <c r="AQ164" s="2098"/>
      <c r="AR164" s="2098"/>
      <c r="AS164" s="2098"/>
      <c r="AT164" s="2099"/>
      <c r="AU164" s="2100"/>
      <c r="AV164" s="24">
        <f t="shared" si="91"/>
        <v>0</v>
      </c>
      <c r="AW164" s="24" t="str">
        <f t="shared" si="92"/>
        <v>京（2017）朝不动产权第0030903号</v>
      </c>
      <c r="AX164" s="24" t="str">
        <f t="shared" si="93"/>
        <v>1301-11</v>
      </c>
      <c r="AY164" s="42">
        <f t="shared" si="68"/>
        <v>8.07</v>
      </c>
      <c r="AZ164" s="16">
        <f t="shared" si="69"/>
        <v>80.06</v>
      </c>
      <c r="BA164" s="16">
        <f t="shared" si="70"/>
        <v>80.06</v>
      </c>
      <c r="BB164" s="16">
        <f t="shared" si="71"/>
        <v>80.06</v>
      </c>
      <c r="BC164" s="16">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59" t="str">
        <f>面积表!B159</f>
        <v>京（2017）朝不动产权第0030908号</v>
      </c>
      <c r="C165" s="1259" t="str">
        <f>面积表!C159</f>
        <v>1301-12</v>
      </c>
      <c r="D165" s="2096" t="s">
        <v>3434</v>
      </c>
      <c r="E165" s="16">
        <f t="shared" si="90"/>
        <v>10.050000000000001</v>
      </c>
      <c r="F165" s="32"/>
      <c r="G165" s="33">
        <f t="shared" si="65"/>
        <v>99.64</v>
      </c>
      <c r="H165" s="20">
        <f t="shared" si="66"/>
        <v>99.64</v>
      </c>
      <c r="I165" s="2097">
        <f>面积表!G159</f>
        <v>99.64</v>
      </c>
      <c r="J165" s="2097">
        <v>0</v>
      </c>
      <c r="K165" s="2097">
        <v>0</v>
      </c>
      <c r="L165" s="2097">
        <v>0</v>
      </c>
      <c r="M165" s="39"/>
      <c r="N165" s="39"/>
      <c r="O165" s="39"/>
      <c r="P165" s="39"/>
      <c r="Q165" s="39"/>
      <c r="R165" s="39"/>
      <c r="S165" s="39"/>
      <c r="T165" s="39"/>
      <c r="U165" s="39"/>
      <c r="V165" s="39"/>
      <c r="W165" s="39"/>
      <c r="X165" s="39"/>
      <c r="Y165" s="39"/>
      <c r="Z165" s="39"/>
      <c r="AA165" s="39"/>
      <c r="AB165" s="39"/>
      <c r="AC165" s="16">
        <f t="shared" si="67"/>
        <v>0</v>
      </c>
      <c r="AD165" s="2098"/>
      <c r="AE165" s="2098"/>
      <c r="AF165" s="2098"/>
      <c r="AG165" s="2098"/>
      <c r="AH165" s="2098"/>
      <c r="AI165" s="2098"/>
      <c r="AJ165" s="2098"/>
      <c r="AK165" s="2098"/>
      <c r="AL165" s="2098"/>
      <c r="AM165" s="2098"/>
      <c r="AN165" s="2098"/>
      <c r="AO165" s="2098"/>
      <c r="AP165" s="2098"/>
      <c r="AQ165" s="2098"/>
      <c r="AR165" s="2098"/>
      <c r="AS165" s="2098"/>
      <c r="AT165" s="2099"/>
      <c r="AU165" s="2100"/>
      <c r="AV165" s="24">
        <f t="shared" si="91"/>
        <v>0</v>
      </c>
      <c r="AW165" s="24" t="str">
        <f t="shared" si="92"/>
        <v>京（2017）朝不动产权第0030908号</v>
      </c>
      <c r="AX165" s="24" t="str">
        <f t="shared" si="93"/>
        <v>1301-12</v>
      </c>
      <c r="AY165" s="42">
        <f t="shared" si="68"/>
        <v>10.050000000000001</v>
      </c>
      <c r="AZ165" s="16">
        <f t="shared" si="69"/>
        <v>99.64</v>
      </c>
      <c r="BA165" s="16">
        <f t="shared" si="70"/>
        <v>99.64</v>
      </c>
      <c r="BB165" s="16">
        <f t="shared" si="71"/>
        <v>99.64</v>
      </c>
      <c r="BC165" s="16">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59" t="str">
        <f>面积表!B160</f>
        <v>京（2017）朝不动产权第0031088号</v>
      </c>
      <c r="C166" s="1259" t="str">
        <f>面积表!C160</f>
        <v>1301-13</v>
      </c>
      <c r="D166" s="2096" t="s">
        <v>3434</v>
      </c>
      <c r="E166" s="16">
        <f t="shared" si="90"/>
        <v>8.36</v>
      </c>
      <c r="F166" s="32"/>
      <c r="G166" s="33">
        <f t="shared" si="65"/>
        <v>82.89</v>
      </c>
      <c r="H166" s="20">
        <f t="shared" si="66"/>
        <v>82.89</v>
      </c>
      <c r="I166" s="2097">
        <f>面积表!G160</f>
        <v>82.89</v>
      </c>
      <c r="J166" s="2097">
        <v>0</v>
      </c>
      <c r="K166" s="2097">
        <v>0</v>
      </c>
      <c r="L166" s="2097">
        <v>0</v>
      </c>
      <c r="M166" s="39"/>
      <c r="N166" s="39"/>
      <c r="O166" s="39"/>
      <c r="P166" s="39"/>
      <c r="Q166" s="39"/>
      <c r="R166" s="39"/>
      <c r="S166" s="39"/>
      <c r="T166" s="39"/>
      <c r="U166" s="39"/>
      <c r="V166" s="39"/>
      <c r="W166" s="39"/>
      <c r="X166" s="39"/>
      <c r="Y166" s="39"/>
      <c r="Z166" s="39"/>
      <c r="AA166" s="39"/>
      <c r="AB166" s="39"/>
      <c r="AC166" s="16">
        <f t="shared" si="67"/>
        <v>0</v>
      </c>
      <c r="AD166" s="2098"/>
      <c r="AE166" s="2098"/>
      <c r="AF166" s="2098"/>
      <c r="AG166" s="2098"/>
      <c r="AH166" s="2098"/>
      <c r="AI166" s="2098"/>
      <c r="AJ166" s="2098"/>
      <c r="AK166" s="2098"/>
      <c r="AL166" s="2098"/>
      <c r="AM166" s="2098"/>
      <c r="AN166" s="2098"/>
      <c r="AO166" s="2098"/>
      <c r="AP166" s="2098"/>
      <c r="AQ166" s="2098"/>
      <c r="AR166" s="2098"/>
      <c r="AS166" s="2098"/>
      <c r="AT166" s="2099"/>
      <c r="AU166" s="2100"/>
      <c r="AV166" s="24">
        <f t="shared" si="91"/>
        <v>0</v>
      </c>
      <c r="AW166" s="24" t="str">
        <f t="shared" si="92"/>
        <v>京（2017）朝不动产权第0031088号</v>
      </c>
      <c r="AX166" s="24" t="str">
        <f t="shared" si="93"/>
        <v>1301-13</v>
      </c>
      <c r="AY166" s="42">
        <f t="shared" si="68"/>
        <v>8.36</v>
      </c>
      <c r="AZ166" s="16">
        <f t="shared" si="69"/>
        <v>82.89</v>
      </c>
      <c r="BA166" s="16">
        <f t="shared" si="70"/>
        <v>82.89</v>
      </c>
      <c r="BB166" s="16">
        <f t="shared" si="71"/>
        <v>82.89</v>
      </c>
      <c r="BC166" s="16">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59" t="str">
        <f>面积表!B161</f>
        <v>京（2017）朝不动产权第0030953号</v>
      </c>
      <c r="C167" s="1259" t="str">
        <f>面积表!C161</f>
        <v>1301-14</v>
      </c>
      <c r="D167" s="2096" t="s">
        <v>3434</v>
      </c>
      <c r="E167" s="16">
        <f t="shared" si="90"/>
        <v>7.65</v>
      </c>
      <c r="F167" s="32"/>
      <c r="G167" s="33">
        <f t="shared" si="65"/>
        <v>75.83</v>
      </c>
      <c r="H167" s="20">
        <f t="shared" si="66"/>
        <v>75.83</v>
      </c>
      <c r="I167" s="2097">
        <f>面积表!G161</f>
        <v>75.83</v>
      </c>
      <c r="J167" s="2097">
        <v>0</v>
      </c>
      <c r="K167" s="2097">
        <v>0</v>
      </c>
      <c r="L167" s="2097">
        <v>0</v>
      </c>
      <c r="M167" s="39"/>
      <c r="N167" s="39"/>
      <c r="O167" s="39"/>
      <c r="P167" s="39"/>
      <c r="Q167" s="39"/>
      <c r="R167" s="39"/>
      <c r="S167" s="39"/>
      <c r="T167" s="39"/>
      <c r="U167" s="39"/>
      <c r="V167" s="39"/>
      <c r="W167" s="39"/>
      <c r="X167" s="39"/>
      <c r="Y167" s="39"/>
      <c r="Z167" s="39"/>
      <c r="AA167" s="39"/>
      <c r="AB167" s="39"/>
      <c r="AC167" s="16">
        <f t="shared" si="67"/>
        <v>0</v>
      </c>
      <c r="AD167" s="2098"/>
      <c r="AE167" s="2098"/>
      <c r="AF167" s="2098"/>
      <c r="AG167" s="2098"/>
      <c r="AH167" s="2098"/>
      <c r="AI167" s="2098"/>
      <c r="AJ167" s="2098"/>
      <c r="AK167" s="2098"/>
      <c r="AL167" s="2098"/>
      <c r="AM167" s="2098"/>
      <c r="AN167" s="2098"/>
      <c r="AO167" s="2098"/>
      <c r="AP167" s="2098"/>
      <c r="AQ167" s="2098"/>
      <c r="AR167" s="2098"/>
      <c r="AS167" s="2098"/>
      <c r="AT167" s="2099"/>
      <c r="AU167" s="2100"/>
      <c r="AV167" s="24">
        <f t="shared" si="91"/>
        <v>0</v>
      </c>
      <c r="AW167" s="24" t="str">
        <f t="shared" si="92"/>
        <v>京（2017）朝不动产权第0030953号</v>
      </c>
      <c r="AX167" s="24" t="str">
        <f t="shared" si="93"/>
        <v>1301-14</v>
      </c>
      <c r="AY167" s="42">
        <f t="shared" si="68"/>
        <v>7.65</v>
      </c>
      <c r="AZ167" s="16">
        <f t="shared" si="69"/>
        <v>75.83</v>
      </c>
      <c r="BA167" s="16">
        <f t="shared" si="70"/>
        <v>75.83</v>
      </c>
      <c r="BB167" s="16">
        <f t="shared" si="71"/>
        <v>75.83</v>
      </c>
      <c r="BC167" s="16">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59" t="str">
        <f>面积表!B162</f>
        <v>京（2017）朝不动产权第0030958号</v>
      </c>
      <c r="C168" s="1259" t="str">
        <f>面积表!C162</f>
        <v>1401-1</v>
      </c>
      <c r="D168" s="2096" t="s">
        <v>3434</v>
      </c>
      <c r="E168" s="16">
        <f t="shared" si="90"/>
        <v>16.96</v>
      </c>
      <c r="F168" s="32"/>
      <c r="G168" s="33">
        <f t="shared" si="65"/>
        <v>168.13</v>
      </c>
      <c r="H168" s="20">
        <f t="shared" si="66"/>
        <v>168.13</v>
      </c>
      <c r="I168" s="2097">
        <f>面积表!G162</f>
        <v>168.13</v>
      </c>
      <c r="J168" s="2097">
        <v>0</v>
      </c>
      <c r="K168" s="2097">
        <v>0</v>
      </c>
      <c r="L168" s="2097">
        <v>0</v>
      </c>
      <c r="M168" s="39"/>
      <c r="N168" s="39"/>
      <c r="O168" s="39"/>
      <c r="P168" s="39"/>
      <c r="Q168" s="39"/>
      <c r="R168" s="39"/>
      <c r="S168" s="39"/>
      <c r="T168" s="39"/>
      <c r="U168" s="39"/>
      <c r="V168" s="39"/>
      <c r="W168" s="39"/>
      <c r="X168" s="39"/>
      <c r="Y168" s="39"/>
      <c r="Z168" s="39"/>
      <c r="AA168" s="39"/>
      <c r="AB168" s="39"/>
      <c r="AC168" s="16">
        <f t="shared" si="67"/>
        <v>0</v>
      </c>
      <c r="AD168" s="2098"/>
      <c r="AE168" s="2098"/>
      <c r="AF168" s="2098"/>
      <c r="AG168" s="2098"/>
      <c r="AH168" s="2098"/>
      <c r="AI168" s="2098"/>
      <c r="AJ168" s="2098"/>
      <c r="AK168" s="2098"/>
      <c r="AL168" s="2098"/>
      <c r="AM168" s="2098"/>
      <c r="AN168" s="2098"/>
      <c r="AO168" s="2098"/>
      <c r="AP168" s="2098"/>
      <c r="AQ168" s="2098"/>
      <c r="AR168" s="2098"/>
      <c r="AS168" s="2098"/>
      <c r="AT168" s="2099"/>
      <c r="AU168" s="2100"/>
      <c r="AV168" s="24">
        <f t="shared" si="91"/>
        <v>0</v>
      </c>
      <c r="AW168" s="24" t="str">
        <f t="shared" si="92"/>
        <v>京（2017）朝不动产权第0030958号</v>
      </c>
      <c r="AX168" s="24" t="str">
        <f t="shared" si="93"/>
        <v>1401-1</v>
      </c>
      <c r="AY168" s="42">
        <f t="shared" si="68"/>
        <v>16.96</v>
      </c>
      <c r="AZ168" s="16">
        <f t="shared" si="69"/>
        <v>168.13</v>
      </c>
      <c r="BA168" s="16">
        <f t="shared" si="70"/>
        <v>168.13</v>
      </c>
      <c r="BB168" s="16">
        <f t="shared" si="71"/>
        <v>168.13</v>
      </c>
      <c r="BC168" s="16">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59" t="str">
        <f>面积表!B163</f>
        <v>京（2017）朝不动产权第0030964号</v>
      </c>
      <c r="C169" s="1259" t="str">
        <f>面积表!C163</f>
        <v>1401-2</v>
      </c>
      <c r="D169" s="2096" t="s">
        <v>3434</v>
      </c>
      <c r="E169" s="16">
        <f t="shared" si="90"/>
        <v>16.149999999999999</v>
      </c>
      <c r="F169" s="32"/>
      <c r="G169" s="33">
        <f t="shared" si="65"/>
        <v>160.12</v>
      </c>
      <c r="H169" s="20">
        <f t="shared" si="66"/>
        <v>160.12</v>
      </c>
      <c r="I169" s="2097">
        <f>面积表!G163</f>
        <v>160.12</v>
      </c>
      <c r="J169" s="2097">
        <v>0</v>
      </c>
      <c r="K169" s="2097">
        <v>0</v>
      </c>
      <c r="L169" s="2097">
        <v>0</v>
      </c>
      <c r="M169" s="39"/>
      <c r="N169" s="39"/>
      <c r="O169" s="39"/>
      <c r="P169" s="39"/>
      <c r="Q169" s="39"/>
      <c r="R169" s="39"/>
      <c r="S169" s="39"/>
      <c r="T169" s="39"/>
      <c r="U169" s="39"/>
      <c r="V169" s="39"/>
      <c r="W169" s="39"/>
      <c r="X169" s="39"/>
      <c r="Y169" s="39"/>
      <c r="Z169" s="39"/>
      <c r="AA169" s="39"/>
      <c r="AB169" s="39"/>
      <c r="AC169" s="16">
        <f t="shared" si="67"/>
        <v>0</v>
      </c>
      <c r="AD169" s="2098"/>
      <c r="AE169" s="2098"/>
      <c r="AF169" s="2098"/>
      <c r="AG169" s="2098"/>
      <c r="AH169" s="2098"/>
      <c r="AI169" s="2098"/>
      <c r="AJ169" s="2098"/>
      <c r="AK169" s="2098"/>
      <c r="AL169" s="2098"/>
      <c r="AM169" s="2098"/>
      <c r="AN169" s="2098"/>
      <c r="AO169" s="2098"/>
      <c r="AP169" s="2098"/>
      <c r="AQ169" s="2098"/>
      <c r="AR169" s="2098"/>
      <c r="AS169" s="2098"/>
      <c r="AT169" s="2099"/>
      <c r="AU169" s="2100"/>
      <c r="AV169" s="24">
        <f t="shared" si="91"/>
        <v>0</v>
      </c>
      <c r="AW169" s="24" t="str">
        <f t="shared" si="92"/>
        <v>京（2017）朝不动产权第0030964号</v>
      </c>
      <c r="AX169" s="24" t="str">
        <f t="shared" si="93"/>
        <v>1401-2</v>
      </c>
      <c r="AY169" s="42">
        <f t="shared" si="68"/>
        <v>16.149999999999999</v>
      </c>
      <c r="AZ169" s="16">
        <f t="shared" si="69"/>
        <v>160.12</v>
      </c>
      <c r="BA169" s="16">
        <f t="shared" si="70"/>
        <v>160.12</v>
      </c>
      <c r="BB169" s="16">
        <f t="shared" si="71"/>
        <v>160.12</v>
      </c>
      <c r="BC169" s="16">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59" t="str">
        <f>面积表!B164</f>
        <v>京（2017）朝不动产权第0030967号</v>
      </c>
      <c r="C170" s="1259" t="str">
        <f>面积表!C164</f>
        <v>1401-3</v>
      </c>
      <c r="D170" s="2096" t="s">
        <v>3434</v>
      </c>
      <c r="E170" s="16">
        <f t="shared" si="90"/>
        <v>18.8</v>
      </c>
      <c r="F170" s="32"/>
      <c r="G170" s="33">
        <f t="shared" si="65"/>
        <v>186.4</v>
      </c>
      <c r="H170" s="20">
        <f t="shared" si="66"/>
        <v>186.4</v>
      </c>
      <c r="I170" s="2097">
        <f>面积表!G164</f>
        <v>186.4</v>
      </c>
      <c r="J170" s="2097">
        <v>0</v>
      </c>
      <c r="K170" s="2097">
        <v>0</v>
      </c>
      <c r="L170" s="2097">
        <v>0</v>
      </c>
      <c r="M170" s="39"/>
      <c r="N170" s="39"/>
      <c r="O170" s="39"/>
      <c r="P170" s="39"/>
      <c r="Q170" s="39"/>
      <c r="R170" s="39"/>
      <c r="S170" s="39"/>
      <c r="T170" s="39"/>
      <c r="U170" s="39"/>
      <c r="V170" s="39"/>
      <c r="W170" s="39"/>
      <c r="X170" s="39"/>
      <c r="Y170" s="39"/>
      <c r="Z170" s="39"/>
      <c r="AA170" s="39"/>
      <c r="AB170" s="39"/>
      <c r="AC170" s="16">
        <f t="shared" si="67"/>
        <v>0</v>
      </c>
      <c r="AD170" s="2098"/>
      <c r="AE170" s="2098"/>
      <c r="AF170" s="2098"/>
      <c r="AG170" s="2098"/>
      <c r="AH170" s="2098"/>
      <c r="AI170" s="2098"/>
      <c r="AJ170" s="2098"/>
      <c r="AK170" s="2098"/>
      <c r="AL170" s="2098"/>
      <c r="AM170" s="2098"/>
      <c r="AN170" s="2098"/>
      <c r="AO170" s="2098"/>
      <c r="AP170" s="2098"/>
      <c r="AQ170" s="2098"/>
      <c r="AR170" s="2098"/>
      <c r="AS170" s="2098"/>
      <c r="AT170" s="2099"/>
      <c r="AU170" s="2100"/>
      <c r="AV170" s="24">
        <f t="shared" si="91"/>
        <v>0</v>
      </c>
      <c r="AW170" s="24" t="str">
        <f t="shared" si="92"/>
        <v>京（2017）朝不动产权第0030967号</v>
      </c>
      <c r="AX170" s="24" t="str">
        <f t="shared" si="93"/>
        <v>1401-3</v>
      </c>
      <c r="AY170" s="42">
        <f t="shared" si="68"/>
        <v>18.8</v>
      </c>
      <c r="AZ170" s="16">
        <f t="shared" si="69"/>
        <v>186.4</v>
      </c>
      <c r="BA170" s="16">
        <f t="shared" si="70"/>
        <v>186.4</v>
      </c>
      <c r="BB170" s="16">
        <f t="shared" si="71"/>
        <v>186.4</v>
      </c>
      <c r="BC170" s="16">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59" t="str">
        <f>面积表!B165</f>
        <v>京（2017）朝不动产权第0030971号</v>
      </c>
      <c r="C171" s="1259" t="str">
        <f>面积表!C165</f>
        <v>1401-4</v>
      </c>
      <c r="D171" s="2096" t="s">
        <v>3434</v>
      </c>
      <c r="E171" s="16">
        <f t="shared" si="90"/>
        <v>10.84</v>
      </c>
      <c r="F171" s="32"/>
      <c r="G171" s="33">
        <f t="shared" si="65"/>
        <v>107.51</v>
      </c>
      <c r="H171" s="20">
        <f t="shared" si="66"/>
        <v>107.51</v>
      </c>
      <c r="I171" s="2097">
        <f>面积表!G165</f>
        <v>107.51</v>
      </c>
      <c r="J171" s="2097">
        <v>0</v>
      </c>
      <c r="K171" s="2097">
        <v>0</v>
      </c>
      <c r="L171" s="2097">
        <v>0</v>
      </c>
      <c r="M171" s="39"/>
      <c r="N171" s="39"/>
      <c r="O171" s="39"/>
      <c r="P171" s="39"/>
      <c r="Q171" s="39"/>
      <c r="R171" s="39"/>
      <c r="S171" s="39"/>
      <c r="T171" s="39"/>
      <c r="U171" s="39"/>
      <c r="V171" s="39"/>
      <c r="W171" s="39"/>
      <c r="X171" s="39"/>
      <c r="Y171" s="39"/>
      <c r="Z171" s="39"/>
      <c r="AA171" s="39"/>
      <c r="AB171" s="39"/>
      <c r="AC171" s="16">
        <f t="shared" si="67"/>
        <v>0</v>
      </c>
      <c r="AD171" s="2098"/>
      <c r="AE171" s="2098"/>
      <c r="AF171" s="2098"/>
      <c r="AG171" s="2098"/>
      <c r="AH171" s="2098"/>
      <c r="AI171" s="2098"/>
      <c r="AJ171" s="2098"/>
      <c r="AK171" s="2098"/>
      <c r="AL171" s="2098"/>
      <c r="AM171" s="2098"/>
      <c r="AN171" s="2098"/>
      <c r="AO171" s="2098"/>
      <c r="AP171" s="2098"/>
      <c r="AQ171" s="2098"/>
      <c r="AR171" s="2098"/>
      <c r="AS171" s="2098"/>
      <c r="AT171" s="2099"/>
      <c r="AU171" s="2100"/>
      <c r="AV171" s="24">
        <f t="shared" si="91"/>
        <v>0</v>
      </c>
      <c r="AW171" s="24" t="str">
        <f t="shared" si="92"/>
        <v>京（2017）朝不动产权第0030971号</v>
      </c>
      <c r="AX171" s="24" t="str">
        <f t="shared" si="93"/>
        <v>1401-4</v>
      </c>
      <c r="AY171" s="42">
        <f t="shared" si="68"/>
        <v>10.84</v>
      </c>
      <c r="AZ171" s="16">
        <f t="shared" si="69"/>
        <v>107.51</v>
      </c>
      <c r="BA171" s="16">
        <f t="shared" si="70"/>
        <v>107.51</v>
      </c>
      <c r="BB171" s="16">
        <f t="shared" si="71"/>
        <v>107.51</v>
      </c>
      <c r="BC171" s="16">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59" t="str">
        <f>面积表!B166</f>
        <v>京（2017）朝不动产权第0034383号</v>
      </c>
      <c r="C172" s="1259" t="str">
        <f>面积表!C166</f>
        <v>1401-5</v>
      </c>
      <c r="D172" s="2096" t="s">
        <v>3434</v>
      </c>
      <c r="E172" s="16">
        <f t="shared" si="90"/>
        <v>16.91</v>
      </c>
      <c r="F172" s="32"/>
      <c r="G172" s="33">
        <f t="shared" si="65"/>
        <v>167.7</v>
      </c>
      <c r="H172" s="20">
        <f t="shared" si="66"/>
        <v>167.7</v>
      </c>
      <c r="I172" s="2097">
        <f>面积表!G166</f>
        <v>167.7</v>
      </c>
      <c r="J172" s="2097">
        <v>0</v>
      </c>
      <c r="K172" s="2097">
        <v>0</v>
      </c>
      <c r="L172" s="2097">
        <v>0</v>
      </c>
      <c r="M172" s="39"/>
      <c r="N172" s="39"/>
      <c r="O172" s="39"/>
      <c r="P172" s="39"/>
      <c r="Q172" s="39"/>
      <c r="R172" s="39"/>
      <c r="S172" s="39"/>
      <c r="T172" s="39"/>
      <c r="U172" s="39"/>
      <c r="V172" s="39"/>
      <c r="W172" s="39"/>
      <c r="X172" s="39"/>
      <c r="Y172" s="39"/>
      <c r="Z172" s="39"/>
      <c r="AA172" s="39"/>
      <c r="AB172" s="39"/>
      <c r="AC172" s="16">
        <f t="shared" si="67"/>
        <v>0</v>
      </c>
      <c r="AD172" s="2098"/>
      <c r="AE172" s="2098"/>
      <c r="AF172" s="2098"/>
      <c r="AG172" s="2098"/>
      <c r="AH172" s="2098"/>
      <c r="AI172" s="2098"/>
      <c r="AJ172" s="2098"/>
      <c r="AK172" s="2098"/>
      <c r="AL172" s="2098"/>
      <c r="AM172" s="2098"/>
      <c r="AN172" s="2098"/>
      <c r="AO172" s="2098"/>
      <c r="AP172" s="2098"/>
      <c r="AQ172" s="2098"/>
      <c r="AR172" s="2098"/>
      <c r="AS172" s="2098"/>
      <c r="AT172" s="2099"/>
      <c r="AU172" s="2100"/>
      <c r="AV172" s="24">
        <f t="shared" si="91"/>
        <v>0</v>
      </c>
      <c r="AW172" s="24" t="str">
        <f t="shared" si="92"/>
        <v>京（2017）朝不动产权第0034383号</v>
      </c>
      <c r="AX172" s="24" t="str">
        <f t="shared" si="93"/>
        <v>1401-5</v>
      </c>
      <c r="AY172" s="42">
        <f t="shared" si="68"/>
        <v>16.91</v>
      </c>
      <c r="AZ172" s="16">
        <f t="shared" si="69"/>
        <v>167.7</v>
      </c>
      <c r="BA172" s="16">
        <f t="shared" si="70"/>
        <v>167.7</v>
      </c>
      <c r="BB172" s="16">
        <f t="shared" si="71"/>
        <v>167.7</v>
      </c>
      <c r="BC172" s="16">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59" t="str">
        <f>面积表!B167</f>
        <v>京（2017）朝不动产权第0031043号</v>
      </c>
      <c r="C173" s="1259" t="str">
        <f>面积表!C167</f>
        <v>1401-6</v>
      </c>
      <c r="D173" s="2096" t="s">
        <v>3434</v>
      </c>
      <c r="E173" s="16">
        <f t="shared" si="90"/>
        <v>16.11</v>
      </c>
      <c r="F173" s="32"/>
      <c r="G173" s="33">
        <f t="shared" si="65"/>
        <v>159.72999999999999</v>
      </c>
      <c r="H173" s="20">
        <f t="shared" si="66"/>
        <v>159.72999999999999</v>
      </c>
      <c r="I173" s="2097">
        <f>面积表!G167</f>
        <v>159.72999999999999</v>
      </c>
      <c r="J173" s="2097">
        <v>0</v>
      </c>
      <c r="K173" s="2097">
        <v>0</v>
      </c>
      <c r="L173" s="2097">
        <v>0</v>
      </c>
      <c r="M173" s="39"/>
      <c r="N173" s="39"/>
      <c r="O173" s="39"/>
      <c r="P173" s="39"/>
      <c r="Q173" s="39"/>
      <c r="R173" s="39"/>
      <c r="S173" s="39"/>
      <c r="T173" s="39"/>
      <c r="U173" s="39"/>
      <c r="V173" s="39"/>
      <c r="W173" s="39"/>
      <c r="X173" s="39"/>
      <c r="Y173" s="39"/>
      <c r="Z173" s="39"/>
      <c r="AA173" s="39"/>
      <c r="AB173" s="39"/>
      <c r="AC173" s="16">
        <f t="shared" si="67"/>
        <v>0</v>
      </c>
      <c r="AD173" s="2098"/>
      <c r="AE173" s="2098"/>
      <c r="AF173" s="2098"/>
      <c r="AG173" s="2098"/>
      <c r="AH173" s="2098"/>
      <c r="AI173" s="2098"/>
      <c r="AJ173" s="2098"/>
      <c r="AK173" s="2098"/>
      <c r="AL173" s="2098"/>
      <c r="AM173" s="2098"/>
      <c r="AN173" s="2098"/>
      <c r="AO173" s="2098"/>
      <c r="AP173" s="2098"/>
      <c r="AQ173" s="2098"/>
      <c r="AR173" s="2098"/>
      <c r="AS173" s="2098"/>
      <c r="AT173" s="2099"/>
      <c r="AU173" s="2100"/>
      <c r="AV173" s="24">
        <f t="shared" si="91"/>
        <v>0</v>
      </c>
      <c r="AW173" s="24" t="str">
        <f t="shared" si="92"/>
        <v>京（2017）朝不动产权第0031043号</v>
      </c>
      <c r="AX173" s="24" t="str">
        <f t="shared" si="93"/>
        <v>1401-6</v>
      </c>
      <c r="AY173" s="42">
        <f t="shared" si="68"/>
        <v>16.11</v>
      </c>
      <c r="AZ173" s="16">
        <f t="shared" si="69"/>
        <v>159.72999999999999</v>
      </c>
      <c r="BA173" s="16">
        <f t="shared" si="70"/>
        <v>159.72999999999999</v>
      </c>
      <c r="BB173" s="16">
        <f t="shared" si="71"/>
        <v>159.72999999999999</v>
      </c>
      <c r="BC173" s="16">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59" t="str">
        <f>面积表!B168</f>
        <v>京（2017）朝不动产权第0031055号</v>
      </c>
      <c r="C174" s="1259" t="str">
        <f>面积表!C168</f>
        <v>1401-7</v>
      </c>
      <c r="D174" s="2096" t="s">
        <v>3434</v>
      </c>
      <c r="E174" s="16">
        <f t="shared" si="90"/>
        <v>18.78</v>
      </c>
      <c r="F174" s="32"/>
      <c r="G174" s="33">
        <f t="shared" ref="G174:G205" si="94">H174+AC174+AT174</f>
        <v>186.21</v>
      </c>
      <c r="H174" s="20">
        <f t="shared" ref="H174:H205" si="95">SUMIF(I$12:AB$12,"总值",I174:AB174)</f>
        <v>186.21</v>
      </c>
      <c r="I174" s="2097">
        <f>面积表!G168</f>
        <v>186.21</v>
      </c>
      <c r="J174" s="2097">
        <v>0</v>
      </c>
      <c r="K174" s="2097">
        <v>0</v>
      </c>
      <c r="L174" s="2097">
        <v>0</v>
      </c>
      <c r="M174" s="39"/>
      <c r="N174" s="39"/>
      <c r="O174" s="39"/>
      <c r="P174" s="39"/>
      <c r="Q174" s="39"/>
      <c r="R174" s="39"/>
      <c r="S174" s="39"/>
      <c r="T174" s="39"/>
      <c r="U174" s="39"/>
      <c r="V174" s="39"/>
      <c r="W174" s="39"/>
      <c r="X174" s="39"/>
      <c r="Y174" s="39"/>
      <c r="Z174" s="39"/>
      <c r="AA174" s="39"/>
      <c r="AB174" s="39"/>
      <c r="AC174" s="16">
        <f t="shared" ref="AC174:AC205" si="96">SUMIF(AD$12:AS$12,"总值",AD174:AS174)</f>
        <v>0</v>
      </c>
      <c r="AD174" s="2098"/>
      <c r="AE174" s="2098"/>
      <c r="AF174" s="2098"/>
      <c r="AG174" s="2098"/>
      <c r="AH174" s="2098"/>
      <c r="AI174" s="2098"/>
      <c r="AJ174" s="2098"/>
      <c r="AK174" s="2098"/>
      <c r="AL174" s="2098"/>
      <c r="AM174" s="2098"/>
      <c r="AN174" s="2098"/>
      <c r="AO174" s="2098"/>
      <c r="AP174" s="2098"/>
      <c r="AQ174" s="2098"/>
      <c r="AR174" s="2098"/>
      <c r="AS174" s="2098"/>
      <c r="AT174" s="2099"/>
      <c r="AU174" s="2100"/>
      <c r="AV174" s="24">
        <f t="shared" si="91"/>
        <v>0</v>
      </c>
      <c r="AW174" s="24" t="str">
        <f t="shared" si="92"/>
        <v>京（2017）朝不动产权第0031055号</v>
      </c>
      <c r="AX174" s="24" t="str">
        <f t="shared" si="93"/>
        <v>1401-7</v>
      </c>
      <c r="AY174" s="42">
        <f t="shared" ref="AY174:AY205" si="97">ROUND($AY$6*AZ174/$AZ$5,2)</f>
        <v>18.78</v>
      </c>
      <c r="AZ174" s="16">
        <f t="shared" ref="AZ174:AZ205" si="98">BA174+BL174</f>
        <v>186.21</v>
      </c>
      <c r="BA174" s="16">
        <f t="shared" ref="BA174:BA205" si="99">SUM(BB174:BK174)</f>
        <v>186.21</v>
      </c>
      <c r="BB174" s="16">
        <f t="shared" ref="BB174:BB207" si="100">IF($D174="是",I174-J174,0)</f>
        <v>186.21</v>
      </c>
      <c r="BC174" s="16">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59" t="str">
        <f>面积表!B169</f>
        <v>京（2017）朝不动产权第0022865号</v>
      </c>
      <c r="C175" s="1259" t="str">
        <f>面积表!C169</f>
        <v>1401-8</v>
      </c>
      <c r="D175" s="2096" t="s">
        <v>3434</v>
      </c>
      <c r="E175" s="16">
        <f t="shared" si="90"/>
        <v>7.65</v>
      </c>
      <c r="F175" s="32"/>
      <c r="G175" s="33">
        <f t="shared" si="94"/>
        <v>75.84</v>
      </c>
      <c r="H175" s="20">
        <f t="shared" si="95"/>
        <v>75.84</v>
      </c>
      <c r="I175" s="2097">
        <f>面积表!G169</f>
        <v>75.84</v>
      </c>
      <c r="J175" s="2097">
        <v>0</v>
      </c>
      <c r="K175" s="2097">
        <v>0</v>
      </c>
      <c r="L175" s="2097">
        <v>0</v>
      </c>
      <c r="M175" s="39"/>
      <c r="N175" s="39"/>
      <c r="O175" s="39"/>
      <c r="P175" s="39"/>
      <c r="Q175" s="39"/>
      <c r="R175" s="39"/>
      <c r="S175" s="39"/>
      <c r="T175" s="39"/>
      <c r="U175" s="39"/>
      <c r="V175" s="39"/>
      <c r="W175" s="39"/>
      <c r="X175" s="39"/>
      <c r="Y175" s="39"/>
      <c r="Z175" s="39"/>
      <c r="AA175" s="39"/>
      <c r="AB175" s="39"/>
      <c r="AC175" s="16">
        <f t="shared" si="96"/>
        <v>0</v>
      </c>
      <c r="AD175" s="2098"/>
      <c r="AE175" s="2098"/>
      <c r="AF175" s="2098"/>
      <c r="AG175" s="2098"/>
      <c r="AH175" s="2098"/>
      <c r="AI175" s="2098"/>
      <c r="AJ175" s="2098"/>
      <c r="AK175" s="2098"/>
      <c r="AL175" s="2098"/>
      <c r="AM175" s="2098"/>
      <c r="AN175" s="2098"/>
      <c r="AO175" s="2098"/>
      <c r="AP175" s="2098"/>
      <c r="AQ175" s="2098"/>
      <c r="AR175" s="2098"/>
      <c r="AS175" s="2098"/>
      <c r="AT175" s="2099"/>
      <c r="AU175" s="2100"/>
      <c r="AV175" s="24">
        <f t="shared" si="91"/>
        <v>0</v>
      </c>
      <c r="AW175" s="24" t="str">
        <f t="shared" si="92"/>
        <v>京（2017）朝不动产权第0022865号</v>
      </c>
      <c r="AX175" s="24" t="str">
        <f t="shared" si="93"/>
        <v>1401-8</v>
      </c>
      <c r="AY175" s="42">
        <f t="shared" si="97"/>
        <v>7.65</v>
      </c>
      <c r="AZ175" s="16">
        <f t="shared" si="98"/>
        <v>75.84</v>
      </c>
      <c r="BA175" s="16">
        <f t="shared" si="99"/>
        <v>75.84</v>
      </c>
      <c r="BB175" s="16">
        <f t="shared" si="100"/>
        <v>75.84</v>
      </c>
      <c r="BC175" s="16">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59" t="str">
        <f>面积表!B170</f>
        <v>京（2017）朝不动产权第0031063号</v>
      </c>
      <c r="C176" s="1259" t="str">
        <f>面积表!C170</f>
        <v>1501-1</v>
      </c>
      <c r="D176" s="2096" t="s">
        <v>3434</v>
      </c>
      <c r="E176" s="16">
        <f t="shared" si="90"/>
        <v>16.96</v>
      </c>
      <c r="F176" s="32"/>
      <c r="G176" s="33">
        <f t="shared" si="94"/>
        <v>168.13</v>
      </c>
      <c r="H176" s="20">
        <f t="shared" si="95"/>
        <v>168.13</v>
      </c>
      <c r="I176" s="2097">
        <f>面积表!G170</f>
        <v>168.13</v>
      </c>
      <c r="J176" s="2097">
        <v>0</v>
      </c>
      <c r="K176" s="2097">
        <v>0</v>
      </c>
      <c r="L176" s="2097">
        <v>0</v>
      </c>
      <c r="M176" s="39"/>
      <c r="N176" s="39"/>
      <c r="O176" s="39"/>
      <c r="P176" s="39"/>
      <c r="Q176" s="39"/>
      <c r="R176" s="39"/>
      <c r="S176" s="39"/>
      <c r="T176" s="39"/>
      <c r="U176" s="39"/>
      <c r="V176" s="39"/>
      <c r="W176" s="39"/>
      <c r="X176" s="39"/>
      <c r="Y176" s="39"/>
      <c r="Z176" s="39"/>
      <c r="AA176" s="39"/>
      <c r="AB176" s="39"/>
      <c r="AC176" s="16">
        <f t="shared" si="96"/>
        <v>0</v>
      </c>
      <c r="AD176" s="2098"/>
      <c r="AE176" s="2098"/>
      <c r="AF176" s="2098"/>
      <c r="AG176" s="2098"/>
      <c r="AH176" s="2098"/>
      <c r="AI176" s="2098"/>
      <c r="AJ176" s="2098"/>
      <c r="AK176" s="2098"/>
      <c r="AL176" s="2098"/>
      <c r="AM176" s="2098"/>
      <c r="AN176" s="2098"/>
      <c r="AO176" s="2098"/>
      <c r="AP176" s="2098"/>
      <c r="AQ176" s="2098"/>
      <c r="AR176" s="2098"/>
      <c r="AS176" s="2098"/>
      <c r="AT176" s="2099"/>
      <c r="AU176" s="2100"/>
      <c r="AV176" s="24">
        <f t="shared" si="91"/>
        <v>0</v>
      </c>
      <c r="AW176" s="24" t="str">
        <f t="shared" si="92"/>
        <v>京（2017）朝不动产权第0031063号</v>
      </c>
      <c r="AX176" s="24" t="str">
        <f t="shared" si="93"/>
        <v>1501-1</v>
      </c>
      <c r="AY176" s="42">
        <f t="shared" si="97"/>
        <v>16.96</v>
      </c>
      <c r="AZ176" s="16">
        <f t="shared" si="98"/>
        <v>168.13</v>
      </c>
      <c r="BA176" s="16">
        <f t="shared" si="99"/>
        <v>168.13</v>
      </c>
      <c r="BB176" s="16">
        <f t="shared" si="100"/>
        <v>168.13</v>
      </c>
      <c r="BC176" s="16">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59" t="str">
        <f>面积表!B171</f>
        <v>京（2017）朝不动产权第0030994号</v>
      </c>
      <c r="C177" s="1259" t="str">
        <f>面积表!C171</f>
        <v>1501-2</v>
      </c>
      <c r="D177" s="2096" t="s">
        <v>3434</v>
      </c>
      <c r="E177" s="16">
        <f t="shared" ref="E177:E207" si="119">IF($C$3="是",ROUND($A$3*G177/$B$3,2),ROUND($A$3*(G177-AT177)/$B$3,2))</f>
        <v>16.149999999999999</v>
      </c>
      <c r="F177" s="32"/>
      <c r="G177" s="33">
        <f t="shared" si="94"/>
        <v>160.12</v>
      </c>
      <c r="H177" s="20">
        <f t="shared" si="95"/>
        <v>160.12</v>
      </c>
      <c r="I177" s="2097">
        <f>面积表!G171</f>
        <v>160.12</v>
      </c>
      <c r="J177" s="2097">
        <v>0</v>
      </c>
      <c r="K177" s="2097">
        <v>0</v>
      </c>
      <c r="L177" s="2097">
        <v>0</v>
      </c>
      <c r="M177" s="39"/>
      <c r="N177" s="39"/>
      <c r="O177" s="39"/>
      <c r="P177" s="39"/>
      <c r="Q177" s="39"/>
      <c r="R177" s="39"/>
      <c r="S177" s="39"/>
      <c r="T177" s="39"/>
      <c r="U177" s="39"/>
      <c r="V177" s="39"/>
      <c r="W177" s="39"/>
      <c r="X177" s="39"/>
      <c r="Y177" s="39"/>
      <c r="Z177" s="39"/>
      <c r="AA177" s="39"/>
      <c r="AB177" s="39"/>
      <c r="AC177" s="16">
        <f t="shared" si="96"/>
        <v>0</v>
      </c>
      <c r="AD177" s="2098"/>
      <c r="AE177" s="2098"/>
      <c r="AF177" s="2098"/>
      <c r="AG177" s="2098"/>
      <c r="AH177" s="2098"/>
      <c r="AI177" s="2098"/>
      <c r="AJ177" s="2098"/>
      <c r="AK177" s="2098"/>
      <c r="AL177" s="2098"/>
      <c r="AM177" s="2098"/>
      <c r="AN177" s="2098"/>
      <c r="AO177" s="2098"/>
      <c r="AP177" s="2098"/>
      <c r="AQ177" s="2098"/>
      <c r="AR177" s="2098"/>
      <c r="AS177" s="2098"/>
      <c r="AT177" s="2099"/>
      <c r="AU177" s="2100"/>
      <c r="AV177" s="24">
        <f t="shared" ref="AV177:AV207" si="120">A177</f>
        <v>0</v>
      </c>
      <c r="AW177" s="24" t="str">
        <f t="shared" ref="AW177:AW207" si="121">B177</f>
        <v>京（2017）朝不动产权第0030994号</v>
      </c>
      <c r="AX177" s="24" t="str">
        <f t="shared" ref="AX177:AX207" si="122">C177</f>
        <v>1501-2</v>
      </c>
      <c r="AY177" s="42">
        <f t="shared" si="97"/>
        <v>16.149999999999999</v>
      </c>
      <c r="AZ177" s="16">
        <f t="shared" si="98"/>
        <v>160.12</v>
      </c>
      <c r="BA177" s="16">
        <f t="shared" si="99"/>
        <v>160.12</v>
      </c>
      <c r="BB177" s="16">
        <f t="shared" si="100"/>
        <v>160.12</v>
      </c>
      <c r="BC177" s="16">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59" t="str">
        <f>面积表!B172</f>
        <v>京（2017）朝不动产权第0034312号</v>
      </c>
      <c r="C178" s="1259" t="str">
        <f>面积表!C172</f>
        <v>1501-3</v>
      </c>
      <c r="D178" s="2096" t="s">
        <v>3434</v>
      </c>
      <c r="E178" s="16">
        <f t="shared" si="119"/>
        <v>18.8</v>
      </c>
      <c r="F178" s="32"/>
      <c r="G178" s="33">
        <f t="shared" si="94"/>
        <v>186.4</v>
      </c>
      <c r="H178" s="20">
        <f t="shared" si="95"/>
        <v>186.4</v>
      </c>
      <c r="I178" s="2097">
        <f>面积表!G172</f>
        <v>186.4</v>
      </c>
      <c r="J178" s="2097">
        <v>0</v>
      </c>
      <c r="K178" s="2097">
        <v>0</v>
      </c>
      <c r="L178" s="2097">
        <v>0</v>
      </c>
      <c r="M178" s="39"/>
      <c r="N178" s="39"/>
      <c r="O178" s="39"/>
      <c r="P178" s="39"/>
      <c r="Q178" s="39"/>
      <c r="R178" s="39"/>
      <c r="S178" s="39"/>
      <c r="T178" s="39"/>
      <c r="U178" s="39"/>
      <c r="V178" s="39"/>
      <c r="W178" s="39"/>
      <c r="X178" s="39"/>
      <c r="Y178" s="39"/>
      <c r="Z178" s="39"/>
      <c r="AA178" s="39"/>
      <c r="AB178" s="39"/>
      <c r="AC178" s="16">
        <f t="shared" si="96"/>
        <v>0</v>
      </c>
      <c r="AD178" s="2098"/>
      <c r="AE178" s="2098"/>
      <c r="AF178" s="2098"/>
      <c r="AG178" s="2098"/>
      <c r="AH178" s="2098"/>
      <c r="AI178" s="2098"/>
      <c r="AJ178" s="2098"/>
      <c r="AK178" s="2098"/>
      <c r="AL178" s="2098"/>
      <c r="AM178" s="2098"/>
      <c r="AN178" s="2098"/>
      <c r="AO178" s="2098"/>
      <c r="AP178" s="2098"/>
      <c r="AQ178" s="2098"/>
      <c r="AR178" s="2098"/>
      <c r="AS178" s="2098"/>
      <c r="AT178" s="2099"/>
      <c r="AU178" s="2100"/>
      <c r="AV178" s="24">
        <f t="shared" si="120"/>
        <v>0</v>
      </c>
      <c r="AW178" s="24" t="str">
        <f t="shared" si="121"/>
        <v>京（2017）朝不动产权第0034312号</v>
      </c>
      <c r="AX178" s="24" t="str">
        <f t="shared" si="122"/>
        <v>1501-3</v>
      </c>
      <c r="AY178" s="42">
        <f t="shared" si="97"/>
        <v>18.8</v>
      </c>
      <c r="AZ178" s="16">
        <f t="shared" si="98"/>
        <v>186.4</v>
      </c>
      <c r="BA178" s="16">
        <f t="shared" si="99"/>
        <v>186.4</v>
      </c>
      <c r="BB178" s="16">
        <f t="shared" si="100"/>
        <v>186.4</v>
      </c>
      <c r="BC178" s="16">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59" t="str">
        <f>面积表!B173</f>
        <v>京（2017）朝不动产权第0030997号</v>
      </c>
      <c r="C179" s="1259" t="str">
        <f>面积表!C173</f>
        <v>1501-4</v>
      </c>
      <c r="D179" s="2096" t="s">
        <v>3434</v>
      </c>
      <c r="E179" s="16">
        <f t="shared" si="119"/>
        <v>10.84</v>
      </c>
      <c r="F179" s="32"/>
      <c r="G179" s="33">
        <f t="shared" si="94"/>
        <v>107.51</v>
      </c>
      <c r="H179" s="20">
        <f t="shared" si="95"/>
        <v>107.51</v>
      </c>
      <c r="I179" s="2097">
        <f>面积表!G173</f>
        <v>107.51</v>
      </c>
      <c r="J179" s="2097">
        <v>0</v>
      </c>
      <c r="K179" s="2097">
        <v>0</v>
      </c>
      <c r="L179" s="2097">
        <v>0</v>
      </c>
      <c r="M179" s="39"/>
      <c r="N179" s="39"/>
      <c r="O179" s="39"/>
      <c r="P179" s="39"/>
      <c r="Q179" s="39"/>
      <c r="R179" s="39"/>
      <c r="S179" s="39"/>
      <c r="T179" s="39"/>
      <c r="U179" s="39"/>
      <c r="V179" s="39"/>
      <c r="W179" s="39"/>
      <c r="X179" s="39"/>
      <c r="Y179" s="39"/>
      <c r="Z179" s="39"/>
      <c r="AA179" s="39"/>
      <c r="AB179" s="39"/>
      <c r="AC179" s="16">
        <f t="shared" si="96"/>
        <v>0</v>
      </c>
      <c r="AD179" s="2098"/>
      <c r="AE179" s="2098"/>
      <c r="AF179" s="2098"/>
      <c r="AG179" s="2098"/>
      <c r="AH179" s="2098"/>
      <c r="AI179" s="2098"/>
      <c r="AJ179" s="2098"/>
      <c r="AK179" s="2098"/>
      <c r="AL179" s="2098"/>
      <c r="AM179" s="2098"/>
      <c r="AN179" s="2098"/>
      <c r="AO179" s="2098"/>
      <c r="AP179" s="2098"/>
      <c r="AQ179" s="2098"/>
      <c r="AR179" s="2098"/>
      <c r="AS179" s="2098"/>
      <c r="AT179" s="2099"/>
      <c r="AU179" s="2100"/>
      <c r="AV179" s="24">
        <f t="shared" si="120"/>
        <v>0</v>
      </c>
      <c r="AW179" s="24" t="str">
        <f t="shared" si="121"/>
        <v>京（2017）朝不动产权第0030997号</v>
      </c>
      <c r="AX179" s="24" t="str">
        <f t="shared" si="122"/>
        <v>1501-4</v>
      </c>
      <c r="AY179" s="42">
        <f t="shared" si="97"/>
        <v>10.84</v>
      </c>
      <c r="AZ179" s="16">
        <f t="shared" si="98"/>
        <v>107.51</v>
      </c>
      <c r="BA179" s="16">
        <f t="shared" si="99"/>
        <v>107.51</v>
      </c>
      <c r="BB179" s="16">
        <f t="shared" si="100"/>
        <v>107.51</v>
      </c>
      <c r="BC179" s="16">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59" t="str">
        <f>面积表!B174</f>
        <v>京（2017）朝不动产权第0031067号</v>
      </c>
      <c r="C180" s="1259" t="str">
        <f>面积表!C174</f>
        <v>1501-5</v>
      </c>
      <c r="D180" s="2096" t="s">
        <v>3434</v>
      </c>
      <c r="E180" s="16">
        <f t="shared" si="119"/>
        <v>16.91</v>
      </c>
      <c r="F180" s="32"/>
      <c r="G180" s="33">
        <f t="shared" si="94"/>
        <v>167.7</v>
      </c>
      <c r="H180" s="20">
        <f t="shared" si="95"/>
        <v>167.7</v>
      </c>
      <c r="I180" s="2097">
        <f>面积表!G174</f>
        <v>167.7</v>
      </c>
      <c r="J180" s="2097">
        <v>0</v>
      </c>
      <c r="K180" s="2097">
        <v>0</v>
      </c>
      <c r="L180" s="2097">
        <v>0</v>
      </c>
      <c r="M180" s="39"/>
      <c r="N180" s="39"/>
      <c r="O180" s="39"/>
      <c r="P180" s="39"/>
      <c r="Q180" s="39"/>
      <c r="R180" s="39"/>
      <c r="S180" s="39"/>
      <c r="T180" s="39"/>
      <c r="U180" s="39"/>
      <c r="V180" s="39"/>
      <c r="W180" s="39"/>
      <c r="X180" s="39"/>
      <c r="Y180" s="39"/>
      <c r="Z180" s="39"/>
      <c r="AA180" s="39"/>
      <c r="AB180" s="39"/>
      <c r="AC180" s="16">
        <f t="shared" si="96"/>
        <v>0</v>
      </c>
      <c r="AD180" s="2098"/>
      <c r="AE180" s="2098"/>
      <c r="AF180" s="2098"/>
      <c r="AG180" s="2098"/>
      <c r="AH180" s="2098"/>
      <c r="AI180" s="2098"/>
      <c r="AJ180" s="2098"/>
      <c r="AK180" s="2098"/>
      <c r="AL180" s="2098"/>
      <c r="AM180" s="2098"/>
      <c r="AN180" s="2098"/>
      <c r="AO180" s="2098"/>
      <c r="AP180" s="2098"/>
      <c r="AQ180" s="2098"/>
      <c r="AR180" s="2098"/>
      <c r="AS180" s="2098"/>
      <c r="AT180" s="2099"/>
      <c r="AU180" s="2100"/>
      <c r="AV180" s="24">
        <f t="shared" si="120"/>
        <v>0</v>
      </c>
      <c r="AW180" s="24" t="str">
        <f t="shared" si="121"/>
        <v>京（2017）朝不动产权第0031067号</v>
      </c>
      <c r="AX180" s="24" t="str">
        <f t="shared" si="122"/>
        <v>1501-5</v>
      </c>
      <c r="AY180" s="42">
        <f t="shared" si="97"/>
        <v>16.91</v>
      </c>
      <c r="AZ180" s="16">
        <f t="shared" si="98"/>
        <v>167.7</v>
      </c>
      <c r="BA180" s="16">
        <f t="shared" si="99"/>
        <v>167.7</v>
      </c>
      <c r="BB180" s="16">
        <f t="shared" si="100"/>
        <v>167.7</v>
      </c>
      <c r="BC180" s="16">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59" t="str">
        <f>面积表!B175</f>
        <v>京（2017）朝不动产权第0030923号</v>
      </c>
      <c r="C181" s="1259" t="str">
        <f>面积表!C175</f>
        <v>1501-6</v>
      </c>
      <c r="D181" s="2096" t="s">
        <v>3434</v>
      </c>
      <c r="E181" s="16">
        <f t="shared" si="119"/>
        <v>16.11</v>
      </c>
      <c r="F181" s="32"/>
      <c r="G181" s="33">
        <f t="shared" si="94"/>
        <v>159.72999999999999</v>
      </c>
      <c r="H181" s="20">
        <f t="shared" si="95"/>
        <v>159.72999999999999</v>
      </c>
      <c r="I181" s="2097">
        <f>面积表!G175</f>
        <v>159.72999999999999</v>
      </c>
      <c r="J181" s="2097">
        <v>0</v>
      </c>
      <c r="K181" s="2097">
        <v>0</v>
      </c>
      <c r="L181" s="2097">
        <v>0</v>
      </c>
      <c r="M181" s="39"/>
      <c r="N181" s="39"/>
      <c r="O181" s="39"/>
      <c r="P181" s="39"/>
      <c r="Q181" s="39"/>
      <c r="R181" s="39"/>
      <c r="S181" s="39"/>
      <c r="T181" s="39"/>
      <c r="U181" s="39"/>
      <c r="V181" s="39"/>
      <c r="W181" s="39"/>
      <c r="X181" s="39"/>
      <c r="Y181" s="39"/>
      <c r="Z181" s="39"/>
      <c r="AA181" s="39"/>
      <c r="AB181" s="39"/>
      <c r="AC181" s="16">
        <f t="shared" si="96"/>
        <v>0</v>
      </c>
      <c r="AD181" s="2098"/>
      <c r="AE181" s="2098"/>
      <c r="AF181" s="2098"/>
      <c r="AG181" s="2098"/>
      <c r="AH181" s="2098"/>
      <c r="AI181" s="2098"/>
      <c r="AJ181" s="2098"/>
      <c r="AK181" s="2098"/>
      <c r="AL181" s="2098"/>
      <c r="AM181" s="2098"/>
      <c r="AN181" s="2098"/>
      <c r="AO181" s="2098"/>
      <c r="AP181" s="2098"/>
      <c r="AQ181" s="2098"/>
      <c r="AR181" s="2098"/>
      <c r="AS181" s="2098"/>
      <c r="AT181" s="2099"/>
      <c r="AU181" s="2100"/>
      <c r="AV181" s="24">
        <f t="shared" si="120"/>
        <v>0</v>
      </c>
      <c r="AW181" s="24" t="str">
        <f t="shared" si="121"/>
        <v>京（2017）朝不动产权第0030923号</v>
      </c>
      <c r="AX181" s="24" t="str">
        <f t="shared" si="122"/>
        <v>1501-6</v>
      </c>
      <c r="AY181" s="42">
        <f t="shared" si="97"/>
        <v>16.11</v>
      </c>
      <c r="AZ181" s="16">
        <f t="shared" si="98"/>
        <v>159.72999999999999</v>
      </c>
      <c r="BA181" s="16">
        <f t="shared" si="99"/>
        <v>159.72999999999999</v>
      </c>
      <c r="BB181" s="16">
        <f t="shared" si="100"/>
        <v>159.72999999999999</v>
      </c>
      <c r="BC181" s="16">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59" t="str">
        <f>面积表!B176</f>
        <v>京（2017）朝不动产权第0030864号</v>
      </c>
      <c r="C182" s="1259" t="str">
        <f>面积表!C176</f>
        <v>1501-7</v>
      </c>
      <c r="D182" s="2096" t="s">
        <v>3434</v>
      </c>
      <c r="E182" s="16">
        <f t="shared" si="119"/>
        <v>18.78</v>
      </c>
      <c r="F182" s="32"/>
      <c r="G182" s="33">
        <f t="shared" si="94"/>
        <v>186.21</v>
      </c>
      <c r="H182" s="20">
        <f t="shared" si="95"/>
        <v>186.21</v>
      </c>
      <c r="I182" s="2097">
        <f>面积表!G176</f>
        <v>186.21</v>
      </c>
      <c r="J182" s="2097">
        <v>0</v>
      </c>
      <c r="K182" s="2097">
        <v>0</v>
      </c>
      <c r="L182" s="2097">
        <v>0</v>
      </c>
      <c r="M182" s="39"/>
      <c r="N182" s="39"/>
      <c r="O182" s="39"/>
      <c r="P182" s="39"/>
      <c r="Q182" s="39"/>
      <c r="R182" s="39"/>
      <c r="S182" s="39"/>
      <c r="T182" s="39"/>
      <c r="U182" s="39"/>
      <c r="V182" s="39"/>
      <c r="W182" s="39"/>
      <c r="X182" s="39"/>
      <c r="Y182" s="39"/>
      <c r="Z182" s="39"/>
      <c r="AA182" s="39"/>
      <c r="AB182" s="39"/>
      <c r="AC182" s="16">
        <f t="shared" si="96"/>
        <v>0</v>
      </c>
      <c r="AD182" s="2098"/>
      <c r="AE182" s="2098"/>
      <c r="AF182" s="2098"/>
      <c r="AG182" s="2098"/>
      <c r="AH182" s="2098"/>
      <c r="AI182" s="2098"/>
      <c r="AJ182" s="2098"/>
      <c r="AK182" s="2098"/>
      <c r="AL182" s="2098"/>
      <c r="AM182" s="2098"/>
      <c r="AN182" s="2098"/>
      <c r="AO182" s="2098"/>
      <c r="AP182" s="2098"/>
      <c r="AQ182" s="2098"/>
      <c r="AR182" s="2098"/>
      <c r="AS182" s="2098"/>
      <c r="AT182" s="2099"/>
      <c r="AU182" s="2100"/>
      <c r="AV182" s="24">
        <f t="shared" si="120"/>
        <v>0</v>
      </c>
      <c r="AW182" s="24" t="str">
        <f t="shared" si="121"/>
        <v>京（2017）朝不动产权第0030864号</v>
      </c>
      <c r="AX182" s="24" t="str">
        <f t="shared" si="122"/>
        <v>1501-7</v>
      </c>
      <c r="AY182" s="42">
        <f t="shared" si="97"/>
        <v>18.78</v>
      </c>
      <c r="AZ182" s="16">
        <f t="shared" si="98"/>
        <v>186.21</v>
      </c>
      <c r="BA182" s="16">
        <f t="shared" si="99"/>
        <v>186.21</v>
      </c>
      <c r="BB182" s="16">
        <f t="shared" si="100"/>
        <v>186.21</v>
      </c>
      <c r="BC182" s="16">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59" t="str">
        <f>面积表!B177</f>
        <v>京（2017）朝不动产权第0022712号</v>
      </c>
      <c r="C183" s="1259" t="str">
        <f>面积表!C177</f>
        <v>1501-8</v>
      </c>
      <c r="D183" s="2096" t="s">
        <v>3434</v>
      </c>
      <c r="E183" s="16">
        <f t="shared" si="119"/>
        <v>7.65</v>
      </c>
      <c r="F183" s="32"/>
      <c r="G183" s="33">
        <f t="shared" si="94"/>
        <v>75.84</v>
      </c>
      <c r="H183" s="20">
        <f t="shared" si="95"/>
        <v>75.84</v>
      </c>
      <c r="I183" s="2097">
        <f>面积表!G177</f>
        <v>75.84</v>
      </c>
      <c r="J183" s="2097">
        <v>0</v>
      </c>
      <c r="K183" s="2097">
        <v>0</v>
      </c>
      <c r="L183" s="2097">
        <v>0</v>
      </c>
      <c r="M183" s="39"/>
      <c r="N183" s="39"/>
      <c r="O183" s="39"/>
      <c r="P183" s="39"/>
      <c r="Q183" s="39"/>
      <c r="R183" s="39"/>
      <c r="S183" s="39"/>
      <c r="T183" s="39"/>
      <c r="U183" s="39"/>
      <c r="V183" s="39"/>
      <c r="W183" s="39"/>
      <c r="X183" s="39"/>
      <c r="Y183" s="39"/>
      <c r="Z183" s="39"/>
      <c r="AA183" s="39"/>
      <c r="AB183" s="39"/>
      <c r="AC183" s="16">
        <f t="shared" si="96"/>
        <v>0</v>
      </c>
      <c r="AD183" s="2098"/>
      <c r="AE183" s="2098"/>
      <c r="AF183" s="2098"/>
      <c r="AG183" s="2098"/>
      <c r="AH183" s="2098"/>
      <c r="AI183" s="2098"/>
      <c r="AJ183" s="2098"/>
      <c r="AK183" s="2098"/>
      <c r="AL183" s="2098"/>
      <c r="AM183" s="2098"/>
      <c r="AN183" s="2098"/>
      <c r="AO183" s="2098"/>
      <c r="AP183" s="2098"/>
      <c r="AQ183" s="2098"/>
      <c r="AR183" s="2098"/>
      <c r="AS183" s="2098"/>
      <c r="AT183" s="2099"/>
      <c r="AU183" s="2100"/>
      <c r="AV183" s="24">
        <f t="shared" si="120"/>
        <v>0</v>
      </c>
      <c r="AW183" s="24" t="str">
        <f t="shared" si="121"/>
        <v>京（2017）朝不动产权第0022712号</v>
      </c>
      <c r="AX183" s="24" t="str">
        <f t="shared" si="122"/>
        <v>1501-8</v>
      </c>
      <c r="AY183" s="42">
        <f t="shared" si="97"/>
        <v>7.65</v>
      </c>
      <c r="AZ183" s="16">
        <f t="shared" si="98"/>
        <v>75.84</v>
      </c>
      <c r="BA183" s="16">
        <f t="shared" si="99"/>
        <v>75.84</v>
      </c>
      <c r="BB183" s="16">
        <f t="shared" si="100"/>
        <v>75.84</v>
      </c>
      <c r="BC183" s="16">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59" t="str">
        <f>面积表!B178</f>
        <v>京（2017）朝不动产权第0019838号</v>
      </c>
      <c r="C184" s="1259" t="str">
        <f>面积表!C178</f>
        <v>1601-1</v>
      </c>
      <c r="D184" s="2096" t="s">
        <v>3434</v>
      </c>
      <c r="E184" s="16">
        <f t="shared" si="119"/>
        <v>16.96</v>
      </c>
      <c r="F184" s="32"/>
      <c r="G184" s="33">
        <f t="shared" si="94"/>
        <v>168.13</v>
      </c>
      <c r="H184" s="20">
        <f t="shared" si="95"/>
        <v>168.13</v>
      </c>
      <c r="I184" s="2097">
        <f>面积表!G178</f>
        <v>168.13</v>
      </c>
      <c r="J184" s="2097">
        <v>0</v>
      </c>
      <c r="K184" s="2097">
        <v>0</v>
      </c>
      <c r="L184" s="2097">
        <v>0</v>
      </c>
      <c r="M184" s="39"/>
      <c r="N184" s="39"/>
      <c r="O184" s="39"/>
      <c r="P184" s="39"/>
      <c r="Q184" s="39"/>
      <c r="R184" s="39"/>
      <c r="S184" s="39"/>
      <c r="T184" s="39"/>
      <c r="U184" s="39"/>
      <c r="V184" s="39"/>
      <c r="W184" s="39"/>
      <c r="X184" s="39"/>
      <c r="Y184" s="39"/>
      <c r="Z184" s="39"/>
      <c r="AA184" s="39"/>
      <c r="AB184" s="39"/>
      <c r="AC184" s="16">
        <f t="shared" si="96"/>
        <v>0</v>
      </c>
      <c r="AD184" s="2098"/>
      <c r="AE184" s="2098"/>
      <c r="AF184" s="2098"/>
      <c r="AG184" s="2098"/>
      <c r="AH184" s="2098"/>
      <c r="AI184" s="2098"/>
      <c r="AJ184" s="2098"/>
      <c r="AK184" s="2098"/>
      <c r="AL184" s="2098"/>
      <c r="AM184" s="2098"/>
      <c r="AN184" s="2098"/>
      <c r="AO184" s="2098"/>
      <c r="AP184" s="2098"/>
      <c r="AQ184" s="2098"/>
      <c r="AR184" s="2098"/>
      <c r="AS184" s="2098"/>
      <c r="AT184" s="2099"/>
      <c r="AU184" s="2100"/>
      <c r="AV184" s="24">
        <f t="shared" si="120"/>
        <v>0</v>
      </c>
      <c r="AW184" s="24" t="str">
        <f t="shared" si="121"/>
        <v>京（2017）朝不动产权第0019838号</v>
      </c>
      <c r="AX184" s="24" t="str">
        <f t="shared" si="122"/>
        <v>1601-1</v>
      </c>
      <c r="AY184" s="42">
        <f t="shared" si="97"/>
        <v>16.96</v>
      </c>
      <c r="AZ184" s="16">
        <f t="shared" si="98"/>
        <v>168.13</v>
      </c>
      <c r="BA184" s="16">
        <f t="shared" si="99"/>
        <v>168.13</v>
      </c>
      <c r="BB184" s="16">
        <f t="shared" si="100"/>
        <v>168.13</v>
      </c>
      <c r="BC184" s="16">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59" t="str">
        <f>面积表!B179</f>
        <v>京（2017）朝不动产权第0019839号</v>
      </c>
      <c r="C185" s="1259" t="str">
        <f>面积表!C179</f>
        <v>1601-2</v>
      </c>
      <c r="D185" s="2096" t="s">
        <v>3434</v>
      </c>
      <c r="E185" s="16">
        <f t="shared" si="119"/>
        <v>16.149999999999999</v>
      </c>
      <c r="F185" s="32"/>
      <c r="G185" s="33">
        <f t="shared" si="94"/>
        <v>160.12</v>
      </c>
      <c r="H185" s="20">
        <f t="shared" si="95"/>
        <v>160.12</v>
      </c>
      <c r="I185" s="2097">
        <f>面积表!G179</f>
        <v>160.12</v>
      </c>
      <c r="J185" s="2097">
        <v>0</v>
      </c>
      <c r="K185" s="2097">
        <v>0</v>
      </c>
      <c r="L185" s="2097">
        <v>0</v>
      </c>
      <c r="M185" s="39"/>
      <c r="N185" s="39"/>
      <c r="O185" s="39"/>
      <c r="P185" s="39"/>
      <c r="Q185" s="39"/>
      <c r="R185" s="39"/>
      <c r="S185" s="39"/>
      <c r="T185" s="39"/>
      <c r="U185" s="39"/>
      <c r="V185" s="39"/>
      <c r="W185" s="39"/>
      <c r="X185" s="39"/>
      <c r="Y185" s="39"/>
      <c r="Z185" s="39"/>
      <c r="AA185" s="39"/>
      <c r="AB185" s="39"/>
      <c r="AC185" s="16">
        <f t="shared" si="96"/>
        <v>0</v>
      </c>
      <c r="AD185" s="2098"/>
      <c r="AE185" s="2098"/>
      <c r="AF185" s="2098"/>
      <c r="AG185" s="2098"/>
      <c r="AH185" s="2098"/>
      <c r="AI185" s="2098"/>
      <c r="AJ185" s="2098"/>
      <c r="AK185" s="2098"/>
      <c r="AL185" s="2098"/>
      <c r="AM185" s="2098"/>
      <c r="AN185" s="2098"/>
      <c r="AO185" s="2098"/>
      <c r="AP185" s="2098"/>
      <c r="AQ185" s="2098"/>
      <c r="AR185" s="2098"/>
      <c r="AS185" s="2098"/>
      <c r="AT185" s="2099"/>
      <c r="AU185" s="2100"/>
      <c r="AV185" s="24">
        <f t="shared" si="120"/>
        <v>0</v>
      </c>
      <c r="AW185" s="24" t="str">
        <f t="shared" si="121"/>
        <v>京（2017）朝不动产权第0019839号</v>
      </c>
      <c r="AX185" s="24" t="str">
        <f t="shared" si="122"/>
        <v>1601-2</v>
      </c>
      <c r="AY185" s="42">
        <f t="shared" si="97"/>
        <v>16.149999999999999</v>
      </c>
      <c r="AZ185" s="16">
        <f t="shared" si="98"/>
        <v>160.12</v>
      </c>
      <c r="BA185" s="16">
        <f t="shared" si="99"/>
        <v>160.12</v>
      </c>
      <c r="BB185" s="16">
        <f t="shared" si="100"/>
        <v>160.12</v>
      </c>
      <c r="BC185" s="16">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59" t="str">
        <f>面积表!B180</f>
        <v>京（2017）朝不动产权第0019841号</v>
      </c>
      <c r="C186" s="1259" t="str">
        <f>面积表!C180</f>
        <v>1601-3</v>
      </c>
      <c r="D186" s="2096" t="s">
        <v>3434</v>
      </c>
      <c r="E186" s="16">
        <f t="shared" si="119"/>
        <v>18.8</v>
      </c>
      <c r="F186" s="32"/>
      <c r="G186" s="33">
        <f t="shared" si="94"/>
        <v>186.4</v>
      </c>
      <c r="H186" s="20">
        <f t="shared" si="95"/>
        <v>186.4</v>
      </c>
      <c r="I186" s="2097">
        <f>面积表!G180</f>
        <v>186.4</v>
      </c>
      <c r="J186" s="2097">
        <v>0</v>
      </c>
      <c r="K186" s="2097">
        <v>0</v>
      </c>
      <c r="L186" s="2097">
        <v>0</v>
      </c>
      <c r="M186" s="39"/>
      <c r="N186" s="39"/>
      <c r="O186" s="39"/>
      <c r="P186" s="39"/>
      <c r="Q186" s="39"/>
      <c r="R186" s="39"/>
      <c r="S186" s="39"/>
      <c r="T186" s="39"/>
      <c r="U186" s="39"/>
      <c r="V186" s="39"/>
      <c r="W186" s="39"/>
      <c r="X186" s="39"/>
      <c r="Y186" s="39"/>
      <c r="Z186" s="39"/>
      <c r="AA186" s="39"/>
      <c r="AB186" s="39"/>
      <c r="AC186" s="16">
        <f t="shared" si="96"/>
        <v>0</v>
      </c>
      <c r="AD186" s="2098"/>
      <c r="AE186" s="2098"/>
      <c r="AF186" s="2098"/>
      <c r="AG186" s="2098"/>
      <c r="AH186" s="2098"/>
      <c r="AI186" s="2098"/>
      <c r="AJ186" s="2098"/>
      <c r="AK186" s="2098"/>
      <c r="AL186" s="2098"/>
      <c r="AM186" s="2098"/>
      <c r="AN186" s="2098"/>
      <c r="AO186" s="2098"/>
      <c r="AP186" s="2098"/>
      <c r="AQ186" s="2098"/>
      <c r="AR186" s="2098"/>
      <c r="AS186" s="2098"/>
      <c r="AT186" s="2099"/>
      <c r="AU186" s="2100"/>
      <c r="AV186" s="24">
        <f t="shared" si="120"/>
        <v>0</v>
      </c>
      <c r="AW186" s="24" t="str">
        <f t="shared" si="121"/>
        <v>京（2017）朝不动产权第0019841号</v>
      </c>
      <c r="AX186" s="24" t="str">
        <f t="shared" si="122"/>
        <v>1601-3</v>
      </c>
      <c r="AY186" s="42">
        <f t="shared" si="97"/>
        <v>18.8</v>
      </c>
      <c r="AZ186" s="16">
        <f t="shared" si="98"/>
        <v>186.4</v>
      </c>
      <c r="BA186" s="16">
        <f t="shared" si="99"/>
        <v>186.4</v>
      </c>
      <c r="BB186" s="16">
        <f t="shared" si="100"/>
        <v>186.4</v>
      </c>
      <c r="BC186" s="16">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59" t="str">
        <f>面积表!B181</f>
        <v>京（2017）朝不动产权第0019787号</v>
      </c>
      <c r="C187" s="1259" t="str">
        <f>面积表!C181</f>
        <v>1601-4</v>
      </c>
      <c r="D187" s="2096" t="s">
        <v>3434</v>
      </c>
      <c r="E187" s="16">
        <f t="shared" si="119"/>
        <v>10.84</v>
      </c>
      <c r="F187" s="32"/>
      <c r="G187" s="33">
        <f t="shared" si="94"/>
        <v>107.51</v>
      </c>
      <c r="H187" s="20">
        <f t="shared" si="95"/>
        <v>107.51</v>
      </c>
      <c r="I187" s="2097">
        <f>面积表!G181</f>
        <v>107.51</v>
      </c>
      <c r="J187" s="2097">
        <v>0</v>
      </c>
      <c r="K187" s="2097">
        <v>0</v>
      </c>
      <c r="L187" s="2097">
        <v>0</v>
      </c>
      <c r="M187" s="39"/>
      <c r="N187" s="39"/>
      <c r="O187" s="39"/>
      <c r="P187" s="39"/>
      <c r="Q187" s="39"/>
      <c r="R187" s="39"/>
      <c r="S187" s="39"/>
      <c r="T187" s="39"/>
      <c r="U187" s="39"/>
      <c r="V187" s="39"/>
      <c r="W187" s="39"/>
      <c r="X187" s="39"/>
      <c r="Y187" s="39"/>
      <c r="Z187" s="39"/>
      <c r="AA187" s="39"/>
      <c r="AB187" s="39"/>
      <c r="AC187" s="16">
        <f t="shared" si="96"/>
        <v>0</v>
      </c>
      <c r="AD187" s="2098"/>
      <c r="AE187" s="2098"/>
      <c r="AF187" s="2098"/>
      <c r="AG187" s="2098"/>
      <c r="AH187" s="2098"/>
      <c r="AI187" s="2098"/>
      <c r="AJ187" s="2098"/>
      <c r="AK187" s="2098"/>
      <c r="AL187" s="2098"/>
      <c r="AM187" s="2098"/>
      <c r="AN187" s="2098"/>
      <c r="AO187" s="2098"/>
      <c r="AP187" s="2098"/>
      <c r="AQ187" s="2098"/>
      <c r="AR187" s="2098"/>
      <c r="AS187" s="2098"/>
      <c r="AT187" s="2099"/>
      <c r="AU187" s="2100"/>
      <c r="AV187" s="24">
        <f t="shared" si="120"/>
        <v>0</v>
      </c>
      <c r="AW187" s="24" t="str">
        <f t="shared" si="121"/>
        <v>京（2017）朝不动产权第0019787号</v>
      </c>
      <c r="AX187" s="24" t="str">
        <f t="shared" si="122"/>
        <v>1601-4</v>
      </c>
      <c r="AY187" s="42">
        <f t="shared" si="97"/>
        <v>10.84</v>
      </c>
      <c r="AZ187" s="16">
        <f t="shared" si="98"/>
        <v>107.51</v>
      </c>
      <c r="BA187" s="16">
        <f t="shared" si="99"/>
        <v>107.51</v>
      </c>
      <c r="BB187" s="16">
        <f t="shared" si="100"/>
        <v>107.51</v>
      </c>
      <c r="BC187" s="16">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59" t="str">
        <f>面积表!B182</f>
        <v>京（2017）朝不动产权第0019843号</v>
      </c>
      <c r="C188" s="1259" t="str">
        <f>面积表!C182</f>
        <v>1601-5</v>
      </c>
      <c r="D188" s="2096" t="s">
        <v>3434</v>
      </c>
      <c r="E188" s="16">
        <f t="shared" si="119"/>
        <v>16.91</v>
      </c>
      <c r="F188" s="32"/>
      <c r="G188" s="33">
        <f t="shared" si="94"/>
        <v>167.7</v>
      </c>
      <c r="H188" s="20">
        <f t="shared" si="95"/>
        <v>167.7</v>
      </c>
      <c r="I188" s="2097">
        <f>面积表!G182</f>
        <v>167.7</v>
      </c>
      <c r="J188" s="2097">
        <v>0</v>
      </c>
      <c r="K188" s="2097">
        <v>0</v>
      </c>
      <c r="L188" s="2097">
        <v>0</v>
      </c>
      <c r="M188" s="39"/>
      <c r="N188" s="39"/>
      <c r="O188" s="39"/>
      <c r="P188" s="39"/>
      <c r="Q188" s="39"/>
      <c r="R188" s="39"/>
      <c r="S188" s="39"/>
      <c r="T188" s="39"/>
      <c r="U188" s="39"/>
      <c r="V188" s="39"/>
      <c r="W188" s="39"/>
      <c r="X188" s="39"/>
      <c r="Y188" s="39"/>
      <c r="Z188" s="39"/>
      <c r="AA188" s="39"/>
      <c r="AB188" s="39"/>
      <c r="AC188" s="16">
        <f t="shared" si="96"/>
        <v>0</v>
      </c>
      <c r="AD188" s="2098"/>
      <c r="AE188" s="2098"/>
      <c r="AF188" s="2098"/>
      <c r="AG188" s="2098"/>
      <c r="AH188" s="2098"/>
      <c r="AI188" s="2098"/>
      <c r="AJ188" s="2098"/>
      <c r="AK188" s="2098"/>
      <c r="AL188" s="2098"/>
      <c r="AM188" s="2098"/>
      <c r="AN188" s="2098"/>
      <c r="AO188" s="2098"/>
      <c r="AP188" s="2098"/>
      <c r="AQ188" s="2098"/>
      <c r="AR188" s="2098"/>
      <c r="AS188" s="2098"/>
      <c r="AT188" s="2099"/>
      <c r="AU188" s="2100"/>
      <c r="AV188" s="24">
        <f t="shared" si="120"/>
        <v>0</v>
      </c>
      <c r="AW188" s="24" t="str">
        <f t="shared" si="121"/>
        <v>京（2017）朝不动产权第0019843号</v>
      </c>
      <c r="AX188" s="24" t="str">
        <f t="shared" si="122"/>
        <v>1601-5</v>
      </c>
      <c r="AY188" s="42">
        <f t="shared" si="97"/>
        <v>16.91</v>
      </c>
      <c r="AZ188" s="16">
        <f t="shared" si="98"/>
        <v>167.7</v>
      </c>
      <c r="BA188" s="16">
        <f t="shared" si="99"/>
        <v>167.7</v>
      </c>
      <c r="BB188" s="16">
        <f t="shared" si="100"/>
        <v>167.7</v>
      </c>
      <c r="BC188" s="16">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59" t="str">
        <f>面积表!B183</f>
        <v>京（2017）朝不动产权第0019789号</v>
      </c>
      <c r="C189" s="1259" t="str">
        <f>面积表!C183</f>
        <v>1601-6</v>
      </c>
      <c r="D189" s="2096" t="s">
        <v>3434</v>
      </c>
      <c r="E189" s="16">
        <f t="shared" si="119"/>
        <v>16.11</v>
      </c>
      <c r="F189" s="32"/>
      <c r="G189" s="33">
        <f t="shared" si="94"/>
        <v>159.72999999999999</v>
      </c>
      <c r="H189" s="20">
        <f t="shared" si="95"/>
        <v>159.72999999999999</v>
      </c>
      <c r="I189" s="2097">
        <f>面积表!G183</f>
        <v>159.72999999999999</v>
      </c>
      <c r="J189" s="2097">
        <v>0</v>
      </c>
      <c r="K189" s="2097">
        <v>0</v>
      </c>
      <c r="L189" s="2097">
        <v>0</v>
      </c>
      <c r="M189" s="39"/>
      <c r="N189" s="39"/>
      <c r="O189" s="39"/>
      <c r="P189" s="39"/>
      <c r="Q189" s="39"/>
      <c r="R189" s="39"/>
      <c r="S189" s="39"/>
      <c r="T189" s="39"/>
      <c r="U189" s="39"/>
      <c r="V189" s="39"/>
      <c r="W189" s="39"/>
      <c r="X189" s="39"/>
      <c r="Y189" s="39"/>
      <c r="Z189" s="39"/>
      <c r="AA189" s="39"/>
      <c r="AB189" s="39"/>
      <c r="AC189" s="16">
        <f t="shared" si="96"/>
        <v>0</v>
      </c>
      <c r="AD189" s="2098"/>
      <c r="AE189" s="2098"/>
      <c r="AF189" s="2098"/>
      <c r="AG189" s="2098"/>
      <c r="AH189" s="2098"/>
      <c r="AI189" s="2098"/>
      <c r="AJ189" s="2098"/>
      <c r="AK189" s="2098"/>
      <c r="AL189" s="2098"/>
      <c r="AM189" s="2098"/>
      <c r="AN189" s="2098"/>
      <c r="AO189" s="2098"/>
      <c r="AP189" s="2098"/>
      <c r="AQ189" s="2098"/>
      <c r="AR189" s="2098"/>
      <c r="AS189" s="2098"/>
      <c r="AT189" s="2099"/>
      <c r="AU189" s="2100"/>
      <c r="AV189" s="24">
        <f t="shared" si="120"/>
        <v>0</v>
      </c>
      <c r="AW189" s="24" t="str">
        <f t="shared" si="121"/>
        <v>京（2017）朝不动产权第0019789号</v>
      </c>
      <c r="AX189" s="24" t="str">
        <f t="shared" si="122"/>
        <v>1601-6</v>
      </c>
      <c r="AY189" s="42">
        <f t="shared" si="97"/>
        <v>16.11</v>
      </c>
      <c r="AZ189" s="16">
        <f t="shared" si="98"/>
        <v>159.72999999999999</v>
      </c>
      <c r="BA189" s="16">
        <f t="shared" si="99"/>
        <v>159.72999999999999</v>
      </c>
      <c r="BB189" s="16">
        <f t="shared" si="100"/>
        <v>159.72999999999999</v>
      </c>
      <c r="BC189" s="16">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59" t="str">
        <f>面积表!B184</f>
        <v>京（2017）朝不动产权第0019792号</v>
      </c>
      <c r="C190" s="1259" t="str">
        <f>面积表!C184</f>
        <v>1601-7</v>
      </c>
      <c r="D190" s="2096" t="s">
        <v>3434</v>
      </c>
      <c r="E190" s="16">
        <f t="shared" si="119"/>
        <v>18.78</v>
      </c>
      <c r="F190" s="32"/>
      <c r="G190" s="33">
        <f t="shared" si="94"/>
        <v>186.21</v>
      </c>
      <c r="H190" s="20">
        <f t="shared" si="95"/>
        <v>186.21</v>
      </c>
      <c r="I190" s="2097">
        <f>面积表!G184</f>
        <v>186.21</v>
      </c>
      <c r="J190" s="2097">
        <v>0</v>
      </c>
      <c r="K190" s="2097">
        <v>0</v>
      </c>
      <c r="L190" s="2097">
        <v>0</v>
      </c>
      <c r="M190" s="39"/>
      <c r="N190" s="39"/>
      <c r="O190" s="39"/>
      <c r="P190" s="39"/>
      <c r="Q190" s="39"/>
      <c r="R190" s="39"/>
      <c r="S190" s="39"/>
      <c r="T190" s="39"/>
      <c r="U190" s="39"/>
      <c r="V190" s="39"/>
      <c r="W190" s="39"/>
      <c r="X190" s="39"/>
      <c r="Y190" s="39"/>
      <c r="Z190" s="39"/>
      <c r="AA190" s="39"/>
      <c r="AB190" s="39"/>
      <c r="AC190" s="16">
        <f t="shared" si="96"/>
        <v>0</v>
      </c>
      <c r="AD190" s="2098"/>
      <c r="AE190" s="2098"/>
      <c r="AF190" s="2098"/>
      <c r="AG190" s="2098"/>
      <c r="AH190" s="2098"/>
      <c r="AI190" s="2098"/>
      <c r="AJ190" s="2098"/>
      <c r="AK190" s="2098"/>
      <c r="AL190" s="2098"/>
      <c r="AM190" s="2098"/>
      <c r="AN190" s="2098"/>
      <c r="AO190" s="2098"/>
      <c r="AP190" s="2098"/>
      <c r="AQ190" s="2098"/>
      <c r="AR190" s="2098"/>
      <c r="AS190" s="2098"/>
      <c r="AT190" s="2099"/>
      <c r="AU190" s="2100"/>
      <c r="AV190" s="24">
        <f t="shared" si="120"/>
        <v>0</v>
      </c>
      <c r="AW190" s="24" t="str">
        <f t="shared" si="121"/>
        <v>京（2017）朝不动产权第0019792号</v>
      </c>
      <c r="AX190" s="24" t="str">
        <f t="shared" si="122"/>
        <v>1601-7</v>
      </c>
      <c r="AY190" s="42">
        <f t="shared" si="97"/>
        <v>18.78</v>
      </c>
      <c r="AZ190" s="16">
        <f t="shared" si="98"/>
        <v>186.21</v>
      </c>
      <c r="BA190" s="16">
        <f t="shared" si="99"/>
        <v>186.21</v>
      </c>
      <c r="BB190" s="16">
        <f t="shared" si="100"/>
        <v>186.21</v>
      </c>
      <c r="BC190" s="16">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59" t="str">
        <f>面积表!B185</f>
        <v>京（2017）朝不动产权第0022810号</v>
      </c>
      <c r="C191" s="1259" t="str">
        <f>面积表!C185</f>
        <v>1601-8</v>
      </c>
      <c r="D191" s="2096" t="s">
        <v>3434</v>
      </c>
      <c r="E191" s="16">
        <f t="shared" si="119"/>
        <v>7.65</v>
      </c>
      <c r="F191" s="32"/>
      <c r="G191" s="33">
        <f t="shared" si="94"/>
        <v>75.84</v>
      </c>
      <c r="H191" s="20">
        <f t="shared" si="95"/>
        <v>75.84</v>
      </c>
      <c r="I191" s="2097">
        <f>面积表!G185</f>
        <v>75.84</v>
      </c>
      <c r="J191" s="2097">
        <v>0</v>
      </c>
      <c r="K191" s="2097">
        <v>0</v>
      </c>
      <c r="L191" s="2097">
        <v>0</v>
      </c>
      <c r="M191" s="39"/>
      <c r="N191" s="39"/>
      <c r="O191" s="39"/>
      <c r="P191" s="39"/>
      <c r="Q191" s="39"/>
      <c r="R191" s="39"/>
      <c r="S191" s="39"/>
      <c r="T191" s="39"/>
      <c r="U191" s="39"/>
      <c r="V191" s="39"/>
      <c r="W191" s="39"/>
      <c r="X191" s="39"/>
      <c r="Y191" s="39"/>
      <c r="Z191" s="39"/>
      <c r="AA191" s="39"/>
      <c r="AB191" s="39"/>
      <c r="AC191" s="16">
        <f t="shared" si="96"/>
        <v>0</v>
      </c>
      <c r="AD191" s="2098"/>
      <c r="AE191" s="2098"/>
      <c r="AF191" s="2098"/>
      <c r="AG191" s="2098"/>
      <c r="AH191" s="2098"/>
      <c r="AI191" s="2098"/>
      <c r="AJ191" s="2098"/>
      <c r="AK191" s="2098"/>
      <c r="AL191" s="2098"/>
      <c r="AM191" s="2098"/>
      <c r="AN191" s="2098"/>
      <c r="AO191" s="2098"/>
      <c r="AP191" s="2098"/>
      <c r="AQ191" s="2098"/>
      <c r="AR191" s="2098"/>
      <c r="AS191" s="2098"/>
      <c r="AT191" s="2099"/>
      <c r="AU191" s="2100"/>
      <c r="AV191" s="24">
        <f t="shared" si="120"/>
        <v>0</v>
      </c>
      <c r="AW191" s="24" t="str">
        <f t="shared" si="121"/>
        <v>京（2017）朝不动产权第0022810号</v>
      </c>
      <c r="AX191" s="24" t="str">
        <f t="shared" si="122"/>
        <v>1601-8</v>
      </c>
      <c r="AY191" s="42">
        <f t="shared" si="97"/>
        <v>7.65</v>
      </c>
      <c r="AZ191" s="16">
        <f t="shared" si="98"/>
        <v>75.84</v>
      </c>
      <c r="BA191" s="16">
        <f t="shared" si="99"/>
        <v>75.84</v>
      </c>
      <c r="BB191" s="16">
        <f t="shared" si="100"/>
        <v>75.84</v>
      </c>
      <c r="BC191" s="16">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59" t="str">
        <f>面积表!B186</f>
        <v>京（2017）朝不动产权第0019981号</v>
      </c>
      <c r="C192" s="1259" t="str">
        <f>面积表!C186</f>
        <v>1701-1</v>
      </c>
      <c r="D192" s="2096" t="s">
        <v>3434</v>
      </c>
      <c r="E192" s="16">
        <f t="shared" si="119"/>
        <v>16.96</v>
      </c>
      <c r="F192" s="32"/>
      <c r="G192" s="33">
        <f t="shared" si="94"/>
        <v>168.13</v>
      </c>
      <c r="H192" s="20">
        <f t="shared" si="95"/>
        <v>168.13</v>
      </c>
      <c r="I192" s="2097">
        <f>面积表!G186</f>
        <v>168.13</v>
      </c>
      <c r="J192" s="2097">
        <v>0</v>
      </c>
      <c r="K192" s="2097">
        <v>0</v>
      </c>
      <c r="L192" s="2097">
        <v>0</v>
      </c>
      <c r="M192" s="39"/>
      <c r="N192" s="39"/>
      <c r="O192" s="39"/>
      <c r="P192" s="39"/>
      <c r="Q192" s="39"/>
      <c r="R192" s="39"/>
      <c r="S192" s="39"/>
      <c r="T192" s="39"/>
      <c r="U192" s="39"/>
      <c r="V192" s="39"/>
      <c r="W192" s="39"/>
      <c r="X192" s="39"/>
      <c r="Y192" s="39"/>
      <c r="Z192" s="39"/>
      <c r="AA192" s="39"/>
      <c r="AB192" s="39"/>
      <c r="AC192" s="16">
        <f t="shared" si="96"/>
        <v>0</v>
      </c>
      <c r="AD192" s="2098"/>
      <c r="AE192" s="2098"/>
      <c r="AF192" s="2098"/>
      <c r="AG192" s="2098"/>
      <c r="AH192" s="2098"/>
      <c r="AI192" s="2098"/>
      <c r="AJ192" s="2098"/>
      <c r="AK192" s="2098"/>
      <c r="AL192" s="2098"/>
      <c r="AM192" s="2098"/>
      <c r="AN192" s="2098"/>
      <c r="AO192" s="2098"/>
      <c r="AP192" s="2098"/>
      <c r="AQ192" s="2098"/>
      <c r="AR192" s="2098"/>
      <c r="AS192" s="2098"/>
      <c r="AT192" s="2099"/>
      <c r="AU192" s="2100"/>
      <c r="AV192" s="24">
        <f t="shared" si="120"/>
        <v>0</v>
      </c>
      <c r="AW192" s="24" t="str">
        <f t="shared" si="121"/>
        <v>京（2017）朝不动产权第0019981号</v>
      </c>
      <c r="AX192" s="24" t="str">
        <f t="shared" si="122"/>
        <v>1701-1</v>
      </c>
      <c r="AY192" s="42">
        <f t="shared" si="97"/>
        <v>16.96</v>
      </c>
      <c r="AZ192" s="16">
        <f t="shared" si="98"/>
        <v>168.13</v>
      </c>
      <c r="BA192" s="16">
        <f t="shared" si="99"/>
        <v>168.13</v>
      </c>
      <c r="BB192" s="16">
        <f t="shared" si="100"/>
        <v>168.13</v>
      </c>
      <c r="BC192" s="16">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59" t="str">
        <f>面积表!B187</f>
        <v>京（2017）朝不动产权第0019980号</v>
      </c>
      <c r="C193" s="1259" t="str">
        <f>面积表!C187</f>
        <v>1701-2</v>
      </c>
      <c r="D193" s="2096" t="s">
        <v>3434</v>
      </c>
      <c r="E193" s="16">
        <f t="shared" si="119"/>
        <v>16.149999999999999</v>
      </c>
      <c r="F193" s="32"/>
      <c r="G193" s="33">
        <f t="shared" si="94"/>
        <v>160.12</v>
      </c>
      <c r="H193" s="20">
        <f t="shared" si="95"/>
        <v>160.12</v>
      </c>
      <c r="I193" s="2097">
        <f>面积表!G187</f>
        <v>160.12</v>
      </c>
      <c r="J193" s="2097">
        <v>0</v>
      </c>
      <c r="K193" s="2097">
        <v>0</v>
      </c>
      <c r="L193" s="2097">
        <v>0</v>
      </c>
      <c r="M193" s="39"/>
      <c r="N193" s="39"/>
      <c r="O193" s="39"/>
      <c r="P193" s="39"/>
      <c r="Q193" s="39"/>
      <c r="R193" s="39"/>
      <c r="S193" s="39"/>
      <c r="T193" s="39"/>
      <c r="U193" s="39"/>
      <c r="V193" s="39"/>
      <c r="W193" s="39"/>
      <c r="X193" s="39"/>
      <c r="Y193" s="39"/>
      <c r="Z193" s="39"/>
      <c r="AA193" s="39"/>
      <c r="AB193" s="39"/>
      <c r="AC193" s="16">
        <f t="shared" si="96"/>
        <v>0</v>
      </c>
      <c r="AD193" s="2098"/>
      <c r="AE193" s="2098"/>
      <c r="AF193" s="2098"/>
      <c r="AG193" s="2098"/>
      <c r="AH193" s="2098"/>
      <c r="AI193" s="2098"/>
      <c r="AJ193" s="2098"/>
      <c r="AK193" s="2098"/>
      <c r="AL193" s="2098"/>
      <c r="AM193" s="2098"/>
      <c r="AN193" s="2098"/>
      <c r="AO193" s="2098"/>
      <c r="AP193" s="2098"/>
      <c r="AQ193" s="2098"/>
      <c r="AR193" s="2098"/>
      <c r="AS193" s="2098"/>
      <c r="AT193" s="2099"/>
      <c r="AU193" s="2100"/>
      <c r="AV193" s="24">
        <f t="shared" si="120"/>
        <v>0</v>
      </c>
      <c r="AW193" s="24" t="str">
        <f t="shared" si="121"/>
        <v>京（2017）朝不动产权第0019980号</v>
      </c>
      <c r="AX193" s="24" t="str">
        <f t="shared" si="122"/>
        <v>1701-2</v>
      </c>
      <c r="AY193" s="42">
        <f t="shared" si="97"/>
        <v>16.149999999999999</v>
      </c>
      <c r="AZ193" s="16">
        <f t="shared" si="98"/>
        <v>160.12</v>
      </c>
      <c r="BA193" s="16">
        <f t="shared" si="99"/>
        <v>160.12</v>
      </c>
      <c r="BB193" s="16">
        <f t="shared" si="100"/>
        <v>160.12</v>
      </c>
      <c r="BC193" s="16">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59" t="str">
        <f>面积表!B188</f>
        <v>京（2017）朝不动产权第0025050号</v>
      </c>
      <c r="C194" s="1259" t="str">
        <f>面积表!C188</f>
        <v>1701-3</v>
      </c>
      <c r="D194" s="2096" t="s">
        <v>3434</v>
      </c>
      <c r="E194" s="16">
        <f t="shared" si="119"/>
        <v>18.8</v>
      </c>
      <c r="F194" s="32"/>
      <c r="G194" s="33">
        <f t="shared" si="94"/>
        <v>186.4</v>
      </c>
      <c r="H194" s="20">
        <f t="shared" si="95"/>
        <v>186.4</v>
      </c>
      <c r="I194" s="2097">
        <f>面积表!G188</f>
        <v>186.4</v>
      </c>
      <c r="J194" s="2097">
        <v>0</v>
      </c>
      <c r="K194" s="2097">
        <v>0</v>
      </c>
      <c r="L194" s="2097">
        <v>0</v>
      </c>
      <c r="M194" s="39"/>
      <c r="N194" s="39"/>
      <c r="O194" s="39"/>
      <c r="P194" s="39"/>
      <c r="Q194" s="39"/>
      <c r="R194" s="39"/>
      <c r="S194" s="39"/>
      <c r="T194" s="39"/>
      <c r="U194" s="39"/>
      <c r="V194" s="39"/>
      <c r="W194" s="39"/>
      <c r="X194" s="39"/>
      <c r="Y194" s="39"/>
      <c r="Z194" s="39"/>
      <c r="AA194" s="39"/>
      <c r="AB194" s="39"/>
      <c r="AC194" s="16">
        <f t="shared" si="96"/>
        <v>0</v>
      </c>
      <c r="AD194" s="2098"/>
      <c r="AE194" s="2098"/>
      <c r="AF194" s="2098"/>
      <c r="AG194" s="2098"/>
      <c r="AH194" s="2098"/>
      <c r="AI194" s="2098"/>
      <c r="AJ194" s="2098"/>
      <c r="AK194" s="2098"/>
      <c r="AL194" s="2098"/>
      <c r="AM194" s="2098"/>
      <c r="AN194" s="2098"/>
      <c r="AO194" s="2098"/>
      <c r="AP194" s="2098"/>
      <c r="AQ194" s="2098"/>
      <c r="AR194" s="2098"/>
      <c r="AS194" s="2098"/>
      <c r="AT194" s="2099"/>
      <c r="AU194" s="2100"/>
      <c r="AV194" s="24">
        <f t="shared" si="120"/>
        <v>0</v>
      </c>
      <c r="AW194" s="24" t="str">
        <f t="shared" si="121"/>
        <v>京（2017）朝不动产权第0025050号</v>
      </c>
      <c r="AX194" s="24" t="str">
        <f t="shared" si="122"/>
        <v>1701-3</v>
      </c>
      <c r="AY194" s="42">
        <f t="shared" si="97"/>
        <v>18.8</v>
      </c>
      <c r="AZ194" s="16">
        <f t="shared" si="98"/>
        <v>186.4</v>
      </c>
      <c r="BA194" s="16">
        <f t="shared" si="99"/>
        <v>186.4</v>
      </c>
      <c r="BB194" s="16">
        <f t="shared" si="100"/>
        <v>186.4</v>
      </c>
      <c r="BC194" s="16">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59" t="str">
        <f>面积表!B189</f>
        <v>京（2017）朝不动产权第0019973号</v>
      </c>
      <c r="C195" s="1259" t="str">
        <f>面积表!C189</f>
        <v>1701-4</v>
      </c>
      <c r="D195" s="2096" t="s">
        <v>3434</v>
      </c>
      <c r="E195" s="16">
        <f t="shared" si="119"/>
        <v>10.84</v>
      </c>
      <c r="F195" s="32"/>
      <c r="G195" s="33">
        <f t="shared" si="94"/>
        <v>107.51</v>
      </c>
      <c r="H195" s="20">
        <f t="shared" si="95"/>
        <v>107.51</v>
      </c>
      <c r="I195" s="2097">
        <f>面积表!G189</f>
        <v>107.51</v>
      </c>
      <c r="J195" s="2097">
        <v>0</v>
      </c>
      <c r="K195" s="2097">
        <v>0</v>
      </c>
      <c r="L195" s="2097">
        <v>0</v>
      </c>
      <c r="M195" s="39"/>
      <c r="N195" s="39"/>
      <c r="O195" s="39"/>
      <c r="P195" s="39"/>
      <c r="Q195" s="39"/>
      <c r="R195" s="39"/>
      <c r="S195" s="39"/>
      <c r="T195" s="39"/>
      <c r="U195" s="39"/>
      <c r="V195" s="39"/>
      <c r="W195" s="39"/>
      <c r="X195" s="39"/>
      <c r="Y195" s="39"/>
      <c r="Z195" s="39"/>
      <c r="AA195" s="39"/>
      <c r="AB195" s="39"/>
      <c r="AC195" s="16">
        <f t="shared" si="96"/>
        <v>0</v>
      </c>
      <c r="AD195" s="2098"/>
      <c r="AE195" s="2098"/>
      <c r="AF195" s="2098"/>
      <c r="AG195" s="2098"/>
      <c r="AH195" s="2098"/>
      <c r="AI195" s="2098"/>
      <c r="AJ195" s="2098"/>
      <c r="AK195" s="2098"/>
      <c r="AL195" s="2098"/>
      <c r="AM195" s="2098"/>
      <c r="AN195" s="2098"/>
      <c r="AO195" s="2098"/>
      <c r="AP195" s="2098"/>
      <c r="AQ195" s="2098"/>
      <c r="AR195" s="2098"/>
      <c r="AS195" s="2098"/>
      <c r="AT195" s="2099"/>
      <c r="AU195" s="2100"/>
      <c r="AV195" s="24">
        <f t="shared" si="120"/>
        <v>0</v>
      </c>
      <c r="AW195" s="24" t="str">
        <f t="shared" si="121"/>
        <v>京（2017）朝不动产权第0019973号</v>
      </c>
      <c r="AX195" s="24" t="str">
        <f t="shared" si="122"/>
        <v>1701-4</v>
      </c>
      <c r="AY195" s="42">
        <f t="shared" si="97"/>
        <v>10.84</v>
      </c>
      <c r="AZ195" s="16">
        <f t="shared" si="98"/>
        <v>107.51</v>
      </c>
      <c r="BA195" s="16">
        <f t="shared" si="99"/>
        <v>107.51</v>
      </c>
      <c r="BB195" s="16">
        <f t="shared" si="100"/>
        <v>107.51</v>
      </c>
      <c r="BC195" s="16">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59" t="str">
        <f>面积表!B190</f>
        <v>京（2017）朝不动产权第0019984号</v>
      </c>
      <c r="C196" s="1259" t="str">
        <f>面积表!C190</f>
        <v>1701-5</v>
      </c>
      <c r="D196" s="2096" t="s">
        <v>3434</v>
      </c>
      <c r="E196" s="16">
        <f t="shared" si="119"/>
        <v>16.91</v>
      </c>
      <c r="F196" s="32"/>
      <c r="G196" s="33">
        <f t="shared" si="94"/>
        <v>167.7</v>
      </c>
      <c r="H196" s="20">
        <f t="shared" si="95"/>
        <v>167.7</v>
      </c>
      <c r="I196" s="2097">
        <f>面积表!G190</f>
        <v>167.7</v>
      </c>
      <c r="J196" s="2097">
        <v>0</v>
      </c>
      <c r="K196" s="2097">
        <v>0</v>
      </c>
      <c r="L196" s="2097">
        <v>0</v>
      </c>
      <c r="M196" s="39"/>
      <c r="N196" s="39"/>
      <c r="O196" s="39"/>
      <c r="P196" s="39"/>
      <c r="Q196" s="39"/>
      <c r="R196" s="39"/>
      <c r="S196" s="39"/>
      <c r="T196" s="39"/>
      <c r="U196" s="39"/>
      <c r="V196" s="39"/>
      <c r="W196" s="39"/>
      <c r="X196" s="39"/>
      <c r="Y196" s="39"/>
      <c r="Z196" s="39"/>
      <c r="AA196" s="39"/>
      <c r="AB196" s="39"/>
      <c r="AC196" s="16">
        <f t="shared" si="96"/>
        <v>0</v>
      </c>
      <c r="AD196" s="2098"/>
      <c r="AE196" s="2098"/>
      <c r="AF196" s="2098"/>
      <c r="AG196" s="2098"/>
      <c r="AH196" s="2098"/>
      <c r="AI196" s="2098"/>
      <c r="AJ196" s="2098"/>
      <c r="AK196" s="2098"/>
      <c r="AL196" s="2098"/>
      <c r="AM196" s="2098"/>
      <c r="AN196" s="2098"/>
      <c r="AO196" s="2098"/>
      <c r="AP196" s="2098"/>
      <c r="AQ196" s="2098"/>
      <c r="AR196" s="2098"/>
      <c r="AS196" s="2098"/>
      <c r="AT196" s="2099"/>
      <c r="AU196" s="2100"/>
      <c r="AV196" s="24">
        <f t="shared" si="120"/>
        <v>0</v>
      </c>
      <c r="AW196" s="24" t="str">
        <f t="shared" si="121"/>
        <v>京（2017）朝不动产权第0019984号</v>
      </c>
      <c r="AX196" s="24" t="str">
        <f t="shared" si="122"/>
        <v>1701-5</v>
      </c>
      <c r="AY196" s="42">
        <f t="shared" si="97"/>
        <v>16.91</v>
      </c>
      <c r="AZ196" s="16">
        <f t="shared" si="98"/>
        <v>167.7</v>
      </c>
      <c r="BA196" s="16">
        <f t="shared" si="99"/>
        <v>167.7</v>
      </c>
      <c r="BB196" s="16">
        <f t="shared" si="100"/>
        <v>167.7</v>
      </c>
      <c r="BC196" s="16">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59" t="str">
        <f>面积表!B191</f>
        <v>京（2017）朝不动产权第0019983号</v>
      </c>
      <c r="C197" s="1259" t="str">
        <f>面积表!C191</f>
        <v>1701-6</v>
      </c>
      <c r="D197" s="2096" t="s">
        <v>3434</v>
      </c>
      <c r="E197" s="16">
        <f t="shared" si="119"/>
        <v>16.11</v>
      </c>
      <c r="F197" s="32"/>
      <c r="G197" s="33">
        <f t="shared" si="94"/>
        <v>159.72999999999999</v>
      </c>
      <c r="H197" s="20">
        <f t="shared" si="95"/>
        <v>159.72999999999999</v>
      </c>
      <c r="I197" s="2097">
        <f>面积表!G191</f>
        <v>159.72999999999999</v>
      </c>
      <c r="J197" s="2097">
        <v>0</v>
      </c>
      <c r="K197" s="2097">
        <v>0</v>
      </c>
      <c r="L197" s="2097">
        <v>0</v>
      </c>
      <c r="M197" s="39"/>
      <c r="N197" s="39"/>
      <c r="O197" s="39"/>
      <c r="P197" s="39"/>
      <c r="Q197" s="39"/>
      <c r="R197" s="39"/>
      <c r="S197" s="39"/>
      <c r="T197" s="39"/>
      <c r="U197" s="39"/>
      <c r="V197" s="39"/>
      <c r="W197" s="39"/>
      <c r="X197" s="39"/>
      <c r="Y197" s="39"/>
      <c r="Z197" s="39"/>
      <c r="AA197" s="39"/>
      <c r="AB197" s="39"/>
      <c r="AC197" s="16">
        <f t="shared" si="96"/>
        <v>0</v>
      </c>
      <c r="AD197" s="2098"/>
      <c r="AE197" s="2098"/>
      <c r="AF197" s="2098"/>
      <c r="AG197" s="2098"/>
      <c r="AH197" s="2098"/>
      <c r="AI197" s="2098"/>
      <c r="AJ197" s="2098"/>
      <c r="AK197" s="2098"/>
      <c r="AL197" s="2098"/>
      <c r="AM197" s="2098"/>
      <c r="AN197" s="2098"/>
      <c r="AO197" s="2098"/>
      <c r="AP197" s="2098"/>
      <c r="AQ197" s="2098"/>
      <c r="AR197" s="2098"/>
      <c r="AS197" s="2098"/>
      <c r="AT197" s="2099"/>
      <c r="AU197" s="2100"/>
      <c r="AV197" s="24">
        <f t="shared" si="120"/>
        <v>0</v>
      </c>
      <c r="AW197" s="24" t="str">
        <f t="shared" si="121"/>
        <v>京（2017）朝不动产权第0019983号</v>
      </c>
      <c r="AX197" s="24" t="str">
        <f t="shared" si="122"/>
        <v>1701-6</v>
      </c>
      <c r="AY197" s="42">
        <f t="shared" si="97"/>
        <v>16.11</v>
      </c>
      <c r="AZ197" s="16">
        <f t="shared" si="98"/>
        <v>159.72999999999999</v>
      </c>
      <c r="BA197" s="16">
        <f t="shared" si="99"/>
        <v>159.72999999999999</v>
      </c>
      <c r="BB197" s="16">
        <f t="shared" si="100"/>
        <v>159.72999999999999</v>
      </c>
      <c r="BC197" s="16">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59" t="str">
        <f>面积表!B192</f>
        <v>京（2017）朝不动产权第0019982号</v>
      </c>
      <c r="C198" s="1259" t="str">
        <f>面积表!C192</f>
        <v>1701-7</v>
      </c>
      <c r="D198" s="2096" t="s">
        <v>3434</v>
      </c>
      <c r="E198" s="16">
        <f t="shared" si="119"/>
        <v>18.78</v>
      </c>
      <c r="F198" s="32"/>
      <c r="G198" s="33">
        <f t="shared" si="94"/>
        <v>186.21</v>
      </c>
      <c r="H198" s="20">
        <f t="shared" si="95"/>
        <v>186.21</v>
      </c>
      <c r="I198" s="2097">
        <f>面积表!G192</f>
        <v>186.21</v>
      </c>
      <c r="J198" s="2097">
        <v>0</v>
      </c>
      <c r="K198" s="2097">
        <v>0</v>
      </c>
      <c r="L198" s="2097">
        <v>0</v>
      </c>
      <c r="M198" s="39"/>
      <c r="N198" s="39"/>
      <c r="O198" s="39"/>
      <c r="P198" s="39"/>
      <c r="Q198" s="39"/>
      <c r="R198" s="39"/>
      <c r="S198" s="39"/>
      <c r="T198" s="39"/>
      <c r="U198" s="39"/>
      <c r="V198" s="39"/>
      <c r="W198" s="39"/>
      <c r="X198" s="39"/>
      <c r="Y198" s="39"/>
      <c r="Z198" s="39"/>
      <c r="AA198" s="39"/>
      <c r="AB198" s="39"/>
      <c r="AC198" s="16">
        <f t="shared" si="96"/>
        <v>0</v>
      </c>
      <c r="AD198" s="2098"/>
      <c r="AE198" s="2098"/>
      <c r="AF198" s="2098"/>
      <c r="AG198" s="2098"/>
      <c r="AH198" s="2098"/>
      <c r="AI198" s="2098"/>
      <c r="AJ198" s="2098"/>
      <c r="AK198" s="2098"/>
      <c r="AL198" s="2098"/>
      <c r="AM198" s="2098"/>
      <c r="AN198" s="2098"/>
      <c r="AO198" s="2098"/>
      <c r="AP198" s="2098"/>
      <c r="AQ198" s="2098"/>
      <c r="AR198" s="2098"/>
      <c r="AS198" s="2098"/>
      <c r="AT198" s="2099"/>
      <c r="AU198" s="2100"/>
      <c r="AV198" s="24">
        <f t="shared" si="120"/>
        <v>0</v>
      </c>
      <c r="AW198" s="24" t="str">
        <f t="shared" si="121"/>
        <v>京（2017）朝不动产权第0019982号</v>
      </c>
      <c r="AX198" s="24" t="str">
        <f t="shared" si="122"/>
        <v>1701-7</v>
      </c>
      <c r="AY198" s="42">
        <f t="shared" si="97"/>
        <v>18.78</v>
      </c>
      <c r="AZ198" s="16">
        <f t="shared" si="98"/>
        <v>186.21</v>
      </c>
      <c r="BA198" s="16">
        <f t="shared" si="99"/>
        <v>186.21</v>
      </c>
      <c r="BB198" s="16">
        <f t="shared" si="100"/>
        <v>186.21</v>
      </c>
      <c r="BC198" s="16">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59" t="str">
        <f>面积表!B193</f>
        <v>京（2017）朝不动产权第0019978号</v>
      </c>
      <c r="C199" s="1259" t="str">
        <f>面积表!C193</f>
        <v>1701-8</v>
      </c>
      <c r="D199" s="2096" t="s">
        <v>3434</v>
      </c>
      <c r="E199" s="16">
        <f t="shared" si="119"/>
        <v>7.65</v>
      </c>
      <c r="F199" s="32"/>
      <c r="G199" s="33">
        <f t="shared" si="94"/>
        <v>75.84</v>
      </c>
      <c r="H199" s="20">
        <f t="shared" si="95"/>
        <v>75.84</v>
      </c>
      <c r="I199" s="2097">
        <f>面积表!G193</f>
        <v>75.84</v>
      </c>
      <c r="J199" s="2097">
        <v>0</v>
      </c>
      <c r="K199" s="2097">
        <v>0</v>
      </c>
      <c r="L199" s="2097">
        <v>0</v>
      </c>
      <c r="M199" s="39"/>
      <c r="N199" s="39"/>
      <c r="O199" s="39"/>
      <c r="P199" s="39"/>
      <c r="Q199" s="39"/>
      <c r="R199" s="39"/>
      <c r="S199" s="39"/>
      <c r="T199" s="39"/>
      <c r="U199" s="39"/>
      <c r="V199" s="39"/>
      <c r="W199" s="39"/>
      <c r="X199" s="39"/>
      <c r="Y199" s="39"/>
      <c r="Z199" s="39"/>
      <c r="AA199" s="39"/>
      <c r="AB199" s="39"/>
      <c r="AC199" s="16">
        <f t="shared" si="96"/>
        <v>0</v>
      </c>
      <c r="AD199" s="2098"/>
      <c r="AE199" s="2098"/>
      <c r="AF199" s="2098"/>
      <c r="AG199" s="2098"/>
      <c r="AH199" s="2098"/>
      <c r="AI199" s="2098"/>
      <c r="AJ199" s="2098"/>
      <c r="AK199" s="2098"/>
      <c r="AL199" s="2098"/>
      <c r="AM199" s="2098"/>
      <c r="AN199" s="2098"/>
      <c r="AO199" s="2098"/>
      <c r="AP199" s="2098"/>
      <c r="AQ199" s="2098"/>
      <c r="AR199" s="2098"/>
      <c r="AS199" s="2098"/>
      <c r="AT199" s="2099"/>
      <c r="AU199" s="2100"/>
      <c r="AV199" s="24">
        <f t="shared" si="120"/>
        <v>0</v>
      </c>
      <c r="AW199" s="24" t="str">
        <f t="shared" si="121"/>
        <v>京（2017）朝不动产权第0019978号</v>
      </c>
      <c r="AX199" s="24" t="str">
        <f t="shared" si="122"/>
        <v>1701-8</v>
      </c>
      <c r="AY199" s="42">
        <f t="shared" si="97"/>
        <v>7.65</v>
      </c>
      <c r="AZ199" s="16">
        <f t="shared" si="98"/>
        <v>75.84</v>
      </c>
      <c r="BA199" s="16">
        <f t="shared" si="99"/>
        <v>75.84</v>
      </c>
      <c r="BB199" s="16">
        <f t="shared" si="100"/>
        <v>75.84</v>
      </c>
      <c r="BC199" s="16">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59" t="str">
        <f>面积表!B194</f>
        <v>京（2017）朝不动产权第0019793号</v>
      </c>
      <c r="C200" s="1259" t="str">
        <f>面积表!C194</f>
        <v>1801-1</v>
      </c>
      <c r="D200" s="2096" t="s">
        <v>3434</v>
      </c>
      <c r="E200" s="16">
        <f t="shared" si="119"/>
        <v>16.96</v>
      </c>
      <c r="F200" s="32"/>
      <c r="G200" s="33">
        <f t="shared" si="94"/>
        <v>168.13</v>
      </c>
      <c r="H200" s="20">
        <f t="shared" si="95"/>
        <v>168.13</v>
      </c>
      <c r="I200" s="2097">
        <f>面积表!G194</f>
        <v>168.13</v>
      </c>
      <c r="J200" s="2097">
        <v>0</v>
      </c>
      <c r="K200" s="2097">
        <v>0</v>
      </c>
      <c r="L200" s="2097">
        <v>0</v>
      </c>
      <c r="M200" s="39"/>
      <c r="N200" s="39"/>
      <c r="O200" s="39"/>
      <c r="P200" s="39"/>
      <c r="Q200" s="39"/>
      <c r="R200" s="39"/>
      <c r="S200" s="39"/>
      <c r="T200" s="39"/>
      <c r="U200" s="39"/>
      <c r="V200" s="39"/>
      <c r="W200" s="39"/>
      <c r="X200" s="39"/>
      <c r="Y200" s="39"/>
      <c r="Z200" s="39"/>
      <c r="AA200" s="39"/>
      <c r="AB200" s="39"/>
      <c r="AC200" s="16">
        <f t="shared" si="96"/>
        <v>0</v>
      </c>
      <c r="AD200" s="2098"/>
      <c r="AE200" s="2098"/>
      <c r="AF200" s="2098"/>
      <c r="AG200" s="2098"/>
      <c r="AH200" s="2098"/>
      <c r="AI200" s="2098"/>
      <c r="AJ200" s="2098"/>
      <c r="AK200" s="2098"/>
      <c r="AL200" s="2098"/>
      <c r="AM200" s="2098"/>
      <c r="AN200" s="2098"/>
      <c r="AO200" s="2098"/>
      <c r="AP200" s="2098"/>
      <c r="AQ200" s="2098"/>
      <c r="AR200" s="2098"/>
      <c r="AS200" s="2098"/>
      <c r="AT200" s="2099"/>
      <c r="AU200" s="2100"/>
      <c r="AV200" s="24">
        <f t="shared" si="120"/>
        <v>0</v>
      </c>
      <c r="AW200" s="24" t="str">
        <f t="shared" si="121"/>
        <v>京（2017）朝不动产权第0019793号</v>
      </c>
      <c r="AX200" s="24" t="str">
        <f t="shared" si="122"/>
        <v>1801-1</v>
      </c>
      <c r="AY200" s="42">
        <f t="shared" si="97"/>
        <v>16.96</v>
      </c>
      <c r="AZ200" s="16">
        <f t="shared" si="98"/>
        <v>168.13</v>
      </c>
      <c r="BA200" s="16">
        <f t="shared" si="99"/>
        <v>168.13</v>
      </c>
      <c r="BB200" s="16">
        <f t="shared" si="100"/>
        <v>168.13</v>
      </c>
      <c r="BC200" s="16">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59" t="str">
        <f>面积表!B195</f>
        <v>京（2017）朝不动产权第0019865号</v>
      </c>
      <c r="C201" s="1259" t="str">
        <f>面积表!C195</f>
        <v>1801-2</v>
      </c>
      <c r="D201" s="2096" t="s">
        <v>3434</v>
      </c>
      <c r="E201" s="16">
        <f t="shared" si="119"/>
        <v>16.149999999999999</v>
      </c>
      <c r="F201" s="32"/>
      <c r="G201" s="33">
        <f t="shared" si="94"/>
        <v>160.12</v>
      </c>
      <c r="H201" s="20">
        <f t="shared" si="95"/>
        <v>160.12</v>
      </c>
      <c r="I201" s="2097">
        <f>面积表!G195</f>
        <v>160.12</v>
      </c>
      <c r="J201" s="2097">
        <v>0</v>
      </c>
      <c r="K201" s="2097">
        <v>0</v>
      </c>
      <c r="L201" s="2097">
        <v>0</v>
      </c>
      <c r="M201" s="39"/>
      <c r="N201" s="39"/>
      <c r="O201" s="39"/>
      <c r="P201" s="39"/>
      <c r="Q201" s="39"/>
      <c r="R201" s="39"/>
      <c r="S201" s="39"/>
      <c r="T201" s="39"/>
      <c r="U201" s="39"/>
      <c r="V201" s="39"/>
      <c r="W201" s="39"/>
      <c r="X201" s="39"/>
      <c r="Y201" s="39"/>
      <c r="Z201" s="39"/>
      <c r="AA201" s="39"/>
      <c r="AB201" s="39"/>
      <c r="AC201" s="16">
        <f t="shared" si="96"/>
        <v>0</v>
      </c>
      <c r="AD201" s="2098"/>
      <c r="AE201" s="2098"/>
      <c r="AF201" s="2098"/>
      <c r="AG201" s="2098"/>
      <c r="AH201" s="2098"/>
      <c r="AI201" s="2098"/>
      <c r="AJ201" s="2098"/>
      <c r="AK201" s="2098"/>
      <c r="AL201" s="2098"/>
      <c r="AM201" s="2098"/>
      <c r="AN201" s="2098"/>
      <c r="AO201" s="2098"/>
      <c r="AP201" s="2098"/>
      <c r="AQ201" s="2098"/>
      <c r="AR201" s="2098"/>
      <c r="AS201" s="2098"/>
      <c r="AT201" s="2099"/>
      <c r="AU201" s="2100"/>
      <c r="AV201" s="24">
        <f t="shared" si="120"/>
        <v>0</v>
      </c>
      <c r="AW201" s="24" t="str">
        <f t="shared" si="121"/>
        <v>京（2017）朝不动产权第0019865号</v>
      </c>
      <c r="AX201" s="24" t="str">
        <f t="shared" si="122"/>
        <v>1801-2</v>
      </c>
      <c r="AY201" s="42">
        <f t="shared" si="97"/>
        <v>16.149999999999999</v>
      </c>
      <c r="AZ201" s="16">
        <f t="shared" si="98"/>
        <v>160.12</v>
      </c>
      <c r="BA201" s="16">
        <f t="shared" si="99"/>
        <v>160.12</v>
      </c>
      <c r="BB201" s="16">
        <f t="shared" si="100"/>
        <v>160.12</v>
      </c>
      <c r="BC201" s="16">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59" t="str">
        <f>面积表!B196</f>
        <v>京（2017）朝不动产权第0019866号</v>
      </c>
      <c r="C202" s="1259" t="str">
        <f>面积表!C196</f>
        <v>1801-3</v>
      </c>
      <c r="D202" s="2096" t="s">
        <v>3434</v>
      </c>
      <c r="E202" s="16">
        <f t="shared" si="119"/>
        <v>18.8</v>
      </c>
      <c r="F202" s="32"/>
      <c r="G202" s="33">
        <f t="shared" si="94"/>
        <v>186.4</v>
      </c>
      <c r="H202" s="20">
        <f t="shared" si="95"/>
        <v>186.4</v>
      </c>
      <c r="I202" s="2097">
        <f>面积表!G196</f>
        <v>186.4</v>
      </c>
      <c r="J202" s="2097">
        <v>0</v>
      </c>
      <c r="K202" s="2097">
        <v>0</v>
      </c>
      <c r="L202" s="2097">
        <v>0</v>
      </c>
      <c r="M202" s="39"/>
      <c r="N202" s="39"/>
      <c r="O202" s="39"/>
      <c r="P202" s="39"/>
      <c r="Q202" s="39"/>
      <c r="R202" s="39"/>
      <c r="S202" s="39"/>
      <c r="T202" s="39"/>
      <c r="U202" s="39"/>
      <c r="V202" s="39"/>
      <c r="W202" s="39"/>
      <c r="X202" s="39"/>
      <c r="Y202" s="39"/>
      <c r="Z202" s="39"/>
      <c r="AA202" s="39"/>
      <c r="AB202" s="39"/>
      <c r="AC202" s="16">
        <f t="shared" si="96"/>
        <v>0</v>
      </c>
      <c r="AD202" s="2098"/>
      <c r="AE202" s="2098"/>
      <c r="AF202" s="2098"/>
      <c r="AG202" s="2098"/>
      <c r="AH202" s="2098"/>
      <c r="AI202" s="2098"/>
      <c r="AJ202" s="2098"/>
      <c r="AK202" s="2098"/>
      <c r="AL202" s="2098"/>
      <c r="AM202" s="2098"/>
      <c r="AN202" s="2098"/>
      <c r="AO202" s="2098"/>
      <c r="AP202" s="2098"/>
      <c r="AQ202" s="2098"/>
      <c r="AR202" s="2098"/>
      <c r="AS202" s="2098"/>
      <c r="AT202" s="2099"/>
      <c r="AU202" s="2100"/>
      <c r="AV202" s="24">
        <f t="shared" si="120"/>
        <v>0</v>
      </c>
      <c r="AW202" s="24" t="str">
        <f t="shared" si="121"/>
        <v>京（2017）朝不动产权第0019866号</v>
      </c>
      <c r="AX202" s="24" t="str">
        <f t="shared" si="122"/>
        <v>1801-3</v>
      </c>
      <c r="AY202" s="42">
        <f t="shared" si="97"/>
        <v>18.8</v>
      </c>
      <c r="AZ202" s="16">
        <f t="shared" si="98"/>
        <v>186.4</v>
      </c>
      <c r="BA202" s="16">
        <f t="shared" si="99"/>
        <v>186.4</v>
      </c>
      <c r="BB202" s="16">
        <f t="shared" si="100"/>
        <v>186.4</v>
      </c>
      <c r="BC202" s="16">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59" t="str">
        <f>面积表!B197</f>
        <v>京（2017）朝不动产权第0019869号</v>
      </c>
      <c r="C203" s="1259" t="str">
        <f>面积表!C197</f>
        <v>1801-4</v>
      </c>
      <c r="D203" s="2096" t="s">
        <v>3434</v>
      </c>
      <c r="E203" s="16">
        <f t="shared" si="119"/>
        <v>10.84</v>
      </c>
      <c r="F203" s="32"/>
      <c r="G203" s="33">
        <f t="shared" si="94"/>
        <v>107.51</v>
      </c>
      <c r="H203" s="20">
        <f t="shared" si="95"/>
        <v>107.51</v>
      </c>
      <c r="I203" s="2097">
        <f>面积表!G197</f>
        <v>107.51</v>
      </c>
      <c r="J203" s="2097">
        <v>0</v>
      </c>
      <c r="K203" s="2097">
        <v>0</v>
      </c>
      <c r="L203" s="2097">
        <v>0</v>
      </c>
      <c r="M203" s="39"/>
      <c r="N203" s="39"/>
      <c r="O203" s="39"/>
      <c r="P203" s="39"/>
      <c r="Q203" s="39"/>
      <c r="R203" s="39"/>
      <c r="S203" s="39"/>
      <c r="T203" s="39"/>
      <c r="U203" s="39"/>
      <c r="V203" s="39"/>
      <c r="W203" s="39"/>
      <c r="X203" s="39"/>
      <c r="Y203" s="39"/>
      <c r="Z203" s="39"/>
      <c r="AA203" s="39"/>
      <c r="AB203" s="39"/>
      <c r="AC203" s="16">
        <f t="shared" si="96"/>
        <v>0</v>
      </c>
      <c r="AD203" s="2098"/>
      <c r="AE203" s="2098"/>
      <c r="AF203" s="2098"/>
      <c r="AG203" s="2098"/>
      <c r="AH203" s="2098"/>
      <c r="AI203" s="2098"/>
      <c r="AJ203" s="2098"/>
      <c r="AK203" s="2098"/>
      <c r="AL203" s="2098"/>
      <c r="AM203" s="2098"/>
      <c r="AN203" s="2098"/>
      <c r="AO203" s="2098"/>
      <c r="AP203" s="2098"/>
      <c r="AQ203" s="2098"/>
      <c r="AR203" s="2098"/>
      <c r="AS203" s="2098"/>
      <c r="AT203" s="2099"/>
      <c r="AU203" s="2100"/>
      <c r="AV203" s="24">
        <f t="shared" si="120"/>
        <v>0</v>
      </c>
      <c r="AW203" s="24" t="str">
        <f t="shared" si="121"/>
        <v>京（2017）朝不动产权第0019869号</v>
      </c>
      <c r="AX203" s="24" t="str">
        <f t="shared" si="122"/>
        <v>1801-4</v>
      </c>
      <c r="AY203" s="42">
        <f t="shared" si="97"/>
        <v>10.84</v>
      </c>
      <c r="AZ203" s="16">
        <f t="shared" si="98"/>
        <v>107.51</v>
      </c>
      <c r="BA203" s="16">
        <f t="shared" si="99"/>
        <v>107.51</v>
      </c>
      <c r="BB203" s="16">
        <f t="shared" si="100"/>
        <v>107.51</v>
      </c>
      <c r="BC203" s="16">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59" t="str">
        <f>面积表!B198</f>
        <v>京（2017）朝不动产权第0019867号</v>
      </c>
      <c r="C204" s="1259" t="str">
        <f>面积表!C198</f>
        <v>1801-5</v>
      </c>
      <c r="D204" s="2096" t="s">
        <v>3434</v>
      </c>
      <c r="E204" s="16">
        <f t="shared" si="119"/>
        <v>16.91</v>
      </c>
      <c r="F204" s="32"/>
      <c r="G204" s="33">
        <f t="shared" si="94"/>
        <v>167.7</v>
      </c>
      <c r="H204" s="20">
        <f t="shared" si="95"/>
        <v>167.7</v>
      </c>
      <c r="I204" s="2097">
        <f>面积表!G198</f>
        <v>167.7</v>
      </c>
      <c r="J204" s="2097">
        <v>0</v>
      </c>
      <c r="K204" s="2097">
        <v>0</v>
      </c>
      <c r="L204" s="2097">
        <v>0</v>
      </c>
      <c r="M204" s="39"/>
      <c r="N204" s="39"/>
      <c r="O204" s="39"/>
      <c r="P204" s="39"/>
      <c r="Q204" s="39"/>
      <c r="R204" s="39"/>
      <c r="S204" s="39"/>
      <c r="T204" s="39"/>
      <c r="U204" s="39"/>
      <c r="V204" s="39"/>
      <c r="W204" s="39"/>
      <c r="X204" s="39"/>
      <c r="Y204" s="39"/>
      <c r="Z204" s="39"/>
      <c r="AA204" s="39"/>
      <c r="AB204" s="39"/>
      <c r="AC204" s="16">
        <f t="shared" si="96"/>
        <v>0</v>
      </c>
      <c r="AD204" s="2098"/>
      <c r="AE204" s="2098"/>
      <c r="AF204" s="2098"/>
      <c r="AG204" s="2098"/>
      <c r="AH204" s="2098"/>
      <c r="AI204" s="2098"/>
      <c r="AJ204" s="2098"/>
      <c r="AK204" s="2098"/>
      <c r="AL204" s="2098"/>
      <c r="AM204" s="2098"/>
      <c r="AN204" s="2098"/>
      <c r="AO204" s="2098"/>
      <c r="AP204" s="2098"/>
      <c r="AQ204" s="2098"/>
      <c r="AR204" s="2098"/>
      <c r="AS204" s="2098"/>
      <c r="AT204" s="2099"/>
      <c r="AU204" s="2100"/>
      <c r="AV204" s="24">
        <f t="shared" si="120"/>
        <v>0</v>
      </c>
      <c r="AW204" s="24" t="str">
        <f t="shared" si="121"/>
        <v>京（2017）朝不动产权第0019867号</v>
      </c>
      <c r="AX204" s="24" t="str">
        <f t="shared" si="122"/>
        <v>1801-5</v>
      </c>
      <c r="AY204" s="42">
        <f t="shared" si="97"/>
        <v>16.91</v>
      </c>
      <c r="AZ204" s="16">
        <f t="shared" si="98"/>
        <v>167.7</v>
      </c>
      <c r="BA204" s="16">
        <f t="shared" si="99"/>
        <v>167.7</v>
      </c>
      <c r="BB204" s="16">
        <f t="shared" si="100"/>
        <v>167.7</v>
      </c>
      <c r="BC204" s="16">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59" t="str">
        <f>面积表!B199</f>
        <v>京（2017）朝不动产权第0019863号</v>
      </c>
      <c r="C205" s="1259" t="str">
        <f>面积表!C199</f>
        <v>1801-6</v>
      </c>
      <c r="D205" s="2096" t="s">
        <v>3434</v>
      </c>
      <c r="E205" s="16">
        <f t="shared" si="119"/>
        <v>16.11</v>
      </c>
      <c r="F205" s="32"/>
      <c r="G205" s="33">
        <f t="shared" si="94"/>
        <v>159.72999999999999</v>
      </c>
      <c r="H205" s="20">
        <f t="shared" si="95"/>
        <v>159.72999999999999</v>
      </c>
      <c r="I205" s="2097">
        <f>面积表!G199</f>
        <v>159.72999999999999</v>
      </c>
      <c r="J205" s="2097">
        <v>0</v>
      </c>
      <c r="K205" s="2097">
        <v>0</v>
      </c>
      <c r="L205" s="2097">
        <v>0</v>
      </c>
      <c r="M205" s="39"/>
      <c r="N205" s="39"/>
      <c r="O205" s="39"/>
      <c r="P205" s="39"/>
      <c r="Q205" s="39"/>
      <c r="R205" s="39"/>
      <c r="S205" s="39"/>
      <c r="T205" s="39"/>
      <c r="U205" s="39"/>
      <c r="V205" s="39"/>
      <c r="W205" s="39"/>
      <c r="X205" s="39"/>
      <c r="Y205" s="39"/>
      <c r="Z205" s="39"/>
      <c r="AA205" s="39"/>
      <c r="AB205" s="39"/>
      <c r="AC205" s="16">
        <f t="shared" si="96"/>
        <v>0</v>
      </c>
      <c r="AD205" s="2098"/>
      <c r="AE205" s="2098"/>
      <c r="AF205" s="2098"/>
      <c r="AG205" s="2098"/>
      <c r="AH205" s="2098"/>
      <c r="AI205" s="2098"/>
      <c r="AJ205" s="2098"/>
      <c r="AK205" s="2098"/>
      <c r="AL205" s="2098"/>
      <c r="AM205" s="2098"/>
      <c r="AN205" s="2098"/>
      <c r="AO205" s="2098"/>
      <c r="AP205" s="2098"/>
      <c r="AQ205" s="2098"/>
      <c r="AR205" s="2098"/>
      <c r="AS205" s="2098"/>
      <c r="AT205" s="2099"/>
      <c r="AU205" s="2100"/>
      <c r="AV205" s="24">
        <f t="shared" si="120"/>
        <v>0</v>
      </c>
      <c r="AW205" s="24" t="str">
        <f t="shared" si="121"/>
        <v>京（2017）朝不动产权第0019863号</v>
      </c>
      <c r="AX205" s="24" t="str">
        <f t="shared" si="122"/>
        <v>1801-6</v>
      </c>
      <c r="AY205" s="42">
        <f t="shared" si="97"/>
        <v>16.11</v>
      </c>
      <c r="AZ205" s="16">
        <f t="shared" si="98"/>
        <v>159.72999999999999</v>
      </c>
      <c r="BA205" s="16">
        <f t="shared" si="99"/>
        <v>159.72999999999999</v>
      </c>
      <c r="BB205" s="16">
        <f t="shared" si="100"/>
        <v>159.72999999999999</v>
      </c>
      <c r="BC205" s="16">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59" t="str">
        <f>面积表!B200</f>
        <v>京（2017）朝不动产权第0019861号</v>
      </c>
      <c r="C206" s="1259" t="str">
        <f>面积表!C200</f>
        <v>1801-7</v>
      </c>
      <c r="D206" s="2096" t="s">
        <v>3434</v>
      </c>
      <c r="E206" s="16">
        <f t="shared" si="119"/>
        <v>18.78</v>
      </c>
      <c r="F206" s="32"/>
      <c r="G206" s="33">
        <f>H206+AC206+AT206</f>
        <v>186.21</v>
      </c>
      <c r="H206" s="20">
        <f>SUMIF(I$12:AB$12,"总值",I206:AB206)</f>
        <v>186.21</v>
      </c>
      <c r="I206" s="2097">
        <f>面积表!G200</f>
        <v>186.21</v>
      </c>
      <c r="J206" s="2097">
        <v>0</v>
      </c>
      <c r="K206" s="2097">
        <v>0</v>
      </c>
      <c r="L206" s="2097">
        <v>0</v>
      </c>
      <c r="M206" s="39"/>
      <c r="N206" s="39"/>
      <c r="O206" s="39"/>
      <c r="P206" s="39"/>
      <c r="Q206" s="39"/>
      <c r="R206" s="39"/>
      <c r="S206" s="39"/>
      <c r="T206" s="39"/>
      <c r="U206" s="39"/>
      <c r="V206" s="39"/>
      <c r="W206" s="39"/>
      <c r="X206" s="39"/>
      <c r="Y206" s="39"/>
      <c r="Z206" s="39"/>
      <c r="AA206" s="39"/>
      <c r="AB206" s="39"/>
      <c r="AC206" s="16">
        <f>SUMIF(AD$12:AS$12,"总值",AD206:AS206)</f>
        <v>0</v>
      </c>
      <c r="AD206" s="2098"/>
      <c r="AE206" s="2098"/>
      <c r="AF206" s="2098"/>
      <c r="AG206" s="2098"/>
      <c r="AH206" s="2098"/>
      <c r="AI206" s="2098"/>
      <c r="AJ206" s="2098"/>
      <c r="AK206" s="2098"/>
      <c r="AL206" s="2098"/>
      <c r="AM206" s="2098"/>
      <c r="AN206" s="2098"/>
      <c r="AO206" s="2098"/>
      <c r="AP206" s="2098"/>
      <c r="AQ206" s="2098"/>
      <c r="AR206" s="2098"/>
      <c r="AS206" s="2098"/>
      <c r="AT206" s="2099"/>
      <c r="AU206" s="2100"/>
      <c r="AV206" s="24">
        <f t="shared" si="120"/>
        <v>0</v>
      </c>
      <c r="AW206" s="24" t="str">
        <f t="shared" si="121"/>
        <v>京（2017）朝不动产权第0019861号</v>
      </c>
      <c r="AX206" s="24" t="str">
        <f t="shared" si="122"/>
        <v>1801-7</v>
      </c>
      <c r="AY206" s="42">
        <f>ROUND($AY$6*AZ206/$AZ$5,2)</f>
        <v>18.78</v>
      </c>
      <c r="AZ206" s="16">
        <f>BA206+BL206</f>
        <v>186.21</v>
      </c>
      <c r="BA206" s="16">
        <f>SUM(BB206:BK206)</f>
        <v>186.21</v>
      </c>
      <c r="BB206" s="16">
        <f t="shared" si="100"/>
        <v>186.21</v>
      </c>
      <c r="BC206" s="16">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59" t="str">
        <f>面积表!B201</f>
        <v>京（2017）朝不动产权第0019862号</v>
      </c>
      <c r="C207" s="1259" t="str">
        <f>面积表!C201</f>
        <v>1801-8</v>
      </c>
      <c r="D207" s="2096" t="s">
        <v>3434</v>
      </c>
      <c r="E207" s="16">
        <f t="shared" si="119"/>
        <v>7.65</v>
      </c>
      <c r="F207" s="32"/>
      <c r="G207" s="33">
        <f>H207+AC207+AT207</f>
        <v>75.84</v>
      </c>
      <c r="H207" s="20">
        <f>SUMIF(I$12:AB$12,"总值",I207:AB207)</f>
        <v>75.84</v>
      </c>
      <c r="I207" s="2097">
        <f>面积表!G201</f>
        <v>75.84</v>
      </c>
      <c r="J207" s="2097">
        <v>0</v>
      </c>
      <c r="K207" s="2097">
        <v>0</v>
      </c>
      <c r="L207" s="2097">
        <v>0</v>
      </c>
      <c r="M207" s="39"/>
      <c r="N207" s="39"/>
      <c r="O207" s="39"/>
      <c r="P207" s="39"/>
      <c r="Q207" s="39"/>
      <c r="R207" s="39"/>
      <c r="S207" s="39"/>
      <c r="T207" s="39"/>
      <c r="U207" s="39"/>
      <c r="V207" s="39"/>
      <c r="W207" s="39"/>
      <c r="X207" s="39"/>
      <c r="Y207" s="39"/>
      <c r="Z207" s="39"/>
      <c r="AA207" s="39"/>
      <c r="AB207" s="39"/>
      <c r="AC207" s="16">
        <f>SUMIF(AD$12:AS$12,"总值",AD207:AS207)</f>
        <v>0</v>
      </c>
      <c r="AD207" s="2098"/>
      <c r="AE207" s="2098"/>
      <c r="AF207" s="2098"/>
      <c r="AG207" s="2098"/>
      <c r="AH207" s="2098"/>
      <c r="AI207" s="2098"/>
      <c r="AJ207" s="2098"/>
      <c r="AK207" s="2098"/>
      <c r="AL207" s="2098"/>
      <c r="AM207" s="2098"/>
      <c r="AN207" s="2098"/>
      <c r="AO207" s="2098"/>
      <c r="AP207" s="2098"/>
      <c r="AQ207" s="2098"/>
      <c r="AR207" s="2098"/>
      <c r="AS207" s="2098"/>
      <c r="AT207" s="2099"/>
      <c r="AU207" s="2100"/>
      <c r="AV207" s="24">
        <f t="shared" si="120"/>
        <v>0</v>
      </c>
      <c r="AW207" s="24" t="str">
        <f t="shared" si="121"/>
        <v>京（2017）朝不动产权第0019862号</v>
      </c>
      <c r="AX207" s="24" t="str">
        <f t="shared" si="122"/>
        <v>1801-8</v>
      </c>
      <c r="AY207" s="42">
        <f>ROUND($AY$6*AZ207/$AZ$5,2)</f>
        <v>7.65</v>
      </c>
      <c r="AZ207" s="16">
        <f>BA207+BL207</f>
        <v>75.84</v>
      </c>
      <c r="BA207" s="16">
        <f>SUM(BB207:BK207)</f>
        <v>75.84</v>
      </c>
      <c r="BB207" s="16">
        <f t="shared" si="100"/>
        <v>75.84</v>
      </c>
      <c r="BC207" s="16">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59" t="str">
        <f>面积表!B202</f>
        <v>京（2017）朝不动产权第0022708号</v>
      </c>
      <c r="C208" s="1259" t="str">
        <f>面积表!C202</f>
        <v>1901-1</v>
      </c>
      <c r="D208" s="2096" t="s">
        <v>3434</v>
      </c>
      <c r="E208" s="16">
        <f t="shared" ref="E208:E302" si="123">IF($C$3="是",ROUND($A$3*G208/$B$3,2),ROUND($A$3*(G208-AT208)/$B$3,2))</f>
        <v>16.96</v>
      </c>
      <c r="F208" s="32"/>
      <c r="G208" s="33">
        <f t="shared" ref="G208:G299" si="124">H208+AC208+AT208</f>
        <v>168.13</v>
      </c>
      <c r="H208" s="20">
        <f t="shared" ref="H208:H299" si="125">SUMIF(I$12:AB$12,"总值",I208:AB208)</f>
        <v>168.13</v>
      </c>
      <c r="I208" s="2097">
        <f>面积表!G202</f>
        <v>168.13</v>
      </c>
      <c r="J208" s="2097">
        <v>0</v>
      </c>
      <c r="K208" s="2097">
        <v>0</v>
      </c>
      <c r="L208" s="2097">
        <v>0</v>
      </c>
      <c r="M208" s="39"/>
      <c r="N208" s="39"/>
      <c r="O208" s="39"/>
      <c r="P208" s="39"/>
      <c r="Q208" s="39"/>
      <c r="R208" s="39"/>
      <c r="S208" s="39"/>
      <c r="T208" s="39"/>
      <c r="U208" s="39"/>
      <c r="V208" s="39"/>
      <c r="W208" s="39"/>
      <c r="X208" s="39"/>
      <c r="Y208" s="39"/>
      <c r="Z208" s="39"/>
      <c r="AA208" s="39"/>
      <c r="AB208" s="39"/>
      <c r="AC208" s="16">
        <f t="shared" ref="AC208:AC299" si="126">SUMIF(AD$12:AS$12,"总值",AD208:AS208)</f>
        <v>0</v>
      </c>
      <c r="AD208" s="2098"/>
      <c r="AE208" s="2098"/>
      <c r="AF208" s="2098"/>
      <c r="AG208" s="2098"/>
      <c r="AH208" s="2098"/>
      <c r="AI208" s="2098"/>
      <c r="AJ208" s="2098"/>
      <c r="AK208" s="2098"/>
      <c r="AL208" s="2098"/>
      <c r="AM208" s="2098"/>
      <c r="AN208" s="2098"/>
      <c r="AO208" s="2098"/>
      <c r="AP208" s="2098"/>
      <c r="AQ208" s="2098"/>
      <c r="AR208" s="2098"/>
      <c r="AS208" s="2098"/>
      <c r="AT208" s="2099"/>
      <c r="AU208" s="2100"/>
      <c r="AV208" s="24">
        <f t="shared" ref="AV208:AV302" si="127">A208</f>
        <v>0</v>
      </c>
      <c r="AW208" s="24" t="str">
        <f t="shared" ref="AW208:AW302" si="128">B208</f>
        <v>京（2017）朝不动产权第0022708号</v>
      </c>
      <c r="AX208" s="24" t="str">
        <f t="shared" ref="AX208:AX302" si="129">C208</f>
        <v>1901-1</v>
      </c>
      <c r="AY208" s="42">
        <f t="shared" ref="AY208:AY299" si="130">ROUND($AY$6*AZ208/$AZ$5,2)</f>
        <v>16.96</v>
      </c>
      <c r="AZ208" s="16">
        <f t="shared" ref="AZ208:AZ299" si="131">BA208+BL208</f>
        <v>168.13</v>
      </c>
      <c r="BA208" s="16">
        <f t="shared" ref="BA208:BA299" si="132">SUM(BB208:BK208)</f>
        <v>168.13</v>
      </c>
      <c r="BB208" s="16">
        <f t="shared" ref="BB208:BB299" si="133">IF($D208="是",I208-J208,0)</f>
        <v>168.13</v>
      </c>
      <c r="BC208" s="16">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59" t="str">
        <f>面积表!B203</f>
        <v>京（2017）朝不动产权第0022713号</v>
      </c>
      <c r="C209" s="1259" t="str">
        <f>面积表!C203</f>
        <v>1901-2</v>
      </c>
      <c r="D209" s="2096" t="s">
        <v>3434</v>
      </c>
      <c r="E209" s="16">
        <f t="shared" si="123"/>
        <v>16.149999999999999</v>
      </c>
      <c r="F209" s="32"/>
      <c r="G209" s="33">
        <f t="shared" si="124"/>
        <v>160.12</v>
      </c>
      <c r="H209" s="20">
        <f t="shared" si="125"/>
        <v>160.12</v>
      </c>
      <c r="I209" s="2097">
        <f>面积表!G203</f>
        <v>160.12</v>
      </c>
      <c r="J209" s="2097">
        <v>0</v>
      </c>
      <c r="K209" s="2097">
        <v>0</v>
      </c>
      <c r="L209" s="2097">
        <v>0</v>
      </c>
      <c r="M209" s="39"/>
      <c r="N209" s="39"/>
      <c r="O209" s="39"/>
      <c r="P209" s="39"/>
      <c r="Q209" s="39"/>
      <c r="R209" s="39"/>
      <c r="S209" s="39"/>
      <c r="T209" s="39"/>
      <c r="U209" s="39"/>
      <c r="V209" s="39"/>
      <c r="W209" s="39"/>
      <c r="X209" s="39"/>
      <c r="Y209" s="39"/>
      <c r="Z209" s="39"/>
      <c r="AA209" s="39"/>
      <c r="AB209" s="39"/>
      <c r="AC209" s="16">
        <f t="shared" si="126"/>
        <v>0</v>
      </c>
      <c r="AD209" s="2098"/>
      <c r="AE209" s="2098"/>
      <c r="AF209" s="2098"/>
      <c r="AG209" s="2098"/>
      <c r="AH209" s="2098"/>
      <c r="AI209" s="2098"/>
      <c r="AJ209" s="2098"/>
      <c r="AK209" s="2098"/>
      <c r="AL209" s="2098"/>
      <c r="AM209" s="2098"/>
      <c r="AN209" s="2098"/>
      <c r="AO209" s="2098"/>
      <c r="AP209" s="2098"/>
      <c r="AQ209" s="2098"/>
      <c r="AR209" s="2098"/>
      <c r="AS209" s="2098"/>
      <c r="AT209" s="2099"/>
      <c r="AU209" s="2100"/>
      <c r="AV209" s="24">
        <f t="shared" si="127"/>
        <v>0</v>
      </c>
      <c r="AW209" s="24" t="str">
        <f t="shared" si="128"/>
        <v>京（2017）朝不动产权第0022713号</v>
      </c>
      <c r="AX209" s="24" t="str">
        <f t="shared" si="129"/>
        <v>1901-2</v>
      </c>
      <c r="AY209" s="42">
        <f t="shared" si="130"/>
        <v>16.149999999999999</v>
      </c>
      <c r="AZ209" s="16">
        <f t="shared" si="131"/>
        <v>160.12</v>
      </c>
      <c r="BA209" s="16">
        <f t="shared" si="132"/>
        <v>160.12</v>
      </c>
      <c r="BB209" s="16">
        <f t="shared" si="133"/>
        <v>160.12</v>
      </c>
      <c r="BC209" s="16">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59" t="str">
        <f>面积表!B204</f>
        <v>京（2017）朝不动产权第0022715号</v>
      </c>
      <c r="C210" s="1259" t="str">
        <f>面积表!C204</f>
        <v>1901-3</v>
      </c>
      <c r="D210" s="2096" t="s">
        <v>3434</v>
      </c>
      <c r="E210" s="16">
        <f t="shared" si="123"/>
        <v>18.8</v>
      </c>
      <c r="F210" s="32"/>
      <c r="G210" s="33">
        <f t="shared" si="124"/>
        <v>186.4</v>
      </c>
      <c r="H210" s="20">
        <f t="shared" si="125"/>
        <v>186.4</v>
      </c>
      <c r="I210" s="2097">
        <f>面积表!G204</f>
        <v>186.4</v>
      </c>
      <c r="J210" s="2097">
        <v>0</v>
      </c>
      <c r="K210" s="2097">
        <v>0</v>
      </c>
      <c r="L210" s="2097">
        <v>0</v>
      </c>
      <c r="M210" s="39"/>
      <c r="N210" s="39"/>
      <c r="O210" s="39"/>
      <c r="P210" s="39"/>
      <c r="Q210" s="39"/>
      <c r="R210" s="39"/>
      <c r="S210" s="39"/>
      <c r="T210" s="39"/>
      <c r="U210" s="39"/>
      <c r="V210" s="39"/>
      <c r="W210" s="39"/>
      <c r="X210" s="39"/>
      <c r="Y210" s="39"/>
      <c r="Z210" s="39"/>
      <c r="AA210" s="39"/>
      <c r="AB210" s="39"/>
      <c r="AC210" s="16">
        <f t="shared" si="126"/>
        <v>0</v>
      </c>
      <c r="AD210" s="2098"/>
      <c r="AE210" s="2098"/>
      <c r="AF210" s="2098"/>
      <c r="AG210" s="2098"/>
      <c r="AH210" s="2098"/>
      <c r="AI210" s="2098"/>
      <c r="AJ210" s="2098"/>
      <c r="AK210" s="2098"/>
      <c r="AL210" s="2098"/>
      <c r="AM210" s="2098"/>
      <c r="AN210" s="2098"/>
      <c r="AO210" s="2098"/>
      <c r="AP210" s="2098"/>
      <c r="AQ210" s="2098"/>
      <c r="AR210" s="2098"/>
      <c r="AS210" s="2098"/>
      <c r="AT210" s="2099"/>
      <c r="AU210" s="2100"/>
      <c r="AV210" s="24">
        <f t="shared" si="127"/>
        <v>0</v>
      </c>
      <c r="AW210" s="24" t="str">
        <f t="shared" si="128"/>
        <v>京（2017）朝不动产权第0022715号</v>
      </c>
      <c r="AX210" s="24" t="str">
        <f t="shared" si="129"/>
        <v>1901-3</v>
      </c>
      <c r="AY210" s="42">
        <f t="shared" si="130"/>
        <v>18.8</v>
      </c>
      <c r="AZ210" s="16">
        <f t="shared" si="131"/>
        <v>186.4</v>
      </c>
      <c r="BA210" s="16">
        <f t="shared" si="132"/>
        <v>186.4</v>
      </c>
      <c r="BB210" s="16">
        <f t="shared" si="133"/>
        <v>186.4</v>
      </c>
      <c r="BC210" s="16">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59" t="str">
        <f>面积表!B205</f>
        <v>京（2017）朝不动产权第0022711号</v>
      </c>
      <c r="C211" s="1259" t="str">
        <f>面积表!C205</f>
        <v>1901-4</v>
      </c>
      <c r="D211" s="2096" t="s">
        <v>3434</v>
      </c>
      <c r="E211" s="16">
        <f t="shared" si="123"/>
        <v>10.84</v>
      </c>
      <c r="F211" s="32"/>
      <c r="G211" s="33">
        <f t="shared" si="124"/>
        <v>107.51</v>
      </c>
      <c r="H211" s="20">
        <f t="shared" si="125"/>
        <v>107.51</v>
      </c>
      <c r="I211" s="2097">
        <f>面积表!G205</f>
        <v>107.51</v>
      </c>
      <c r="J211" s="2097">
        <v>0</v>
      </c>
      <c r="K211" s="2097">
        <v>0</v>
      </c>
      <c r="L211" s="2097">
        <v>0</v>
      </c>
      <c r="M211" s="39"/>
      <c r="N211" s="39"/>
      <c r="O211" s="39"/>
      <c r="P211" s="39"/>
      <c r="Q211" s="39"/>
      <c r="R211" s="39"/>
      <c r="S211" s="39"/>
      <c r="T211" s="39"/>
      <c r="U211" s="39"/>
      <c r="V211" s="39"/>
      <c r="W211" s="39"/>
      <c r="X211" s="39"/>
      <c r="Y211" s="39"/>
      <c r="Z211" s="39"/>
      <c r="AA211" s="39"/>
      <c r="AB211" s="39"/>
      <c r="AC211" s="16">
        <f t="shared" si="126"/>
        <v>0</v>
      </c>
      <c r="AD211" s="2098"/>
      <c r="AE211" s="2098"/>
      <c r="AF211" s="2098"/>
      <c r="AG211" s="2098"/>
      <c r="AH211" s="2098"/>
      <c r="AI211" s="2098"/>
      <c r="AJ211" s="2098"/>
      <c r="AK211" s="2098"/>
      <c r="AL211" s="2098"/>
      <c r="AM211" s="2098"/>
      <c r="AN211" s="2098"/>
      <c r="AO211" s="2098"/>
      <c r="AP211" s="2098"/>
      <c r="AQ211" s="2098"/>
      <c r="AR211" s="2098"/>
      <c r="AS211" s="2098"/>
      <c r="AT211" s="2099"/>
      <c r="AU211" s="2100"/>
      <c r="AV211" s="24">
        <f t="shared" si="127"/>
        <v>0</v>
      </c>
      <c r="AW211" s="24" t="str">
        <f t="shared" si="128"/>
        <v>京（2017）朝不动产权第0022711号</v>
      </c>
      <c r="AX211" s="24" t="str">
        <f t="shared" si="129"/>
        <v>1901-4</v>
      </c>
      <c r="AY211" s="42">
        <f t="shared" si="130"/>
        <v>10.84</v>
      </c>
      <c r="AZ211" s="16">
        <f t="shared" si="131"/>
        <v>107.51</v>
      </c>
      <c r="BA211" s="16">
        <f t="shared" si="132"/>
        <v>107.51</v>
      </c>
      <c r="BB211" s="16">
        <f t="shared" si="133"/>
        <v>107.51</v>
      </c>
      <c r="BC211" s="16">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59" t="str">
        <f>面积表!B206</f>
        <v>京（2017）朝不动产权第0022705号</v>
      </c>
      <c r="C212" s="1259" t="str">
        <f>面积表!C206</f>
        <v>1901-5</v>
      </c>
      <c r="D212" s="2096" t="s">
        <v>3434</v>
      </c>
      <c r="E212" s="16">
        <f t="shared" si="123"/>
        <v>16.91</v>
      </c>
      <c r="F212" s="32"/>
      <c r="G212" s="33">
        <f t="shared" si="124"/>
        <v>167.7</v>
      </c>
      <c r="H212" s="20">
        <f t="shared" si="125"/>
        <v>167.7</v>
      </c>
      <c r="I212" s="2097">
        <f>面积表!G206</f>
        <v>167.7</v>
      </c>
      <c r="J212" s="2097">
        <v>0</v>
      </c>
      <c r="K212" s="2097">
        <v>0</v>
      </c>
      <c r="L212" s="2097">
        <v>0</v>
      </c>
      <c r="M212" s="39"/>
      <c r="N212" s="39"/>
      <c r="O212" s="39"/>
      <c r="P212" s="39"/>
      <c r="Q212" s="39"/>
      <c r="R212" s="39"/>
      <c r="S212" s="39"/>
      <c r="T212" s="39"/>
      <c r="U212" s="39"/>
      <c r="V212" s="39"/>
      <c r="W212" s="39"/>
      <c r="X212" s="39"/>
      <c r="Y212" s="39"/>
      <c r="Z212" s="39"/>
      <c r="AA212" s="39"/>
      <c r="AB212" s="39"/>
      <c r="AC212" s="16">
        <f t="shared" si="126"/>
        <v>0</v>
      </c>
      <c r="AD212" s="2098"/>
      <c r="AE212" s="2098"/>
      <c r="AF212" s="2098"/>
      <c r="AG212" s="2098"/>
      <c r="AH212" s="2098"/>
      <c r="AI212" s="2098"/>
      <c r="AJ212" s="2098"/>
      <c r="AK212" s="2098"/>
      <c r="AL212" s="2098"/>
      <c r="AM212" s="2098"/>
      <c r="AN212" s="2098"/>
      <c r="AO212" s="2098"/>
      <c r="AP212" s="2098"/>
      <c r="AQ212" s="2098"/>
      <c r="AR212" s="2098"/>
      <c r="AS212" s="2098"/>
      <c r="AT212" s="2099"/>
      <c r="AU212" s="2100"/>
      <c r="AV212" s="24">
        <f t="shared" si="127"/>
        <v>0</v>
      </c>
      <c r="AW212" s="24" t="str">
        <f t="shared" si="128"/>
        <v>京（2017）朝不动产权第0022705号</v>
      </c>
      <c r="AX212" s="24" t="str">
        <f t="shared" si="129"/>
        <v>1901-5</v>
      </c>
      <c r="AY212" s="42">
        <f t="shared" si="130"/>
        <v>16.91</v>
      </c>
      <c r="AZ212" s="16">
        <f t="shared" si="131"/>
        <v>167.7</v>
      </c>
      <c r="BA212" s="16">
        <f t="shared" si="132"/>
        <v>167.7</v>
      </c>
      <c r="BB212" s="16">
        <f t="shared" si="133"/>
        <v>167.7</v>
      </c>
      <c r="BC212" s="16">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59" t="str">
        <f>面积表!B207</f>
        <v>京（2017）朝不动产权第0022703号</v>
      </c>
      <c r="C213" s="1259" t="str">
        <f>面积表!C207</f>
        <v>1901-6</v>
      </c>
      <c r="D213" s="2096" t="s">
        <v>3434</v>
      </c>
      <c r="E213" s="16">
        <f t="shared" si="123"/>
        <v>16.11</v>
      </c>
      <c r="F213" s="32"/>
      <c r="G213" s="33">
        <f t="shared" si="124"/>
        <v>159.72999999999999</v>
      </c>
      <c r="H213" s="20">
        <f t="shared" si="125"/>
        <v>159.72999999999999</v>
      </c>
      <c r="I213" s="2097">
        <f>面积表!G207</f>
        <v>159.72999999999999</v>
      </c>
      <c r="J213" s="2097">
        <v>0</v>
      </c>
      <c r="K213" s="2097">
        <v>0</v>
      </c>
      <c r="L213" s="2097">
        <v>0</v>
      </c>
      <c r="M213" s="39"/>
      <c r="N213" s="39"/>
      <c r="O213" s="39"/>
      <c r="P213" s="39"/>
      <c r="Q213" s="39"/>
      <c r="R213" s="39"/>
      <c r="S213" s="39"/>
      <c r="T213" s="39"/>
      <c r="U213" s="39"/>
      <c r="V213" s="39"/>
      <c r="W213" s="39"/>
      <c r="X213" s="39"/>
      <c r="Y213" s="39"/>
      <c r="Z213" s="39"/>
      <c r="AA213" s="39"/>
      <c r="AB213" s="39"/>
      <c r="AC213" s="16">
        <f t="shared" si="126"/>
        <v>0</v>
      </c>
      <c r="AD213" s="2098"/>
      <c r="AE213" s="2098"/>
      <c r="AF213" s="2098"/>
      <c r="AG213" s="2098"/>
      <c r="AH213" s="2098"/>
      <c r="AI213" s="2098"/>
      <c r="AJ213" s="2098"/>
      <c r="AK213" s="2098"/>
      <c r="AL213" s="2098"/>
      <c r="AM213" s="2098"/>
      <c r="AN213" s="2098"/>
      <c r="AO213" s="2098"/>
      <c r="AP213" s="2098"/>
      <c r="AQ213" s="2098"/>
      <c r="AR213" s="2098"/>
      <c r="AS213" s="2098"/>
      <c r="AT213" s="2099"/>
      <c r="AU213" s="2100"/>
      <c r="AV213" s="24">
        <f t="shared" si="127"/>
        <v>0</v>
      </c>
      <c r="AW213" s="24" t="str">
        <f t="shared" si="128"/>
        <v>京（2017）朝不动产权第0022703号</v>
      </c>
      <c r="AX213" s="24" t="str">
        <f t="shared" si="129"/>
        <v>1901-6</v>
      </c>
      <c r="AY213" s="42">
        <f t="shared" si="130"/>
        <v>16.11</v>
      </c>
      <c r="AZ213" s="16">
        <f t="shared" si="131"/>
        <v>159.72999999999999</v>
      </c>
      <c r="BA213" s="16">
        <f t="shared" si="132"/>
        <v>159.72999999999999</v>
      </c>
      <c r="BB213" s="16">
        <f t="shared" si="133"/>
        <v>159.72999999999999</v>
      </c>
      <c r="BC213" s="16">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59" t="str">
        <f>面积表!B208</f>
        <v>京（2017）朝不动产权第0022636号</v>
      </c>
      <c r="C214" s="1259" t="str">
        <f>面积表!C208</f>
        <v>1901-7</v>
      </c>
      <c r="D214" s="2096" t="s">
        <v>3434</v>
      </c>
      <c r="E214" s="16">
        <f t="shared" si="123"/>
        <v>18.78</v>
      </c>
      <c r="F214" s="32"/>
      <c r="G214" s="33">
        <f t="shared" si="124"/>
        <v>186.21</v>
      </c>
      <c r="H214" s="20">
        <f t="shared" si="125"/>
        <v>186.21</v>
      </c>
      <c r="I214" s="2097">
        <f>面积表!G208</f>
        <v>186.21</v>
      </c>
      <c r="J214" s="2097">
        <v>0</v>
      </c>
      <c r="K214" s="2097">
        <v>0</v>
      </c>
      <c r="L214" s="2097">
        <v>0</v>
      </c>
      <c r="M214" s="39"/>
      <c r="N214" s="39"/>
      <c r="O214" s="39"/>
      <c r="P214" s="39"/>
      <c r="Q214" s="39"/>
      <c r="R214" s="39"/>
      <c r="S214" s="39"/>
      <c r="T214" s="39"/>
      <c r="U214" s="39"/>
      <c r="V214" s="39"/>
      <c r="W214" s="39"/>
      <c r="X214" s="39"/>
      <c r="Y214" s="39"/>
      <c r="Z214" s="39"/>
      <c r="AA214" s="39"/>
      <c r="AB214" s="39"/>
      <c r="AC214" s="16">
        <f t="shared" si="126"/>
        <v>0</v>
      </c>
      <c r="AD214" s="2098"/>
      <c r="AE214" s="2098"/>
      <c r="AF214" s="2098"/>
      <c r="AG214" s="2098"/>
      <c r="AH214" s="2098"/>
      <c r="AI214" s="2098"/>
      <c r="AJ214" s="2098"/>
      <c r="AK214" s="2098"/>
      <c r="AL214" s="2098"/>
      <c r="AM214" s="2098"/>
      <c r="AN214" s="2098"/>
      <c r="AO214" s="2098"/>
      <c r="AP214" s="2098"/>
      <c r="AQ214" s="2098"/>
      <c r="AR214" s="2098"/>
      <c r="AS214" s="2098"/>
      <c r="AT214" s="2099"/>
      <c r="AU214" s="2100"/>
      <c r="AV214" s="24">
        <f t="shared" si="127"/>
        <v>0</v>
      </c>
      <c r="AW214" s="24" t="str">
        <f t="shared" si="128"/>
        <v>京（2017）朝不动产权第0022636号</v>
      </c>
      <c r="AX214" s="24" t="str">
        <f t="shared" si="129"/>
        <v>1901-7</v>
      </c>
      <c r="AY214" s="42">
        <f t="shared" si="130"/>
        <v>18.78</v>
      </c>
      <c r="AZ214" s="16">
        <f t="shared" si="131"/>
        <v>186.21</v>
      </c>
      <c r="BA214" s="16">
        <f t="shared" si="132"/>
        <v>186.21</v>
      </c>
      <c r="BB214" s="16">
        <f t="shared" si="133"/>
        <v>186.21</v>
      </c>
      <c r="BC214" s="16">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59" t="str">
        <f>面积表!B209</f>
        <v>京（2017）朝不动产权第0022638号</v>
      </c>
      <c r="C215" s="1259" t="str">
        <f>面积表!C209</f>
        <v>1901-8</v>
      </c>
      <c r="D215" s="2096" t="s">
        <v>3434</v>
      </c>
      <c r="E215" s="16">
        <f t="shared" si="123"/>
        <v>7.65</v>
      </c>
      <c r="F215" s="32"/>
      <c r="G215" s="33">
        <f t="shared" si="124"/>
        <v>75.84</v>
      </c>
      <c r="H215" s="20">
        <f t="shared" si="125"/>
        <v>75.84</v>
      </c>
      <c r="I215" s="2097">
        <f>面积表!G209</f>
        <v>75.84</v>
      </c>
      <c r="J215" s="2097">
        <v>0</v>
      </c>
      <c r="K215" s="2097">
        <v>0</v>
      </c>
      <c r="L215" s="2097">
        <v>0</v>
      </c>
      <c r="M215" s="39"/>
      <c r="N215" s="39"/>
      <c r="O215" s="39"/>
      <c r="P215" s="39"/>
      <c r="Q215" s="39"/>
      <c r="R215" s="39"/>
      <c r="S215" s="39"/>
      <c r="T215" s="39"/>
      <c r="U215" s="39"/>
      <c r="V215" s="39"/>
      <c r="W215" s="39"/>
      <c r="X215" s="39"/>
      <c r="Y215" s="39"/>
      <c r="Z215" s="39"/>
      <c r="AA215" s="39"/>
      <c r="AB215" s="39"/>
      <c r="AC215" s="16">
        <f t="shared" si="126"/>
        <v>0</v>
      </c>
      <c r="AD215" s="2098"/>
      <c r="AE215" s="2098"/>
      <c r="AF215" s="2098"/>
      <c r="AG215" s="2098"/>
      <c r="AH215" s="2098"/>
      <c r="AI215" s="2098"/>
      <c r="AJ215" s="2098"/>
      <c r="AK215" s="2098"/>
      <c r="AL215" s="2098"/>
      <c r="AM215" s="2098"/>
      <c r="AN215" s="2098"/>
      <c r="AO215" s="2098"/>
      <c r="AP215" s="2098"/>
      <c r="AQ215" s="2098"/>
      <c r="AR215" s="2098"/>
      <c r="AS215" s="2098"/>
      <c r="AT215" s="2099"/>
      <c r="AU215" s="2100"/>
      <c r="AV215" s="24">
        <f t="shared" si="127"/>
        <v>0</v>
      </c>
      <c r="AW215" s="24" t="str">
        <f t="shared" si="128"/>
        <v>京（2017）朝不动产权第0022638号</v>
      </c>
      <c r="AX215" s="24" t="str">
        <f t="shared" si="129"/>
        <v>1901-8</v>
      </c>
      <c r="AY215" s="42">
        <f t="shared" si="130"/>
        <v>7.65</v>
      </c>
      <c r="AZ215" s="16">
        <f t="shared" si="131"/>
        <v>75.84</v>
      </c>
      <c r="BA215" s="16">
        <f t="shared" si="132"/>
        <v>75.84</v>
      </c>
      <c r="BB215" s="16">
        <f t="shared" si="133"/>
        <v>75.84</v>
      </c>
      <c r="BC215" s="16">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59" t="str">
        <f>面积表!B210</f>
        <v>京（2017）朝不动产权第0025053号</v>
      </c>
      <c r="C216" s="1259" t="str">
        <f>面积表!C210</f>
        <v>2001-1</v>
      </c>
      <c r="D216" s="2096" t="s">
        <v>3434</v>
      </c>
      <c r="E216" s="16">
        <f t="shared" si="123"/>
        <v>16.96</v>
      </c>
      <c r="F216" s="32"/>
      <c r="G216" s="33">
        <f t="shared" si="124"/>
        <v>168.13</v>
      </c>
      <c r="H216" s="20">
        <f t="shared" si="125"/>
        <v>168.13</v>
      </c>
      <c r="I216" s="2097">
        <f>面积表!G210</f>
        <v>168.13</v>
      </c>
      <c r="J216" s="2097">
        <v>0</v>
      </c>
      <c r="K216" s="2097">
        <v>0</v>
      </c>
      <c r="L216" s="2097">
        <v>0</v>
      </c>
      <c r="M216" s="39"/>
      <c r="N216" s="39"/>
      <c r="O216" s="39"/>
      <c r="P216" s="39"/>
      <c r="Q216" s="39"/>
      <c r="R216" s="39"/>
      <c r="S216" s="39"/>
      <c r="T216" s="39"/>
      <c r="U216" s="39"/>
      <c r="V216" s="39"/>
      <c r="W216" s="39"/>
      <c r="X216" s="39"/>
      <c r="Y216" s="39"/>
      <c r="Z216" s="39"/>
      <c r="AA216" s="39"/>
      <c r="AB216" s="39"/>
      <c r="AC216" s="16">
        <f t="shared" si="126"/>
        <v>0</v>
      </c>
      <c r="AD216" s="2098"/>
      <c r="AE216" s="2098"/>
      <c r="AF216" s="2098"/>
      <c r="AG216" s="2098"/>
      <c r="AH216" s="2098"/>
      <c r="AI216" s="2098"/>
      <c r="AJ216" s="2098"/>
      <c r="AK216" s="2098"/>
      <c r="AL216" s="2098"/>
      <c r="AM216" s="2098"/>
      <c r="AN216" s="2098"/>
      <c r="AO216" s="2098"/>
      <c r="AP216" s="2098"/>
      <c r="AQ216" s="2098"/>
      <c r="AR216" s="2098"/>
      <c r="AS216" s="2098"/>
      <c r="AT216" s="2099"/>
      <c r="AU216" s="2100"/>
      <c r="AV216" s="24">
        <f t="shared" si="127"/>
        <v>0</v>
      </c>
      <c r="AW216" s="24" t="str">
        <f t="shared" si="128"/>
        <v>京（2017）朝不动产权第0025053号</v>
      </c>
      <c r="AX216" s="24" t="str">
        <f t="shared" si="129"/>
        <v>2001-1</v>
      </c>
      <c r="AY216" s="42">
        <f t="shared" si="130"/>
        <v>16.96</v>
      </c>
      <c r="AZ216" s="16">
        <f t="shared" si="131"/>
        <v>168.13</v>
      </c>
      <c r="BA216" s="16">
        <f t="shared" si="132"/>
        <v>168.13</v>
      </c>
      <c r="BB216" s="16">
        <f t="shared" si="133"/>
        <v>168.13</v>
      </c>
      <c r="BC216" s="16">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59" t="str">
        <f>面积表!B211</f>
        <v>京（2017）朝不动产权第0025058号</v>
      </c>
      <c r="C217" s="1259" t="str">
        <f>面积表!C211</f>
        <v>2001-2</v>
      </c>
      <c r="D217" s="2096" t="s">
        <v>3434</v>
      </c>
      <c r="E217" s="16">
        <f t="shared" si="123"/>
        <v>16.149999999999999</v>
      </c>
      <c r="F217" s="32"/>
      <c r="G217" s="33">
        <f t="shared" si="124"/>
        <v>160.12</v>
      </c>
      <c r="H217" s="20">
        <f t="shared" si="125"/>
        <v>160.12</v>
      </c>
      <c r="I217" s="2097">
        <f>面积表!G211</f>
        <v>160.12</v>
      </c>
      <c r="J217" s="2097">
        <v>0</v>
      </c>
      <c r="K217" s="2097">
        <v>0</v>
      </c>
      <c r="L217" s="2097">
        <v>0</v>
      </c>
      <c r="M217" s="39"/>
      <c r="N217" s="39"/>
      <c r="O217" s="39"/>
      <c r="P217" s="39"/>
      <c r="Q217" s="39"/>
      <c r="R217" s="39"/>
      <c r="S217" s="39"/>
      <c r="T217" s="39"/>
      <c r="U217" s="39"/>
      <c r="V217" s="39"/>
      <c r="W217" s="39"/>
      <c r="X217" s="39"/>
      <c r="Y217" s="39"/>
      <c r="Z217" s="39"/>
      <c r="AA217" s="39"/>
      <c r="AB217" s="39"/>
      <c r="AC217" s="16">
        <f t="shared" si="126"/>
        <v>0</v>
      </c>
      <c r="AD217" s="2098"/>
      <c r="AE217" s="2098"/>
      <c r="AF217" s="2098"/>
      <c r="AG217" s="2098"/>
      <c r="AH217" s="2098"/>
      <c r="AI217" s="2098"/>
      <c r="AJ217" s="2098"/>
      <c r="AK217" s="2098"/>
      <c r="AL217" s="2098"/>
      <c r="AM217" s="2098"/>
      <c r="AN217" s="2098"/>
      <c r="AO217" s="2098"/>
      <c r="AP217" s="2098"/>
      <c r="AQ217" s="2098"/>
      <c r="AR217" s="2098"/>
      <c r="AS217" s="2098"/>
      <c r="AT217" s="2099"/>
      <c r="AU217" s="2100"/>
      <c r="AV217" s="24">
        <f t="shared" si="127"/>
        <v>0</v>
      </c>
      <c r="AW217" s="24" t="str">
        <f t="shared" si="128"/>
        <v>京（2017）朝不动产权第0025058号</v>
      </c>
      <c r="AX217" s="24" t="str">
        <f t="shared" si="129"/>
        <v>2001-2</v>
      </c>
      <c r="AY217" s="42">
        <f t="shared" si="130"/>
        <v>16.149999999999999</v>
      </c>
      <c r="AZ217" s="16">
        <f t="shared" si="131"/>
        <v>160.12</v>
      </c>
      <c r="BA217" s="16">
        <f t="shared" si="132"/>
        <v>160.12</v>
      </c>
      <c r="BB217" s="16">
        <f t="shared" si="133"/>
        <v>160.12</v>
      </c>
      <c r="BC217" s="16">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59" t="str">
        <f>面积表!B212</f>
        <v>京（2017）朝不动产权第0025065号</v>
      </c>
      <c r="C218" s="1259" t="str">
        <f>面积表!C212</f>
        <v>2001-3</v>
      </c>
      <c r="D218" s="2096" t="s">
        <v>3434</v>
      </c>
      <c r="E218" s="16">
        <f t="shared" si="123"/>
        <v>18.8</v>
      </c>
      <c r="F218" s="32"/>
      <c r="G218" s="33">
        <f t="shared" si="124"/>
        <v>186.4</v>
      </c>
      <c r="H218" s="20">
        <f t="shared" si="125"/>
        <v>186.4</v>
      </c>
      <c r="I218" s="2097">
        <f>面积表!G212</f>
        <v>186.4</v>
      </c>
      <c r="J218" s="2097">
        <v>0</v>
      </c>
      <c r="K218" s="2097">
        <v>0</v>
      </c>
      <c r="L218" s="2097">
        <v>0</v>
      </c>
      <c r="M218" s="39"/>
      <c r="N218" s="39"/>
      <c r="O218" s="39"/>
      <c r="P218" s="39"/>
      <c r="Q218" s="39"/>
      <c r="R218" s="39"/>
      <c r="S218" s="39"/>
      <c r="T218" s="39"/>
      <c r="U218" s="39"/>
      <c r="V218" s="39"/>
      <c r="W218" s="39"/>
      <c r="X218" s="39"/>
      <c r="Y218" s="39"/>
      <c r="Z218" s="39"/>
      <c r="AA218" s="39"/>
      <c r="AB218" s="39"/>
      <c r="AC218" s="16">
        <f t="shared" si="126"/>
        <v>0</v>
      </c>
      <c r="AD218" s="2098"/>
      <c r="AE218" s="2098"/>
      <c r="AF218" s="2098"/>
      <c r="AG218" s="2098"/>
      <c r="AH218" s="2098"/>
      <c r="AI218" s="2098"/>
      <c r="AJ218" s="2098"/>
      <c r="AK218" s="2098"/>
      <c r="AL218" s="2098"/>
      <c r="AM218" s="2098"/>
      <c r="AN218" s="2098"/>
      <c r="AO218" s="2098"/>
      <c r="AP218" s="2098"/>
      <c r="AQ218" s="2098"/>
      <c r="AR218" s="2098"/>
      <c r="AS218" s="2098"/>
      <c r="AT218" s="2099"/>
      <c r="AU218" s="2100"/>
      <c r="AV218" s="24">
        <f t="shared" si="127"/>
        <v>0</v>
      </c>
      <c r="AW218" s="24" t="str">
        <f t="shared" si="128"/>
        <v>京（2017）朝不动产权第0025065号</v>
      </c>
      <c r="AX218" s="24" t="str">
        <f t="shared" si="129"/>
        <v>2001-3</v>
      </c>
      <c r="AY218" s="42">
        <f t="shared" si="130"/>
        <v>18.8</v>
      </c>
      <c r="AZ218" s="16">
        <f t="shared" si="131"/>
        <v>186.4</v>
      </c>
      <c r="BA218" s="16">
        <f t="shared" si="132"/>
        <v>186.4</v>
      </c>
      <c r="BB218" s="16">
        <f t="shared" si="133"/>
        <v>186.4</v>
      </c>
      <c r="BC218" s="16">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59" t="str">
        <f>面积表!B213</f>
        <v>京（2017）朝不动产权第0025070号</v>
      </c>
      <c r="C219" s="1259" t="str">
        <f>面积表!C213</f>
        <v>2001-4</v>
      </c>
      <c r="D219" s="2096" t="s">
        <v>3434</v>
      </c>
      <c r="E219" s="16">
        <f t="shared" si="123"/>
        <v>10.84</v>
      </c>
      <c r="F219" s="32"/>
      <c r="G219" s="33">
        <f t="shared" si="124"/>
        <v>107.51</v>
      </c>
      <c r="H219" s="20">
        <f t="shared" si="125"/>
        <v>107.51</v>
      </c>
      <c r="I219" s="2097">
        <f>面积表!G213</f>
        <v>107.51</v>
      </c>
      <c r="J219" s="2097">
        <v>0</v>
      </c>
      <c r="K219" s="2097">
        <v>0</v>
      </c>
      <c r="L219" s="2097">
        <v>0</v>
      </c>
      <c r="M219" s="39"/>
      <c r="N219" s="39"/>
      <c r="O219" s="39"/>
      <c r="P219" s="39"/>
      <c r="Q219" s="39"/>
      <c r="R219" s="39"/>
      <c r="S219" s="39"/>
      <c r="T219" s="39"/>
      <c r="U219" s="39"/>
      <c r="V219" s="39"/>
      <c r="W219" s="39"/>
      <c r="X219" s="39"/>
      <c r="Y219" s="39"/>
      <c r="Z219" s="39"/>
      <c r="AA219" s="39"/>
      <c r="AB219" s="39"/>
      <c r="AC219" s="16">
        <f t="shared" si="126"/>
        <v>0</v>
      </c>
      <c r="AD219" s="2098"/>
      <c r="AE219" s="2098"/>
      <c r="AF219" s="2098"/>
      <c r="AG219" s="2098"/>
      <c r="AH219" s="2098"/>
      <c r="AI219" s="2098"/>
      <c r="AJ219" s="2098"/>
      <c r="AK219" s="2098"/>
      <c r="AL219" s="2098"/>
      <c r="AM219" s="2098"/>
      <c r="AN219" s="2098"/>
      <c r="AO219" s="2098"/>
      <c r="AP219" s="2098"/>
      <c r="AQ219" s="2098"/>
      <c r="AR219" s="2098"/>
      <c r="AS219" s="2098"/>
      <c r="AT219" s="2099"/>
      <c r="AU219" s="2100"/>
      <c r="AV219" s="24">
        <f t="shared" si="127"/>
        <v>0</v>
      </c>
      <c r="AW219" s="24" t="str">
        <f t="shared" si="128"/>
        <v>京（2017）朝不动产权第0025070号</v>
      </c>
      <c r="AX219" s="24" t="str">
        <f t="shared" si="129"/>
        <v>2001-4</v>
      </c>
      <c r="AY219" s="42">
        <f t="shared" si="130"/>
        <v>10.84</v>
      </c>
      <c r="AZ219" s="16">
        <f t="shared" si="131"/>
        <v>107.51</v>
      </c>
      <c r="BA219" s="16">
        <f t="shared" si="132"/>
        <v>107.51</v>
      </c>
      <c r="BB219" s="16">
        <f t="shared" si="133"/>
        <v>107.51</v>
      </c>
      <c r="BC219" s="16">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59" t="str">
        <f>面积表!B214</f>
        <v>京（2017）朝不动产权第0025259号</v>
      </c>
      <c r="C220" s="1259" t="str">
        <f>面积表!C214</f>
        <v>2001-5</v>
      </c>
      <c r="D220" s="2096" t="s">
        <v>3434</v>
      </c>
      <c r="E220" s="16">
        <f t="shared" si="123"/>
        <v>16.91</v>
      </c>
      <c r="F220" s="32"/>
      <c r="G220" s="33">
        <f t="shared" si="124"/>
        <v>167.7</v>
      </c>
      <c r="H220" s="20">
        <f t="shared" si="125"/>
        <v>167.7</v>
      </c>
      <c r="I220" s="2097">
        <f>面积表!G214</f>
        <v>167.7</v>
      </c>
      <c r="J220" s="2097">
        <v>0</v>
      </c>
      <c r="K220" s="2097">
        <v>0</v>
      </c>
      <c r="L220" s="2097">
        <v>0</v>
      </c>
      <c r="M220" s="39"/>
      <c r="N220" s="39"/>
      <c r="O220" s="39"/>
      <c r="P220" s="39"/>
      <c r="Q220" s="39"/>
      <c r="R220" s="39"/>
      <c r="S220" s="39"/>
      <c r="T220" s="39"/>
      <c r="U220" s="39"/>
      <c r="V220" s="39"/>
      <c r="W220" s="39"/>
      <c r="X220" s="39"/>
      <c r="Y220" s="39"/>
      <c r="Z220" s="39"/>
      <c r="AA220" s="39"/>
      <c r="AB220" s="39"/>
      <c r="AC220" s="16">
        <f t="shared" si="126"/>
        <v>0</v>
      </c>
      <c r="AD220" s="2098"/>
      <c r="AE220" s="2098"/>
      <c r="AF220" s="2098"/>
      <c r="AG220" s="2098"/>
      <c r="AH220" s="2098"/>
      <c r="AI220" s="2098"/>
      <c r="AJ220" s="2098"/>
      <c r="AK220" s="2098"/>
      <c r="AL220" s="2098"/>
      <c r="AM220" s="2098"/>
      <c r="AN220" s="2098"/>
      <c r="AO220" s="2098"/>
      <c r="AP220" s="2098"/>
      <c r="AQ220" s="2098"/>
      <c r="AR220" s="2098"/>
      <c r="AS220" s="2098"/>
      <c r="AT220" s="2099"/>
      <c r="AU220" s="2100"/>
      <c r="AV220" s="24">
        <f t="shared" si="127"/>
        <v>0</v>
      </c>
      <c r="AW220" s="24" t="str">
        <f t="shared" si="128"/>
        <v>京（2017）朝不动产权第0025259号</v>
      </c>
      <c r="AX220" s="24" t="str">
        <f t="shared" si="129"/>
        <v>2001-5</v>
      </c>
      <c r="AY220" s="42">
        <f t="shared" si="130"/>
        <v>16.91</v>
      </c>
      <c r="AZ220" s="16">
        <f t="shared" si="131"/>
        <v>167.7</v>
      </c>
      <c r="BA220" s="16">
        <f t="shared" si="132"/>
        <v>167.7</v>
      </c>
      <c r="BB220" s="16">
        <f t="shared" si="133"/>
        <v>167.7</v>
      </c>
      <c r="BC220" s="16">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59" t="str">
        <f>面积表!B215</f>
        <v>京（2017）朝不动产权第0025258号</v>
      </c>
      <c r="C221" s="1259" t="str">
        <f>面积表!C215</f>
        <v>2001-6</v>
      </c>
      <c r="D221" s="2096" t="s">
        <v>3434</v>
      </c>
      <c r="E221" s="16">
        <f t="shared" si="123"/>
        <v>16.11</v>
      </c>
      <c r="F221" s="32"/>
      <c r="G221" s="33">
        <f t="shared" si="124"/>
        <v>159.72999999999999</v>
      </c>
      <c r="H221" s="20">
        <f t="shared" si="125"/>
        <v>159.72999999999999</v>
      </c>
      <c r="I221" s="2097">
        <f>面积表!G215</f>
        <v>159.72999999999999</v>
      </c>
      <c r="J221" s="2097">
        <v>0</v>
      </c>
      <c r="K221" s="2097">
        <v>0</v>
      </c>
      <c r="L221" s="2097">
        <v>0</v>
      </c>
      <c r="M221" s="39"/>
      <c r="N221" s="39"/>
      <c r="O221" s="39"/>
      <c r="P221" s="39"/>
      <c r="Q221" s="39"/>
      <c r="R221" s="39"/>
      <c r="S221" s="39"/>
      <c r="T221" s="39"/>
      <c r="U221" s="39"/>
      <c r="V221" s="39"/>
      <c r="W221" s="39"/>
      <c r="X221" s="39"/>
      <c r="Y221" s="39"/>
      <c r="Z221" s="39"/>
      <c r="AA221" s="39"/>
      <c r="AB221" s="39"/>
      <c r="AC221" s="16">
        <f t="shared" si="126"/>
        <v>0</v>
      </c>
      <c r="AD221" s="2098"/>
      <c r="AE221" s="2098"/>
      <c r="AF221" s="2098"/>
      <c r="AG221" s="2098"/>
      <c r="AH221" s="2098"/>
      <c r="AI221" s="2098"/>
      <c r="AJ221" s="2098"/>
      <c r="AK221" s="2098"/>
      <c r="AL221" s="2098"/>
      <c r="AM221" s="2098"/>
      <c r="AN221" s="2098"/>
      <c r="AO221" s="2098"/>
      <c r="AP221" s="2098"/>
      <c r="AQ221" s="2098"/>
      <c r="AR221" s="2098"/>
      <c r="AS221" s="2098"/>
      <c r="AT221" s="2099"/>
      <c r="AU221" s="2100"/>
      <c r="AV221" s="24">
        <f t="shared" si="127"/>
        <v>0</v>
      </c>
      <c r="AW221" s="24" t="str">
        <f t="shared" si="128"/>
        <v>京（2017）朝不动产权第0025258号</v>
      </c>
      <c r="AX221" s="24" t="str">
        <f t="shared" si="129"/>
        <v>2001-6</v>
      </c>
      <c r="AY221" s="42">
        <f t="shared" si="130"/>
        <v>16.11</v>
      </c>
      <c r="AZ221" s="16">
        <f t="shared" si="131"/>
        <v>159.72999999999999</v>
      </c>
      <c r="BA221" s="16">
        <f t="shared" si="132"/>
        <v>159.72999999999999</v>
      </c>
      <c r="BB221" s="16">
        <f t="shared" si="133"/>
        <v>159.72999999999999</v>
      </c>
      <c r="BC221" s="16">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59" t="str">
        <f>面积表!B216</f>
        <v>京（2017）朝不动产权第0025067号</v>
      </c>
      <c r="C222" s="1259" t="str">
        <f>面积表!C216</f>
        <v>2001-7</v>
      </c>
      <c r="D222" s="2096" t="s">
        <v>3434</v>
      </c>
      <c r="E222" s="16">
        <f t="shared" si="123"/>
        <v>18.78</v>
      </c>
      <c r="F222" s="32"/>
      <c r="G222" s="33">
        <f t="shared" si="124"/>
        <v>186.21</v>
      </c>
      <c r="H222" s="20">
        <f t="shared" si="125"/>
        <v>186.21</v>
      </c>
      <c r="I222" s="2097">
        <f>面积表!G216</f>
        <v>186.21</v>
      </c>
      <c r="J222" s="2097">
        <v>0</v>
      </c>
      <c r="K222" s="2097">
        <v>0</v>
      </c>
      <c r="L222" s="2097">
        <v>0</v>
      </c>
      <c r="M222" s="39"/>
      <c r="N222" s="39"/>
      <c r="O222" s="39"/>
      <c r="P222" s="39"/>
      <c r="Q222" s="39"/>
      <c r="R222" s="39"/>
      <c r="S222" s="39"/>
      <c r="T222" s="39"/>
      <c r="U222" s="39"/>
      <c r="V222" s="39"/>
      <c r="W222" s="39"/>
      <c r="X222" s="39"/>
      <c r="Y222" s="39"/>
      <c r="Z222" s="39"/>
      <c r="AA222" s="39"/>
      <c r="AB222" s="39"/>
      <c r="AC222" s="16">
        <f t="shared" si="126"/>
        <v>0</v>
      </c>
      <c r="AD222" s="2098"/>
      <c r="AE222" s="2098"/>
      <c r="AF222" s="2098"/>
      <c r="AG222" s="2098"/>
      <c r="AH222" s="2098"/>
      <c r="AI222" s="2098"/>
      <c r="AJ222" s="2098"/>
      <c r="AK222" s="2098"/>
      <c r="AL222" s="2098"/>
      <c r="AM222" s="2098"/>
      <c r="AN222" s="2098"/>
      <c r="AO222" s="2098"/>
      <c r="AP222" s="2098"/>
      <c r="AQ222" s="2098"/>
      <c r="AR222" s="2098"/>
      <c r="AS222" s="2098"/>
      <c r="AT222" s="2099"/>
      <c r="AU222" s="2100"/>
      <c r="AV222" s="24">
        <f t="shared" si="127"/>
        <v>0</v>
      </c>
      <c r="AW222" s="24" t="str">
        <f t="shared" si="128"/>
        <v>京（2017）朝不动产权第0025067号</v>
      </c>
      <c r="AX222" s="24" t="str">
        <f t="shared" si="129"/>
        <v>2001-7</v>
      </c>
      <c r="AY222" s="42">
        <f t="shared" si="130"/>
        <v>18.78</v>
      </c>
      <c r="AZ222" s="16">
        <f t="shared" si="131"/>
        <v>186.21</v>
      </c>
      <c r="BA222" s="16">
        <f t="shared" si="132"/>
        <v>186.21</v>
      </c>
      <c r="BB222" s="16">
        <f t="shared" si="133"/>
        <v>186.21</v>
      </c>
      <c r="BC222" s="16">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59" t="str">
        <f>面积表!B217</f>
        <v>京（2017）朝不动产权第0025048号</v>
      </c>
      <c r="C223" s="1259" t="str">
        <f>面积表!C217</f>
        <v>2001-8</v>
      </c>
      <c r="D223" s="2096" t="s">
        <v>3434</v>
      </c>
      <c r="E223" s="16">
        <f t="shared" si="123"/>
        <v>7.65</v>
      </c>
      <c r="F223" s="32"/>
      <c r="G223" s="33">
        <f t="shared" si="124"/>
        <v>75.84</v>
      </c>
      <c r="H223" s="20">
        <f t="shared" si="125"/>
        <v>75.84</v>
      </c>
      <c r="I223" s="2097">
        <f>面积表!G217</f>
        <v>75.84</v>
      </c>
      <c r="J223" s="2097">
        <v>0</v>
      </c>
      <c r="K223" s="2097">
        <v>0</v>
      </c>
      <c r="L223" s="2097">
        <v>0</v>
      </c>
      <c r="M223" s="39"/>
      <c r="N223" s="39"/>
      <c r="O223" s="39"/>
      <c r="P223" s="39"/>
      <c r="Q223" s="39"/>
      <c r="R223" s="39"/>
      <c r="S223" s="39"/>
      <c r="T223" s="39"/>
      <c r="U223" s="39"/>
      <c r="V223" s="39"/>
      <c r="W223" s="39"/>
      <c r="X223" s="39"/>
      <c r="Y223" s="39"/>
      <c r="Z223" s="39"/>
      <c r="AA223" s="39"/>
      <c r="AB223" s="39"/>
      <c r="AC223" s="16">
        <f t="shared" si="126"/>
        <v>0</v>
      </c>
      <c r="AD223" s="2098"/>
      <c r="AE223" s="2098"/>
      <c r="AF223" s="2098"/>
      <c r="AG223" s="2098"/>
      <c r="AH223" s="2098"/>
      <c r="AI223" s="2098"/>
      <c r="AJ223" s="2098"/>
      <c r="AK223" s="2098"/>
      <c r="AL223" s="2098"/>
      <c r="AM223" s="2098"/>
      <c r="AN223" s="2098"/>
      <c r="AO223" s="2098"/>
      <c r="AP223" s="2098"/>
      <c r="AQ223" s="2098"/>
      <c r="AR223" s="2098"/>
      <c r="AS223" s="2098"/>
      <c r="AT223" s="2099"/>
      <c r="AU223" s="2100"/>
      <c r="AV223" s="24">
        <f t="shared" si="127"/>
        <v>0</v>
      </c>
      <c r="AW223" s="24" t="str">
        <f t="shared" si="128"/>
        <v>京（2017）朝不动产权第0025048号</v>
      </c>
      <c r="AX223" s="24" t="str">
        <f t="shared" si="129"/>
        <v>2001-8</v>
      </c>
      <c r="AY223" s="42">
        <f t="shared" si="130"/>
        <v>7.65</v>
      </c>
      <c r="AZ223" s="16">
        <f t="shared" si="131"/>
        <v>75.84</v>
      </c>
      <c r="BA223" s="16">
        <f t="shared" si="132"/>
        <v>75.84</v>
      </c>
      <c r="BB223" s="16">
        <f t="shared" si="133"/>
        <v>75.84</v>
      </c>
      <c r="BC223" s="16">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59" t="str">
        <f>面积表!B218</f>
        <v>京（2017）朝不动产权第0025253号</v>
      </c>
      <c r="C224" s="1259" t="str">
        <f>面积表!C218</f>
        <v>2101-1</v>
      </c>
      <c r="D224" s="2096" t="s">
        <v>3434</v>
      </c>
      <c r="E224" s="16">
        <f t="shared" si="123"/>
        <v>16.96</v>
      </c>
      <c r="F224" s="32"/>
      <c r="G224" s="33">
        <f t="shared" si="124"/>
        <v>168.22</v>
      </c>
      <c r="H224" s="20">
        <f t="shared" si="125"/>
        <v>168.22</v>
      </c>
      <c r="I224" s="2097">
        <f>面积表!G218</f>
        <v>168.22</v>
      </c>
      <c r="J224" s="2097">
        <v>0</v>
      </c>
      <c r="K224" s="2097">
        <v>0</v>
      </c>
      <c r="L224" s="2097">
        <v>0</v>
      </c>
      <c r="M224" s="39"/>
      <c r="N224" s="39"/>
      <c r="O224" s="39"/>
      <c r="P224" s="39"/>
      <c r="Q224" s="39"/>
      <c r="R224" s="39"/>
      <c r="S224" s="39"/>
      <c r="T224" s="39"/>
      <c r="U224" s="39"/>
      <c r="V224" s="39"/>
      <c r="W224" s="39"/>
      <c r="X224" s="39"/>
      <c r="Y224" s="39"/>
      <c r="Z224" s="39"/>
      <c r="AA224" s="39"/>
      <c r="AB224" s="39"/>
      <c r="AC224" s="16">
        <f t="shared" si="126"/>
        <v>0</v>
      </c>
      <c r="AD224" s="2098"/>
      <c r="AE224" s="2098"/>
      <c r="AF224" s="2098"/>
      <c r="AG224" s="2098"/>
      <c r="AH224" s="2098"/>
      <c r="AI224" s="2098"/>
      <c r="AJ224" s="2098"/>
      <c r="AK224" s="2098"/>
      <c r="AL224" s="2098"/>
      <c r="AM224" s="2098"/>
      <c r="AN224" s="2098"/>
      <c r="AO224" s="2098"/>
      <c r="AP224" s="2098"/>
      <c r="AQ224" s="2098"/>
      <c r="AR224" s="2098"/>
      <c r="AS224" s="2098"/>
      <c r="AT224" s="2099"/>
      <c r="AU224" s="2100"/>
      <c r="AV224" s="24">
        <f t="shared" si="127"/>
        <v>0</v>
      </c>
      <c r="AW224" s="24" t="str">
        <f t="shared" si="128"/>
        <v>京（2017）朝不动产权第0025253号</v>
      </c>
      <c r="AX224" s="24" t="str">
        <f t="shared" si="129"/>
        <v>2101-1</v>
      </c>
      <c r="AY224" s="42">
        <f t="shared" si="130"/>
        <v>16.96</v>
      </c>
      <c r="AZ224" s="16">
        <f t="shared" si="131"/>
        <v>168.22</v>
      </c>
      <c r="BA224" s="16">
        <f t="shared" si="132"/>
        <v>168.22</v>
      </c>
      <c r="BB224" s="16">
        <f t="shared" si="133"/>
        <v>168.22</v>
      </c>
      <c r="BC224" s="16">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59" t="str">
        <f>面积表!B219</f>
        <v>京（2017）朝不动产权第0025260号</v>
      </c>
      <c r="C225" s="1259" t="str">
        <f>面积表!C219</f>
        <v>2101-2</v>
      </c>
      <c r="D225" s="2096" t="s">
        <v>3434</v>
      </c>
      <c r="E225" s="16">
        <f t="shared" si="123"/>
        <v>16.16</v>
      </c>
      <c r="F225" s="32"/>
      <c r="G225" s="33">
        <f t="shared" si="124"/>
        <v>160.29</v>
      </c>
      <c r="H225" s="20">
        <f t="shared" si="125"/>
        <v>160.29</v>
      </c>
      <c r="I225" s="2097">
        <f>面积表!G219</f>
        <v>160.29</v>
      </c>
      <c r="J225" s="2097">
        <v>0</v>
      </c>
      <c r="K225" s="2097">
        <v>0</v>
      </c>
      <c r="L225" s="2097">
        <v>0</v>
      </c>
      <c r="M225" s="39"/>
      <c r="N225" s="39"/>
      <c r="O225" s="39"/>
      <c r="P225" s="39"/>
      <c r="Q225" s="39"/>
      <c r="R225" s="39"/>
      <c r="S225" s="39"/>
      <c r="T225" s="39"/>
      <c r="U225" s="39"/>
      <c r="V225" s="39"/>
      <c r="W225" s="39"/>
      <c r="X225" s="39"/>
      <c r="Y225" s="39"/>
      <c r="Z225" s="39"/>
      <c r="AA225" s="39"/>
      <c r="AB225" s="39"/>
      <c r="AC225" s="16">
        <f t="shared" si="126"/>
        <v>0</v>
      </c>
      <c r="AD225" s="2098"/>
      <c r="AE225" s="2098"/>
      <c r="AF225" s="2098"/>
      <c r="AG225" s="2098"/>
      <c r="AH225" s="2098"/>
      <c r="AI225" s="2098"/>
      <c r="AJ225" s="2098"/>
      <c r="AK225" s="2098"/>
      <c r="AL225" s="2098"/>
      <c r="AM225" s="2098"/>
      <c r="AN225" s="2098"/>
      <c r="AO225" s="2098"/>
      <c r="AP225" s="2098"/>
      <c r="AQ225" s="2098"/>
      <c r="AR225" s="2098"/>
      <c r="AS225" s="2098"/>
      <c r="AT225" s="2099"/>
      <c r="AU225" s="2100"/>
      <c r="AV225" s="24">
        <f t="shared" si="127"/>
        <v>0</v>
      </c>
      <c r="AW225" s="24" t="str">
        <f t="shared" si="128"/>
        <v>京（2017）朝不动产权第0025260号</v>
      </c>
      <c r="AX225" s="24" t="str">
        <f t="shared" si="129"/>
        <v>2101-2</v>
      </c>
      <c r="AY225" s="42">
        <f t="shared" si="130"/>
        <v>16.16</v>
      </c>
      <c r="AZ225" s="16">
        <f t="shared" si="131"/>
        <v>160.29</v>
      </c>
      <c r="BA225" s="16">
        <f t="shared" si="132"/>
        <v>160.29</v>
      </c>
      <c r="BB225" s="16">
        <f t="shared" si="133"/>
        <v>160.29</v>
      </c>
      <c r="BC225" s="16">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59" t="str">
        <f>面积表!B220</f>
        <v>京（2017）朝不动产权第0025062号</v>
      </c>
      <c r="C226" s="1259" t="str">
        <f>面积表!C220</f>
        <v>2101-3</v>
      </c>
      <c r="D226" s="2096" t="s">
        <v>3434</v>
      </c>
      <c r="E226" s="16">
        <f t="shared" si="123"/>
        <v>29.63</v>
      </c>
      <c r="F226" s="32"/>
      <c r="G226" s="33">
        <f t="shared" si="124"/>
        <v>293.85000000000002</v>
      </c>
      <c r="H226" s="20">
        <f t="shared" si="125"/>
        <v>293.85000000000002</v>
      </c>
      <c r="I226" s="2097">
        <f>面积表!G220</f>
        <v>293.85000000000002</v>
      </c>
      <c r="J226" s="2097">
        <v>0</v>
      </c>
      <c r="K226" s="2097">
        <v>0</v>
      </c>
      <c r="L226" s="2097">
        <v>0</v>
      </c>
      <c r="M226" s="39"/>
      <c r="N226" s="39"/>
      <c r="O226" s="39"/>
      <c r="P226" s="39"/>
      <c r="Q226" s="39"/>
      <c r="R226" s="39"/>
      <c r="S226" s="39"/>
      <c r="T226" s="39"/>
      <c r="U226" s="39"/>
      <c r="V226" s="39"/>
      <c r="W226" s="39"/>
      <c r="X226" s="39"/>
      <c r="Y226" s="39"/>
      <c r="Z226" s="39"/>
      <c r="AA226" s="39"/>
      <c r="AB226" s="39"/>
      <c r="AC226" s="16">
        <f t="shared" si="126"/>
        <v>0</v>
      </c>
      <c r="AD226" s="2098"/>
      <c r="AE226" s="2098"/>
      <c r="AF226" s="2098"/>
      <c r="AG226" s="2098"/>
      <c r="AH226" s="2098"/>
      <c r="AI226" s="2098"/>
      <c r="AJ226" s="2098"/>
      <c r="AK226" s="2098"/>
      <c r="AL226" s="2098"/>
      <c r="AM226" s="2098"/>
      <c r="AN226" s="2098"/>
      <c r="AO226" s="2098"/>
      <c r="AP226" s="2098"/>
      <c r="AQ226" s="2098"/>
      <c r="AR226" s="2098"/>
      <c r="AS226" s="2098"/>
      <c r="AT226" s="2099"/>
      <c r="AU226" s="2100"/>
      <c r="AV226" s="24">
        <f t="shared" si="127"/>
        <v>0</v>
      </c>
      <c r="AW226" s="24" t="str">
        <f t="shared" si="128"/>
        <v>京（2017）朝不动产权第0025062号</v>
      </c>
      <c r="AX226" s="24" t="str">
        <f t="shared" si="129"/>
        <v>2101-3</v>
      </c>
      <c r="AY226" s="42">
        <f t="shared" si="130"/>
        <v>29.63</v>
      </c>
      <c r="AZ226" s="16">
        <f t="shared" si="131"/>
        <v>293.85000000000002</v>
      </c>
      <c r="BA226" s="16">
        <f t="shared" si="132"/>
        <v>293.85000000000002</v>
      </c>
      <c r="BB226" s="16">
        <f t="shared" si="133"/>
        <v>293.85000000000002</v>
      </c>
      <c r="BC226" s="16">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59" t="str">
        <f>面积表!B221</f>
        <v>京（2017）朝不动产权第0025038号</v>
      </c>
      <c r="C227" s="1259" t="str">
        <f>面积表!C221</f>
        <v>2101-4</v>
      </c>
      <c r="D227" s="2096" t="s">
        <v>3434</v>
      </c>
      <c r="E227" s="16">
        <f t="shared" si="123"/>
        <v>16.920000000000002</v>
      </c>
      <c r="F227" s="32"/>
      <c r="G227" s="33">
        <f t="shared" si="124"/>
        <v>167.79</v>
      </c>
      <c r="H227" s="20">
        <f t="shared" si="125"/>
        <v>167.79</v>
      </c>
      <c r="I227" s="2097">
        <f>面积表!G221</f>
        <v>167.79</v>
      </c>
      <c r="J227" s="2097">
        <v>0</v>
      </c>
      <c r="K227" s="2097">
        <v>0</v>
      </c>
      <c r="L227" s="2097">
        <v>0</v>
      </c>
      <c r="M227" s="39"/>
      <c r="N227" s="39"/>
      <c r="O227" s="39"/>
      <c r="P227" s="39"/>
      <c r="Q227" s="39"/>
      <c r="R227" s="39"/>
      <c r="S227" s="39"/>
      <c r="T227" s="39"/>
      <c r="U227" s="39"/>
      <c r="V227" s="39"/>
      <c r="W227" s="39"/>
      <c r="X227" s="39"/>
      <c r="Y227" s="39"/>
      <c r="Z227" s="39"/>
      <c r="AA227" s="39"/>
      <c r="AB227" s="39"/>
      <c r="AC227" s="16">
        <f t="shared" si="126"/>
        <v>0</v>
      </c>
      <c r="AD227" s="2098"/>
      <c r="AE227" s="2098"/>
      <c r="AF227" s="2098"/>
      <c r="AG227" s="2098"/>
      <c r="AH227" s="2098"/>
      <c r="AI227" s="2098"/>
      <c r="AJ227" s="2098"/>
      <c r="AK227" s="2098"/>
      <c r="AL227" s="2098"/>
      <c r="AM227" s="2098"/>
      <c r="AN227" s="2098"/>
      <c r="AO227" s="2098"/>
      <c r="AP227" s="2098"/>
      <c r="AQ227" s="2098"/>
      <c r="AR227" s="2098"/>
      <c r="AS227" s="2098"/>
      <c r="AT227" s="2099"/>
      <c r="AU227" s="2100"/>
      <c r="AV227" s="24">
        <f t="shared" si="127"/>
        <v>0</v>
      </c>
      <c r="AW227" s="24" t="str">
        <f t="shared" si="128"/>
        <v>京（2017）朝不动产权第0025038号</v>
      </c>
      <c r="AX227" s="24" t="str">
        <f t="shared" si="129"/>
        <v>2101-4</v>
      </c>
      <c r="AY227" s="42">
        <f t="shared" si="130"/>
        <v>16.920000000000002</v>
      </c>
      <c r="AZ227" s="16">
        <f t="shared" si="131"/>
        <v>167.79</v>
      </c>
      <c r="BA227" s="16">
        <f t="shared" si="132"/>
        <v>167.79</v>
      </c>
      <c r="BB227" s="16">
        <f t="shared" si="133"/>
        <v>167.79</v>
      </c>
      <c r="BC227" s="16">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59" t="str">
        <f>面积表!B222</f>
        <v>京（2017）朝不动产权第0025255号</v>
      </c>
      <c r="C228" s="1259" t="str">
        <f>面积表!C222</f>
        <v>2101-5</v>
      </c>
      <c r="D228" s="2096" t="s">
        <v>3434</v>
      </c>
      <c r="E228" s="16">
        <f t="shared" si="123"/>
        <v>16.16</v>
      </c>
      <c r="F228" s="32"/>
      <c r="G228" s="33">
        <f t="shared" si="124"/>
        <v>160.29</v>
      </c>
      <c r="H228" s="20">
        <f t="shared" si="125"/>
        <v>160.29</v>
      </c>
      <c r="I228" s="2097">
        <f>面积表!G222</f>
        <v>160.29</v>
      </c>
      <c r="J228" s="2097">
        <v>0</v>
      </c>
      <c r="K228" s="2097">
        <v>0</v>
      </c>
      <c r="L228" s="2097">
        <v>0</v>
      </c>
      <c r="M228" s="39"/>
      <c r="N228" s="39"/>
      <c r="O228" s="39"/>
      <c r="P228" s="39"/>
      <c r="Q228" s="39"/>
      <c r="R228" s="39"/>
      <c r="S228" s="39"/>
      <c r="T228" s="39"/>
      <c r="U228" s="39"/>
      <c r="V228" s="39"/>
      <c r="W228" s="39"/>
      <c r="X228" s="39"/>
      <c r="Y228" s="39"/>
      <c r="Z228" s="39"/>
      <c r="AA228" s="39"/>
      <c r="AB228" s="39"/>
      <c r="AC228" s="16">
        <f t="shared" si="126"/>
        <v>0</v>
      </c>
      <c r="AD228" s="2098"/>
      <c r="AE228" s="2098"/>
      <c r="AF228" s="2098"/>
      <c r="AG228" s="2098"/>
      <c r="AH228" s="2098"/>
      <c r="AI228" s="2098"/>
      <c r="AJ228" s="2098"/>
      <c r="AK228" s="2098"/>
      <c r="AL228" s="2098"/>
      <c r="AM228" s="2098"/>
      <c r="AN228" s="2098"/>
      <c r="AO228" s="2098"/>
      <c r="AP228" s="2098"/>
      <c r="AQ228" s="2098"/>
      <c r="AR228" s="2098"/>
      <c r="AS228" s="2098"/>
      <c r="AT228" s="2099"/>
      <c r="AU228" s="2100"/>
      <c r="AV228" s="24">
        <f t="shared" si="127"/>
        <v>0</v>
      </c>
      <c r="AW228" s="24" t="str">
        <f t="shared" si="128"/>
        <v>京（2017）朝不动产权第0025255号</v>
      </c>
      <c r="AX228" s="24" t="str">
        <f t="shared" si="129"/>
        <v>2101-5</v>
      </c>
      <c r="AY228" s="42">
        <f t="shared" si="130"/>
        <v>16.16</v>
      </c>
      <c r="AZ228" s="16">
        <f t="shared" si="131"/>
        <v>160.29</v>
      </c>
      <c r="BA228" s="16">
        <f t="shared" si="132"/>
        <v>160.29</v>
      </c>
      <c r="BB228" s="16">
        <f t="shared" si="133"/>
        <v>160.29</v>
      </c>
      <c r="BC228" s="16">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59" t="str">
        <f>面积表!B223</f>
        <v>京（2017）朝不动产权第0024940号</v>
      </c>
      <c r="C229" s="1259" t="str">
        <f>面积表!C223</f>
        <v>2101-6</v>
      </c>
      <c r="D229" s="2096" t="s">
        <v>3434</v>
      </c>
      <c r="E229" s="16">
        <f t="shared" si="123"/>
        <v>26.35</v>
      </c>
      <c r="F229" s="32"/>
      <c r="G229" s="33">
        <f t="shared" si="124"/>
        <v>261.27999999999997</v>
      </c>
      <c r="H229" s="20">
        <f t="shared" si="125"/>
        <v>261.27999999999997</v>
      </c>
      <c r="I229" s="2097">
        <f>面积表!G223</f>
        <v>261.27999999999997</v>
      </c>
      <c r="J229" s="2097">
        <v>0</v>
      </c>
      <c r="K229" s="2097">
        <v>0</v>
      </c>
      <c r="L229" s="2097">
        <v>0</v>
      </c>
      <c r="M229" s="39"/>
      <c r="N229" s="39"/>
      <c r="O229" s="39"/>
      <c r="P229" s="39"/>
      <c r="Q229" s="39"/>
      <c r="R229" s="39"/>
      <c r="S229" s="39"/>
      <c r="T229" s="39"/>
      <c r="U229" s="39"/>
      <c r="V229" s="39"/>
      <c r="W229" s="39"/>
      <c r="X229" s="39"/>
      <c r="Y229" s="39"/>
      <c r="Z229" s="39"/>
      <c r="AA229" s="39"/>
      <c r="AB229" s="39"/>
      <c r="AC229" s="16">
        <f t="shared" si="126"/>
        <v>0</v>
      </c>
      <c r="AD229" s="2098"/>
      <c r="AE229" s="2098"/>
      <c r="AF229" s="2098"/>
      <c r="AG229" s="2098"/>
      <c r="AH229" s="2098"/>
      <c r="AI229" s="2098"/>
      <c r="AJ229" s="2098"/>
      <c r="AK229" s="2098"/>
      <c r="AL229" s="2098"/>
      <c r="AM229" s="2098"/>
      <c r="AN229" s="2098"/>
      <c r="AO229" s="2098"/>
      <c r="AP229" s="2098"/>
      <c r="AQ229" s="2098"/>
      <c r="AR229" s="2098"/>
      <c r="AS229" s="2098"/>
      <c r="AT229" s="2099"/>
      <c r="AU229" s="2100"/>
      <c r="AV229" s="24">
        <f t="shared" si="127"/>
        <v>0</v>
      </c>
      <c r="AW229" s="24" t="str">
        <f t="shared" si="128"/>
        <v>京（2017）朝不动产权第0024940号</v>
      </c>
      <c r="AX229" s="24" t="str">
        <f t="shared" si="129"/>
        <v>2101-6</v>
      </c>
      <c r="AY229" s="42">
        <f t="shared" si="130"/>
        <v>26.35</v>
      </c>
      <c r="AZ229" s="16">
        <f t="shared" si="131"/>
        <v>261.27999999999997</v>
      </c>
      <c r="BA229" s="16">
        <f t="shared" si="132"/>
        <v>261.27999999999997</v>
      </c>
      <c r="BB229" s="16">
        <f t="shared" si="133"/>
        <v>261.27999999999997</v>
      </c>
      <c r="BC229" s="16">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59" t="str">
        <f>面积表!B224</f>
        <v>京（2017）朝不动产权第0024954号</v>
      </c>
      <c r="C230" s="1259" t="str">
        <f>面积表!C224</f>
        <v>2202-1</v>
      </c>
      <c r="D230" s="2096" t="s">
        <v>3434</v>
      </c>
      <c r="E230" s="16">
        <f t="shared" si="123"/>
        <v>16.96</v>
      </c>
      <c r="F230" s="32"/>
      <c r="G230" s="33">
        <f t="shared" si="124"/>
        <v>168.22</v>
      </c>
      <c r="H230" s="20">
        <f t="shared" si="125"/>
        <v>168.22</v>
      </c>
      <c r="I230" s="2097">
        <f>面积表!G224</f>
        <v>168.22</v>
      </c>
      <c r="J230" s="2097">
        <v>0</v>
      </c>
      <c r="K230" s="2097">
        <v>0</v>
      </c>
      <c r="L230" s="2097">
        <v>0</v>
      </c>
      <c r="M230" s="39"/>
      <c r="N230" s="39"/>
      <c r="O230" s="39"/>
      <c r="P230" s="39"/>
      <c r="Q230" s="39"/>
      <c r="R230" s="39"/>
      <c r="S230" s="39"/>
      <c r="T230" s="39"/>
      <c r="U230" s="39"/>
      <c r="V230" s="39"/>
      <c r="W230" s="39"/>
      <c r="X230" s="39"/>
      <c r="Y230" s="39"/>
      <c r="Z230" s="39"/>
      <c r="AA230" s="39"/>
      <c r="AB230" s="39"/>
      <c r="AC230" s="16">
        <f t="shared" si="126"/>
        <v>0</v>
      </c>
      <c r="AD230" s="2098"/>
      <c r="AE230" s="2098"/>
      <c r="AF230" s="2098"/>
      <c r="AG230" s="2098"/>
      <c r="AH230" s="2098"/>
      <c r="AI230" s="2098"/>
      <c r="AJ230" s="2098"/>
      <c r="AK230" s="2098"/>
      <c r="AL230" s="2098"/>
      <c r="AM230" s="2098"/>
      <c r="AN230" s="2098"/>
      <c r="AO230" s="2098"/>
      <c r="AP230" s="2098"/>
      <c r="AQ230" s="2098"/>
      <c r="AR230" s="2098"/>
      <c r="AS230" s="2098"/>
      <c r="AT230" s="2099"/>
      <c r="AU230" s="2100"/>
      <c r="AV230" s="24">
        <f t="shared" si="127"/>
        <v>0</v>
      </c>
      <c r="AW230" s="24" t="str">
        <f t="shared" si="128"/>
        <v>京（2017）朝不动产权第0024954号</v>
      </c>
      <c r="AX230" s="24" t="str">
        <f t="shared" si="129"/>
        <v>2202-1</v>
      </c>
      <c r="AY230" s="42">
        <f t="shared" si="130"/>
        <v>16.96</v>
      </c>
      <c r="AZ230" s="16">
        <f t="shared" si="131"/>
        <v>168.22</v>
      </c>
      <c r="BA230" s="16">
        <f t="shared" si="132"/>
        <v>168.22</v>
      </c>
      <c r="BB230" s="16">
        <f t="shared" si="133"/>
        <v>168.22</v>
      </c>
      <c r="BC230" s="16">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59" t="str">
        <f>面积表!B225</f>
        <v>京（2017）朝不动产权第0024958号</v>
      </c>
      <c r="C231" s="1259" t="str">
        <f>面积表!C225</f>
        <v>2202-2</v>
      </c>
      <c r="D231" s="2096" t="s">
        <v>3434</v>
      </c>
      <c r="E231" s="16">
        <f t="shared" si="123"/>
        <v>16.16</v>
      </c>
      <c r="F231" s="32"/>
      <c r="G231" s="33">
        <f t="shared" si="124"/>
        <v>160.29</v>
      </c>
      <c r="H231" s="20">
        <f t="shared" si="125"/>
        <v>160.29</v>
      </c>
      <c r="I231" s="2097">
        <f>面积表!G225</f>
        <v>160.29</v>
      </c>
      <c r="J231" s="2097">
        <v>0</v>
      </c>
      <c r="K231" s="2097">
        <v>0</v>
      </c>
      <c r="L231" s="2097">
        <v>0</v>
      </c>
      <c r="M231" s="39"/>
      <c r="N231" s="39"/>
      <c r="O231" s="39"/>
      <c r="P231" s="39"/>
      <c r="Q231" s="39"/>
      <c r="R231" s="39"/>
      <c r="S231" s="39"/>
      <c r="T231" s="39"/>
      <c r="U231" s="39"/>
      <c r="V231" s="39"/>
      <c r="W231" s="39"/>
      <c r="X231" s="39"/>
      <c r="Y231" s="39"/>
      <c r="Z231" s="39"/>
      <c r="AA231" s="39"/>
      <c r="AB231" s="39"/>
      <c r="AC231" s="16">
        <f t="shared" si="126"/>
        <v>0</v>
      </c>
      <c r="AD231" s="2098"/>
      <c r="AE231" s="2098"/>
      <c r="AF231" s="2098"/>
      <c r="AG231" s="2098"/>
      <c r="AH231" s="2098"/>
      <c r="AI231" s="2098"/>
      <c r="AJ231" s="2098"/>
      <c r="AK231" s="2098"/>
      <c r="AL231" s="2098"/>
      <c r="AM231" s="2098"/>
      <c r="AN231" s="2098"/>
      <c r="AO231" s="2098"/>
      <c r="AP231" s="2098"/>
      <c r="AQ231" s="2098"/>
      <c r="AR231" s="2098"/>
      <c r="AS231" s="2098"/>
      <c r="AT231" s="2099"/>
      <c r="AU231" s="2100"/>
      <c r="AV231" s="24">
        <f t="shared" si="127"/>
        <v>0</v>
      </c>
      <c r="AW231" s="24" t="str">
        <f t="shared" si="128"/>
        <v>京（2017）朝不动产权第0024958号</v>
      </c>
      <c r="AX231" s="24" t="str">
        <f t="shared" si="129"/>
        <v>2202-2</v>
      </c>
      <c r="AY231" s="42">
        <f t="shared" si="130"/>
        <v>16.16</v>
      </c>
      <c r="AZ231" s="16">
        <f t="shared" si="131"/>
        <v>160.29</v>
      </c>
      <c r="BA231" s="16">
        <f t="shared" si="132"/>
        <v>160.29</v>
      </c>
      <c r="BB231" s="16">
        <f t="shared" si="133"/>
        <v>160.29</v>
      </c>
      <c r="BC231" s="16">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59" t="str">
        <f>面积表!B226</f>
        <v>京（2017）朝不动产权第0025227号</v>
      </c>
      <c r="C232" s="1259" t="str">
        <f>面积表!C226</f>
        <v>2202-3</v>
      </c>
      <c r="D232" s="2096" t="s">
        <v>3434</v>
      </c>
      <c r="E232" s="16">
        <f t="shared" si="123"/>
        <v>29.43</v>
      </c>
      <c r="F232" s="32"/>
      <c r="G232" s="33">
        <f t="shared" si="124"/>
        <v>291.82</v>
      </c>
      <c r="H232" s="20">
        <f t="shared" si="125"/>
        <v>291.82</v>
      </c>
      <c r="I232" s="2097">
        <f>面积表!G226</f>
        <v>291.82</v>
      </c>
      <c r="J232" s="2097">
        <v>0</v>
      </c>
      <c r="K232" s="2097">
        <v>0</v>
      </c>
      <c r="L232" s="2097">
        <v>0</v>
      </c>
      <c r="M232" s="39"/>
      <c r="N232" s="39"/>
      <c r="O232" s="39"/>
      <c r="P232" s="39"/>
      <c r="Q232" s="39"/>
      <c r="R232" s="39"/>
      <c r="S232" s="39"/>
      <c r="T232" s="39"/>
      <c r="U232" s="39"/>
      <c r="V232" s="39"/>
      <c r="W232" s="39"/>
      <c r="X232" s="39"/>
      <c r="Y232" s="39"/>
      <c r="Z232" s="39"/>
      <c r="AA232" s="39"/>
      <c r="AB232" s="39"/>
      <c r="AC232" s="16">
        <f t="shared" si="126"/>
        <v>0</v>
      </c>
      <c r="AD232" s="2098"/>
      <c r="AE232" s="2098"/>
      <c r="AF232" s="2098"/>
      <c r="AG232" s="2098"/>
      <c r="AH232" s="2098"/>
      <c r="AI232" s="2098"/>
      <c r="AJ232" s="2098"/>
      <c r="AK232" s="2098"/>
      <c r="AL232" s="2098"/>
      <c r="AM232" s="2098"/>
      <c r="AN232" s="2098"/>
      <c r="AO232" s="2098"/>
      <c r="AP232" s="2098"/>
      <c r="AQ232" s="2098"/>
      <c r="AR232" s="2098"/>
      <c r="AS232" s="2098"/>
      <c r="AT232" s="2099"/>
      <c r="AU232" s="2100"/>
      <c r="AV232" s="24">
        <f t="shared" si="127"/>
        <v>0</v>
      </c>
      <c r="AW232" s="24" t="str">
        <f t="shared" si="128"/>
        <v>京（2017）朝不动产权第0025227号</v>
      </c>
      <c r="AX232" s="24" t="str">
        <f t="shared" si="129"/>
        <v>2202-3</v>
      </c>
      <c r="AY232" s="42">
        <f t="shared" si="130"/>
        <v>29.43</v>
      </c>
      <c r="AZ232" s="16">
        <f t="shared" si="131"/>
        <v>291.82</v>
      </c>
      <c r="BA232" s="16">
        <f t="shared" si="132"/>
        <v>291.82</v>
      </c>
      <c r="BB232" s="16">
        <f t="shared" si="133"/>
        <v>291.82</v>
      </c>
      <c r="BC232" s="16">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59" t="str">
        <f>面积表!B227</f>
        <v>京（2017）朝不动产权第0024967号</v>
      </c>
      <c r="C233" s="1259" t="str">
        <f>面积表!C227</f>
        <v>2202-4</v>
      </c>
      <c r="D233" s="2096" t="s">
        <v>3434</v>
      </c>
      <c r="E233" s="16">
        <f t="shared" si="123"/>
        <v>16.920000000000002</v>
      </c>
      <c r="F233" s="32"/>
      <c r="G233" s="33">
        <f t="shared" si="124"/>
        <v>167.79</v>
      </c>
      <c r="H233" s="20">
        <f t="shared" si="125"/>
        <v>167.79</v>
      </c>
      <c r="I233" s="2097">
        <f>面积表!G227</f>
        <v>167.79</v>
      </c>
      <c r="J233" s="2097">
        <v>0</v>
      </c>
      <c r="K233" s="2097">
        <v>0</v>
      </c>
      <c r="L233" s="2097">
        <v>0</v>
      </c>
      <c r="M233" s="39"/>
      <c r="N233" s="39"/>
      <c r="O233" s="39"/>
      <c r="P233" s="39"/>
      <c r="Q233" s="39"/>
      <c r="R233" s="39"/>
      <c r="S233" s="39"/>
      <c r="T233" s="39"/>
      <c r="U233" s="39"/>
      <c r="V233" s="39"/>
      <c r="W233" s="39"/>
      <c r="X233" s="39"/>
      <c r="Y233" s="39"/>
      <c r="Z233" s="39"/>
      <c r="AA233" s="39"/>
      <c r="AB233" s="39"/>
      <c r="AC233" s="16">
        <f t="shared" si="126"/>
        <v>0</v>
      </c>
      <c r="AD233" s="2098"/>
      <c r="AE233" s="2098"/>
      <c r="AF233" s="2098"/>
      <c r="AG233" s="2098"/>
      <c r="AH233" s="2098"/>
      <c r="AI233" s="2098"/>
      <c r="AJ233" s="2098"/>
      <c r="AK233" s="2098"/>
      <c r="AL233" s="2098"/>
      <c r="AM233" s="2098"/>
      <c r="AN233" s="2098"/>
      <c r="AO233" s="2098"/>
      <c r="AP233" s="2098"/>
      <c r="AQ233" s="2098"/>
      <c r="AR233" s="2098"/>
      <c r="AS233" s="2098"/>
      <c r="AT233" s="2099"/>
      <c r="AU233" s="2100"/>
      <c r="AV233" s="24">
        <f t="shared" si="127"/>
        <v>0</v>
      </c>
      <c r="AW233" s="24" t="str">
        <f t="shared" si="128"/>
        <v>京（2017）朝不动产权第0024967号</v>
      </c>
      <c r="AX233" s="24" t="str">
        <f t="shared" si="129"/>
        <v>2202-4</v>
      </c>
      <c r="AY233" s="42">
        <f t="shared" si="130"/>
        <v>16.920000000000002</v>
      </c>
      <c r="AZ233" s="16">
        <f t="shared" si="131"/>
        <v>167.79</v>
      </c>
      <c r="BA233" s="16">
        <f t="shared" si="132"/>
        <v>167.79</v>
      </c>
      <c r="BB233" s="16">
        <f t="shared" si="133"/>
        <v>167.79</v>
      </c>
      <c r="BC233" s="16">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59" t="str">
        <f>面积表!B228</f>
        <v>京（2017）朝不动产权第0024977号</v>
      </c>
      <c r="C234" s="1259" t="str">
        <f>面积表!C228</f>
        <v>2202-5</v>
      </c>
      <c r="D234" s="2096" t="s">
        <v>3434</v>
      </c>
      <c r="E234" s="16">
        <f t="shared" si="123"/>
        <v>16.16</v>
      </c>
      <c r="F234" s="32"/>
      <c r="G234" s="33">
        <f t="shared" si="124"/>
        <v>160.29</v>
      </c>
      <c r="H234" s="20">
        <f t="shared" si="125"/>
        <v>160.29</v>
      </c>
      <c r="I234" s="2097">
        <f>面积表!G228</f>
        <v>160.29</v>
      </c>
      <c r="J234" s="2097">
        <v>0</v>
      </c>
      <c r="K234" s="2097">
        <v>0</v>
      </c>
      <c r="L234" s="2097">
        <v>0</v>
      </c>
      <c r="M234" s="39"/>
      <c r="N234" s="39"/>
      <c r="O234" s="39"/>
      <c r="P234" s="39"/>
      <c r="Q234" s="39"/>
      <c r="R234" s="39"/>
      <c r="S234" s="39"/>
      <c r="T234" s="39"/>
      <c r="U234" s="39"/>
      <c r="V234" s="39"/>
      <c r="W234" s="39"/>
      <c r="X234" s="39"/>
      <c r="Y234" s="39"/>
      <c r="Z234" s="39"/>
      <c r="AA234" s="39"/>
      <c r="AB234" s="39"/>
      <c r="AC234" s="16">
        <f t="shared" si="126"/>
        <v>0</v>
      </c>
      <c r="AD234" s="2098"/>
      <c r="AE234" s="2098"/>
      <c r="AF234" s="2098"/>
      <c r="AG234" s="2098"/>
      <c r="AH234" s="2098"/>
      <c r="AI234" s="2098"/>
      <c r="AJ234" s="2098"/>
      <c r="AK234" s="2098"/>
      <c r="AL234" s="2098"/>
      <c r="AM234" s="2098"/>
      <c r="AN234" s="2098"/>
      <c r="AO234" s="2098"/>
      <c r="AP234" s="2098"/>
      <c r="AQ234" s="2098"/>
      <c r="AR234" s="2098"/>
      <c r="AS234" s="2098"/>
      <c r="AT234" s="2099"/>
      <c r="AU234" s="2100"/>
      <c r="AV234" s="24">
        <f t="shared" si="127"/>
        <v>0</v>
      </c>
      <c r="AW234" s="24" t="str">
        <f t="shared" si="128"/>
        <v>京（2017）朝不动产权第0024977号</v>
      </c>
      <c r="AX234" s="24" t="str">
        <f t="shared" si="129"/>
        <v>2202-5</v>
      </c>
      <c r="AY234" s="42">
        <f t="shared" si="130"/>
        <v>16.16</v>
      </c>
      <c r="AZ234" s="16">
        <f t="shared" si="131"/>
        <v>160.29</v>
      </c>
      <c r="BA234" s="16">
        <f t="shared" si="132"/>
        <v>160.29</v>
      </c>
      <c r="BB234" s="16">
        <f t="shared" si="133"/>
        <v>160.29</v>
      </c>
      <c r="BC234" s="16">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59" t="str">
        <f>面积表!B229</f>
        <v>京（2017）朝不动产权第0024995号</v>
      </c>
      <c r="C235" s="1259" t="str">
        <f>面积表!C229</f>
        <v>2202-6</v>
      </c>
      <c r="D235" s="2096" t="s">
        <v>3434</v>
      </c>
      <c r="E235" s="16">
        <f t="shared" si="123"/>
        <v>26.35</v>
      </c>
      <c r="F235" s="32"/>
      <c r="G235" s="33">
        <f t="shared" si="124"/>
        <v>261.27999999999997</v>
      </c>
      <c r="H235" s="20">
        <f t="shared" si="125"/>
        <v>261.27999999999997</v>
      </c>
      <c r="I235" s="2097">
        <f>面积表!G229</f>
        <v>261.27999999999997</v>
      </c>
      <c r="J235" s="2097">
        <v>0</v>
      </c>
      <c r="K235" s="2097">
        <v>0</v>
      </c>
      <c r="L235" s="2097">
        <v>0</v>
      </c>
      <c r="M235" s="39"/>
      <c r="N235" s="39"/>
      <c r="O235" s="39"/>
      <c r="P235" s="39"/>
      <c r="Q235" s="39"/>
      <c r="R235" s="39"/>
      <c r="S235" s="39"/>
      <c r="T235" s="39"/>
      <c r="U235" s="39"/>
      <c r="V235" s="39"/>
      <c r="W235" s="39"/>
      <c r="X235" s="39"/>
      <c r="Y235" s="39"/>
      <c r="Z235" s="39"/>
      <c r="AA235" s="39"/>
      <c r="AB235" s="39"/>
      <c r="AC235" s="16">
        <f t="shared" si="126"/>
        <v>0</v>
      </c>
      <c r="AD235" s="2098"/>
      <c r="AE235" s="2098"/>
      <c r="AF235" s="2098"/>
      <c r="AG235" s="2098"/>
      <c r="AH235" s="2098"/>
      <c r="AI235" s="2098"/>
      <c r="AJ235" s="2098"/>
      <c r="AK235" s="2098"/>
      <c r="AL235" s="2098"/>
      <c r="AM235" s="2098"/>
      <c r="AN235" s="2098"/>
      <c r="AO235" s="2098"/>
      <c r="AP235" s="2098"/>
      <c r="AQ235" s="2098"/>
      <c r="AR235" s="2098"/>
      <c r="AS235" s="2098"/>
      <c r="AT235" s="2099"/>
      <c r="AU235" s="2100"/>
      <c r="AV235" s="24">
        <f t="shared" si="127"/>
        <v>0</v>
      </c>
      <c r="AW235" s="24" t="str">
        <f t="shared" si="128"/>
        <v>京（2017）朝不动产权第0024995号</v>
      </c>
      <c r="AX235" s="24" t="str">
        <f t="shared" si="129"/>
        <v>2202-6</v>
      </c>
      <c r="AY235" s="42">
        <f t="shared" si="130"/>
        <v>26.35</v>
      </c>
      <c r="AZ235" s="16">
        <f t="shared" si="131"/>
        <v>261.27999999999997</v>
      </c>
      <c r="BA235" s="16">
        <f t="shared" si="132"/>
        <v>261.27999999999997</v>
      </c>
      <c r="BB235" s="16">
        <f t="shared" si="133"/>
        <v>261.27999999999997</v>
      </c>
      <c r="BC235" s="16">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59" t="str">
        <f>面积表!B230</f>
        <v>京（2017）朝不动产权第0024997号</v>
      </c>
      <c r="C236" s="1259" t="str">
        <f>面积表!C230</f>
        <v>2301-1</v>
      </c>
      <c r="D236" s="2096" t="s">
        <v>3434</v>
      </c>
      <c r="E236" s="16">
        <f t="shared" si="123"/>
        <v>16.96</v>
      </c>
      <c r="F236" s="32"/>
      <c r="G236" s="33">
        <f t="shared" si="124"/>
        <v>168.22</v>
      </c>
      <c r="H236" s="20">
        <f t="shared" si="125"/>
        <v>168.22</v>
      </c>
      <c r="I236" s="2097">
        <f>面积表!G230</f>
        <v>168.22</v>
      </c>
      <c r="J236" s="2097">
        <v>0</v>
      </c>
      <c r="K236" s="2097">
        <v>0</v>
      </c>
      <c r="L236" s="2097">
        <v>0</v>
      </c>
      <c r="M236" s="39"/>
      <c r="N236" s="39"/>
      <c r="O236" s="39"/>
      <c r="P236" s="39"/>
      <c r="Q236" s="39"/>
      <c r="R236" s="39"/>
      <c r="S236" s="39"/>
      <c r="T236" s="39"/>
      <c r="U236" s="39"/>
      <c r="V236" s="39"/>
      <c r="W236" s="39"/>
      <c r="X236" s="39"/>
      <c r="Y236" s="39"/>
      <c r="Z236" s="39"/>
      <c r="AA236" s="39"/>
      <c r="AB236" s="39"/>
      <c r="AC236" s="16">
        <f t="shared" si="126"/>
        <v>0</v>
      </c>
      <c r="AD236" s="2098"/>
      <c r="AE236" s="2098"/>
      <c r="AF236" s="2098"/>
      <c r="AG236" s="2098"/>
      <c r="AH236" s="2098"/>
      <c r="AI236" s="2098"/>
      <c r="AJ236" s="2098"/>
      <c r="AK236" s="2098"/>
      <c r="AL236" s="2098"/>
      <c r="AM236" s="2098"/>
      <c r="AN236" s="2098"/>
      <c r="AO236" s="2098"/>
      <c r="AP236" s="2098"/>
      <c r="AQ236" s="2098"/>
      <c r="AR236" s="2098"/>
      <c r="AS236" s="2098"/>
      <c r="AT236" s="2099"/>
      <c r="AU236" s="2100"/>
      <c r="AV236" s="24">
        <f t="shared" si="127"/>
        <v>0</v>
      </c>
      <c r="AW236" s="24" t="str">
        <f t="shared" si="128"/>
        <v>京（2017）朝不动产权第0024997号</v>
      </c>
      <c r="AX236" s="24" t="str">
        <f t="shared" si="129"/>
        <v>2301-1</v>
      </c>
      <c r="AY236" s="42">
        <f t="shared" si="130"/>
        <v>16.96</v>
      </c>
      <c r="AZ236" s="16">
        <f t="shared" si="131"/>
        <v>168.22</v>
      </c>
      <c r="BA236" s="16">
        <f t="shared" si="132"/>
        <v>168.22</v>
      </c>
      <c r="BB236" s="16">
        <f t="shared" si="133"/>
        <v>168.22</v>
      </c>
      <c r="BC236" s="16">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59" t="str">
        <f>面积表!B231</f>
        <v>京（2017）朝不动产权第0025005号</v>
      </c>
      <c r="C237" s="1259" t="str">
        <f>面积表!C231</f>
        <v>2301-2</v>
      </c>
      <c r="D237" s="2096" t="s">
        <v>3434</v>
      </c>
      <c r="E237" s="16">
        <f t="shared" si="123"/>
        <v>16.16</v>
      </c>
      <c r="F237" s="32"/>
      <c r="G237" s="33">
        <f t="shared" si="124"/>
        <v>160.29</v>
      </c>
      <c r="H237" s="20">
        <f t="shared" si="125"/>
        <v>160.29</v>
      </c>
      <c r="I237" s="2097">
        <f>面积表!G231</f>
        <v>160.29</v>
      </c>
      <c r="J237" s="2097">
        <v>0</v>
      </c>
      <c r="K237" s="2097">
        <v>0</v>
      </c>
      <c r="L237" s="2097">
        <v>0</v>
      </c>
      <c r="M237" s="39"/>
      <c r="N237" s="39"/>
      <c r="O237" s="39"/>
      <c r="P237" s="39"/>
      <c r="Q237" s="39"/>
      <c r="R237" s="39"/>
      <c r="S237" s="39"/>
      <c r="T237" s="39"/>
      <c r="U237" s="39"/>
      <c r="V237" s="39"/>
      <c r="W237" s="39"/>
      <c r="X237" s="39"/>
      <c r="Y237" s="39"/>
      <c r="Z237" s="39"/>
      <c r="AA237" s="39"/>
      <c r="AB237" s="39"/>
      <c r="AC237" s="16">
        <f t="shared" si="126"/>
        <v>0</v>
      </c>
      <c r="AD237" s="2098"/>
      <c r="AE237" s="2098"/>
      <c r="AF237" s="2098"/>
      <c r="AG237" s="2098"/>
      <c r="AH237" s="2098"/>
      <c r="AI237" s="2098"/>
      <c r="AJ237" s="2098"/>
      <c r="AK237" s="2098"/>
      <c r="AL237" s="2098"/>
      <c r="AM237" s="2098"/>
      <c r="AN237" s="2098"/>
      <c r="AO237" s="2098"/>
      <c r="AP237" s="2098"/>
      <c r="AQ237" s="2098"/>
      <c r="AR237" s="2098"/>
      <c r="AS237" s="2098"/>
      <c r="AT237" s="2099"/>
      <c r="AU237" s="2100"/>
      <c r="AV237" s="24">
        <f t="shared" si="127"/>
        <v>0</v>
      </c>
      <c r="AW237" s="24" t="str">
        <f t="shared" si="128"/>
        <v>京（2017）朝不动产权第0025005号</v>
      </c>
      <c r="AX237" s="24" t="str">
        <f t="shared" si="129"/>
        <v>2301-2</v>
      </c>
      <c r="AY237" s="42">
        <f t="shared" si="130"/>
        <v>16.16</v>
      </c>
      <c r="AZ237" s="16">
        <f t="shared" si="131"/>
        <v>160.29</v>
      </c>
      <c r="BA237" s="16">
        <f t="shared" si="132"/>
        <v>160.29</v>
      </c>
      <c r="BB237" s="16">
        <f t="shared" si="133"/>
        <v>160.29</v>
      </c>
      <c r="BC237" s="16">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59" t="str">
        <f>面积表!B232</f>
        <v>京（2017）朝不动产权第0025045号</v>
      </c>
      <c r="C238" s="1259" t="str">
        <f>面积表!C232</f>
        <v>2301-3</v>
      </c>
      <c r="D238" s="2096" t="s">
        <v>3434</v>
      </c>
      <c r="E238" s="16">
        <f t="shared" si="123"/>
        <v>29.43</v>
      </c>
      <c r="F238" s="32"/>
      <c r="G238" s="33">
        <f t="shared" si="124"/>
        <v>291.82</v>
      </c>
      <c r="H238" s="20">
        <f t="shared" si="125"/>
        <v>291.82</v>
      </c>
      <c r="I238" s="2097">
        <f>面积表!G232</f>
        <v>291.82</v>
      </c>
      <c r="J238" s="2097">
        <v>0</v>
      </c>
      <c r="K238" s="2097">
        <v>0</v>
      </c>
      <c r="L238" s="2097">
        <v>0</v>
      </c>
      <c r="M238" s="39"/>
      <c r="N238" s="39"/>
      <c r="O238" s="39"/>
      <c r="P238" s="39"/>
      <c r="Q238" s="39"/>
      <c r="R238" s="39"/>
      <c r="S238" s="39"/>
      <c r="T238" s="39"/>
      <c r="U238" s="39"/>
      <c r="V238" s="39"/>
      <c r="W238" s="39"/>
      <c r="X238" s="39"/>
      <c r="Y238" s="39"/>
      <c r="Z238" s="39"/>
      <c r="AA238" s="39"/>
      <c r="AB238" s="39"/>
      <c r="AC238" s="16">
        <f t="shared" si="126"/>
        <v>0</v>
      </c>
      <c r="AD238" s="2098"/>
      <c r="AE238" s="2098"/>
      <c r="AF238" s="2098"/>
      <c r="AG238" s="2098"/>
      <c r="AH238" s="2098"/>
      <c r="AI238" s="2098"/>
      <c r="AJ238" s="2098"/>
      <c r="AK238" s="2098"/>
      <c r="AL238" s="2098"/>
      <c r="AM238" s="2098"/>
      <c r="AN238" s="2098"/>
      <c r="AO238" s="2098"/>
      <c r="AP238" s="2098"/>
      <c r="AQ238" s="2098"/>
      <c r="AR238" s="2098"/>
      <c r="AS238" s="2098"/>
      <c r="AT238" s="2099"/>
      <c r="AU238" s="2100"/>
      <c r="AV238" s="24">
        <f t="shared" si="127"/>
        <v>0</v>
      </c>
      <c r="AW238" s="24" t="str">
        <f t="shared" si="128"/>
        <v>京（2017）朝不动产权第0025045号</v>
      </c>
      <c r="AX238" s="24" t="str">
        <f t="shared" si="129"/>
        <v>2301-3</v>
      </c>
      <c r="AY238" s="42">
        <f t="shared" si="130"/>
        <v>29.43</v>
      </c>
      <c r="AZ238" s="16">
        <f t="shared" si="131"/>
        <v>291.82</v>
      </c>
      <c r="BA238" s="16">
        <f t="shared" si="132"/>
        <v>291.82</v>
      </c>
      <c r="BB238" s="16">
        <f t="shared" si="133"/>
        <v>291.82</v>
      </c>
      <c r="BC238" s="16">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59" t="str">
        <f>面积表!B233</f>
        <v>京（2017）朝不动产权第0025264号</v>
      </c>
      <c r="C239" s="1259" t="str">
        <f>面积表!C233</f>
        <v>2301-4</v>
      </c>
      <c r="D239" s="2096" t="s">
        <v>3434</v>
      </c>
      <c r="E239" s="16">
        <f t="shared" si="123"/>
        <v>16.920000000000002</v>
      </c>
      <c r="F239" s="32"/>
      <c r="G239" s="33">
        <f t="shared" si="124"/>
        <v>167.79</v>
      </c>
      <c r="H239" s="20">
        <f t="shared" si="125"/>
        <v>167.79</v>
      </c>
      <c r="I239" s="2097">
        <f>面积表!G233</f>
        <v>167.79</v>
      </c>
      <c r="J239" s="2097">
        <v>0</v>
      </c>
      <c r="K239" s="2097">
        <v>0</v>
      </c>
      <c r="L239" s="2097">
        <v>0</v>
      </c>
      <c r="M239" s="39"/>
      <c r="N239" s="39"/>
      <c r="O239" s="39"/>
      <c r="P239" s="39"/>
      <c r="Q239" s="39"/>
      <c r="R239" s="39"/>
      <c r="S239" s="39"/>
      <c r="T239" s="39"/>
      <c r="U239" s="39"/>
      <c r="V239" s="39"/>
      <c r="W239" s="39"/>
      <c r="X239" s="39"/>
      <c r="Y239" s="39"/>
      <c r="Z239" s="39"/>
      <c r="AA239" s="39"/>
      <c r="AB239" s="39"/>
      <c r="AC239" s="16">
        <f t="shared" si="126"/>
        <v>0</v>
      </c>
      <c r="AD239" s="2098"/>
      <c r="AE239" s="2098"/>
      <c r="AF239" s="2098"/>
      <c r="AG239" s="2098"/>
      <c r="AH239" s="2098"/>
      <c r="AI239" s="2098"/>
      <c r="AJ239" s="2098"/>
      <c r="AK239" s="2098"/>
      <c r="AL239" s="2098"/>
      <c r="AM239" s="2098"/>
      <c r="AN239" s="2098"/>
      <c r="AO239" s="2098"/>
      <c r="AP239" s="2098"/>
      <c r="AQ239" s="2098"/>
      <c r="AR239" s="2098"/>
      <c r="AS239" s="2098"/>
      <c r="AT239" s="2099"/>
      <c r="AU239" s="2100"/>
      <c r="AV239" s="24">
        <f t="shared" si="127"/>
        <v>0</v>
      </c>
      <c r="AW239" s="24" t="str">
        <f t="shared" si="128"/>
        <v>京（2017）朝不动产权第0025264号</v>
      </c>
      <c r="AX239" s="24" t="str">
        <f t="shared" si="129"/>
        <v>2301-4</v>
      </c>
      <c r="AY239" s="42">
        <f t="shared" si="130"/>
        <v>16.920000000000002</v>
      </c>
      <c r="AZ239" s="16">
        <f t="shared" si="131"/>
        <v>167.79</v>
      </c>
      <c r="BA239" s="16">
        <f t="shared" si="132"/>
        <v>167.79</v>
      </c>
      <c r="BB239" s="16">
        <f t="shared" si="133"/>
        <v>167.79</v>
      </c>
      <c r="BC239" s="16">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59" t="str">
        <f>面积表!B234</f>
        <v>京（2017）朝不动产权第0025316号</v>
      </c>
      <c r="C240" s="1259" t="str">
        <f>面积表!C234</f>
        <v>2301-5</v>
      </c>
      <c r="D240" s="2096" t="s">
        <v>3434</v>
      </c>
      <c r="E240" s="16">
        <f t="shared" si="123"/>
        <v>16.16</v>
      </c>
      <c r="F240" s="32"/>
      <c r="G240" s="33">
        <f t="shared" si="124"/>
        <v>160.29</v>
      </c>
      <c r="H240" s="20">
        <f t="shared" si="125"/>
        <v>160.29</v>
      </c>
      <c r="I240" s="2097">
        <f>面积表!G234</f>
        <v>160.29</v>
      </c>
      <c r="J240" s="2097">
        <v>0</v>
      </c>
      <c r="K240" s="2097">
        <v>0</v>
      </c>
      <c r="L240" s="2097">
        <v>0</v>
      </c>
      <c r="M240" s="39"/>
      <c r="N240" s="39"/>
      <c r="O240" s="39"/>
      <c r="P240" s="39"/>
      <c r="Q240" s="39"/>
      <c r="R240" s="39"/>
      <c r="S240" s="39"/>
      <c r="T240" s="39"/>
      <c r="U240" s="39"/>
      <c r="V240" s="39"/>
      <c r="W240" s="39"/>
      <c r="X240" s="39"/>
      <c r="Y240" s="39"/>
      <c r="Z240" s="39"/>
      <c r="AA240" s="39"/>
      <c r="AB240" s="39"/>
      <c r="AC240" s="16">
        <f t="shared" si="126"/>
        <v>0</v>
      </c>
      <c r="AD240" s="2098"/>
      <c r="AE240" s="2098"/>
      <c r="AF240" s="2098"/>
      <c r="AG240" s="2098"/>
      <c r="AH240" s="2098"/>
      <c r="AI240" s="2098"/>
      <c r="AJ240" s="2098"/>
      <c r="AK240" s="2098"/>
      <c r="AL240" s="2098"/>
      <c r="AM240" s="2098"/>
      <c r="AN240" s="2098"/>
      <c r="AO240" s="2098"/>
      <c r="AP240" s="2098"/>
      <c r="AQ240" s="2098"/>
      <c r="AR240" s="2098"/>
      <c r="AS240" s="2098"/>
      <c r="AT240" s="2099"/>
      <c r="AU240" s="2100"/>
      <c r="AV240" s="24">
        <f t="shared" si="127"/>
        <v>0</v>
      </c>
      <c r="AW240" s="24" t="str">
        <f t="shared" si="128"/>
        <v>京（2017）朝不动产权第0025316号</v>
      </c>
      <c r="AX240" s="24" t="str">
        <f t="shared" si="129"/>
        <v>2301-5</v>
      </c>
      <c r="AY240" s="42">
        <f t="shared" si="130"/>
        <v>16.16</v>
      </c>
      <c r="AZ240" s="16">
        <f t="shared" si="131"/>
        <v>160.29</v>
      </c>
      <c r="BA240" s="16">
        <f t="shared" si="132"/>
        <v>160.29</v>
      </c>
      <c r="BB240" s="16">
        <f t="shared" si="133"/>
        <v>160.29</v>
      </c>
      <c r="BC240" s="16">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59" t="str">
        <f>面积表!B235</f>
        <v>京（2017）朝不动产权第0025342号</v>
      </c>
      <c r="C241" s="1259" t="str">
        <f>面积表!C235</f>
        <v>2301-6</v>
      </c>
      <c r="D241" s="2096" t="s">
        <v>3434</v>
      </c>
      <c r="E241" s="16">
        <f t="shared" si="123"/>
        <v>26.35</v>
      </c>
      <c r="F241" s="32"/>
      <c r="G241" s="33">
        <f t="shared" si="124"/>
        <v>261.27999999999997</v>
      </c>
      <c r="H241" s="20">
        <f t="shared" si="125"/>
        <v>261.27999999999997</v>
      </c>
      <c r="I241" s="2097">
        <f>面积表!G235</f>
        <v>261.27999999999997</v>
      </c>
      <c r="J241" s="2097">
        <v>0</v>
      </c>
      <c r="K241" s="2097">
        <v>0</v>
      </c>
      <c r="L241" s="2097">
        <v>0</v>
      </c>
      <c r="M241" s="39"/>
      <c r="N241" s="39"/>
      <c r="O241" s="39"/>
      <c r="P241" s="39"/>
      <c r="Q241" s="39"/>
      <c r="R241" s="39"/>
      <c r="S241" s="39"/>
      <c r="T241" s="39"/>
      <c r="U241" s="39"/>
      <c r="V241" s="39"/>
      <c r="W241" s="39"/>
      <c r="X241" s="39"/>
      <c r="Y241" s="39"/>
      <c r="Z241" s="39"/>
      <c r="AA241" s="39"/>
      <c r="AB241" s="39"/>
      <c r="AC241" s="16">
        <f t="shared" si="126"/>
        <v>0</v>
      </c>
      <c r="AD241" s="2098"/>
      <c r="AE241" s="2098"/>
      <c r="AF241" s="2098"/>
      <c r="AG241" s="2098"/>
      <c r="AH241" s="2098"/>
      <c r="AI241" s="2098"/>
      <c r="AJ241" s="2098"/>
      <c r="AK241" s="2098"/>
      <c r="AL241" s="2098"/>
      <c r="AM241" s="2098"/>
      <c r="AN241" s="2098"/>
      <c r="AO241" s="2098"/>
      <c r="AP241" s="2098"/>
      <c r="AQ241" s="2098"/>
      <c r="AR241" s="2098"/>
      <c r="AS241" s="2098"/>
      <c r="AT241" s="2099"/>
      <c r="AU241" s="2100"/>
      <c r="AV241" s="24">
        <f t="shared" si="127"/>
        <v>0</v>
      </c>
      <c r="AW241" s="24" t="str">
        <f t="shared" si="128"/>
        <v>京（2017）朝不动产权第0025342号</v>
      </c>
      <c r="AX241" s="24" t="str">
        <f t="shared" si="129"/>
        <v>2301-6</v>
      </c>
      <c r="AY241" s="42">
        <f t="shared" si="130"/>
        <v>26.35</v>
      </c>
      <c r="AZ241" s="16">
        <f t="shared" si="131"/>
        <v>261.27999999999997</v>
      </c>
      <c r="BA241" s="16">
        <f t="shared" si="132"/>
        <v>261.27999999999997</v>
      </c>
      <c r="BB241" s="16">
        <f t="shared" si="133"/>
        <v>261.27999999999997</v>
      </c>
      <c r="BC241" s="16">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1259"/>
      <c r="D242" s="2101"/>
      <c r="E242" s="35">
        <f t="shared" si="123"/>
        <v>0</v>
      </c>
      <c r="F242" s="36"/>
      <c r="G242" s="33">
        <f t="shared" si="124"/>
        <v>0</v>
      </c>
      <c r="H242" s="20">
        <f t="shared" si="125"/>
        <v>0</v>
      </c>
      <c r="I242" s="2097"/>
      <c r="J242" s="39"/>
      <c r="K242" s="39"/>
      <c r="L242" s="39"/>
      <c r="M242" s="39"/>
      <c r="N242" s="39"/>
      <c r="O242" s="39"/>
      <c r="P242" s="39"/>
      <c r="Q242" s="39"/>
      <c r="R242" s="39"/>
      <c r="S242" s="39"/>
      <c r="T242" s="39"/>
      <c r="U242" s="39"/>
      <c r="V242" s="39"/>
      <c r="W242" s="39"/>
      <c r="X242" s="39"/>
      <c r="Y242" s="39"/>
      <c r="Z242" s="39"/>
      <c r="AA242" s="39"/>
      <c r="AB242" s="39"/>
      <c r="AC242" s="16">
        <f t="shared" si="126"/>
        <v>0</v>
      </c>
      <c r="AD242" s="2098"/>
      <c r="AE242" s="2098"/>
      <c r="AF242" s="2098"/>
      <c r="AG242" s="2098"/>
      <c r="AH242" s="2098"/>
      <c r="AI242" s="2098"/>
      <c r="AJ242" s="2098"/>
      <c r="AK242" s="2098"/>
      <c r="AL242" s="2098"/>
      <c r="AM242" s="2098"/>
      <c r="AN242" s="2098"/>
      <c r="AO242" s="2098"/>
      <c r="AP242" s="2098"/>
      <c r="AQ242" s="2098"/>
      <c r="AR242" s="2098"/>
      <c r="AS242" s="2098"/>
      <c r="AT242" s="2099"/>
      <c r="AU242" s="2100"/>
      <c r="AV242" s="24">
        <f t="shared" si="127"/>
        <v>0</v>
      </c>
      <c r="AW242" s="2811">
        <f t="shared" si="128"/>
        <v>0</v>
      </c>
      <c r="AX242" s="281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1259"/>
      <c r="D243" s="2101"/>
      <c r="E243" s="35">
        <f t="shared" si="123"/>
        <v>0</v>
      </c>
      <c r="F243" s="36"/>
      <c r="G243" s="33">
        <f t="shared" si="124"/>
        <v>0</v>
      </c>
      <c r="H243" s="20">
        <f t="shared" si="125"/>
        <v>0</v>
      </c>
      <c r="I243" s="2097"/>
      <c r="J243" s="39"/>
      <c r="K243" s="39"/>
      <c r="L243" s="39"/>
      <c r="M243" s="39"/>
      <c r="N243" s="39"/>
      <c r="O243" s="39"/>
      <c r="P243" s="39"/>
      <c r="Q243" s="39"/>
      <c r="R243" s="39"/>
      <c r="S243" s="39"/>
      <c r="T243" s="39"/>
      <c r="U243" s="39"/>
      <c r="V243" s="39"/>
      <c r="W243" s="39"/>
      <c r="X243" s="39"/>
      <c r="Y243" s="39"/>
      <c r="Z243" s="39"/>
      <c r="AA243" s="39"/>
      <c r="AB243" s="39"/>
      <c r="AC243" s="16">
        <f t="shared" si="126"/>
        <v>0</v>
      </c>
      <c r="AD243" s="2098"/>
      <c r="AE243" s="2098"/>
      <c r="AF243" s="2098"/>
      <c r="AG243" s="2098"/>
      <c r="AH243" s="2098"/>
      <c r="AI243" s="2098"/>
      <c r="AJ243" s="2098"/>
      <c r="AK243" s="2098"/>
      <c r="AL243" s="2098"/>
      <c r="AM243" s="2098"/>
      <c r="AN243" s="2098"/>
      <c r="AO243" s="2098"/>
      <c r="AP243" s="2098"/>
      <c r="AQ243" s="2098"/>
      <c r="AR243" s="2098"/>
      <c r="AS243" s="2098"/>
      <c r="AT243" s="2099"/>
      <c r="AU243" s="2100"/>
      <c r="AV243" s="24">
        <f t="shared" si="127"/>
        <v>0</v>
      </c>
      <c r="AW243" s="2811">
        <f t="shared" si="128"/>
        <v>0</v>
      </c>
      <c r="AX243" s="281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01"/>
      <c r="E244" s="35">
        <f t="shared" si="123"/>
        <v>0</v>
      </c>
      <c r="F244" s="36"/>
      <c r="G244" s="33">
        <f t="shared" si="124"/>
        <v>0</v>
      </c>
      <c r="H244" s="20">
        <f t="shared" si="125"/>
        <v>0</v>
      </c>
      <c r="I244" s="2097"/>
      <c r="J244" s="39"/>
      <c r="K244" s="39"/>
      <c r="L244" s="39"/>
      <c r="M244" s="39"/>
      <c r="N244" s="39"/>
      <c r="O244" s="39"/>
      <c r="P244" s="39"/>
      <c r="Q244" s="39"/>
      <c r="R244" s="39"/>
      <c r="S244" s="39"/>
      <c r="T244" s="39"/>
      <c r="U244" s="39"/>
      <c r="V244" s="39"/>
      <c r="W244" s="39"/>
      <c r="X244" s="39"/>
      <c r="Y244" s="39"/>
      <c r="Z244" s="39"/>
      <c r="AA244" s="39"/>
      <c r="AB244" s="39"/>
      <c r="AC244" s="16">
        <f t="shared" si="126"/>
        <v>0</v>
      </c>
      <c r="AD244" s="2098"/>
      <c r="AE244" s="2098"/>
      <c r="AF244" s="2098"/>
      <c r="AG244" s="2098"/>
      <c r="AH244" s="2098"/>
      <c r="AI244" s="2098"/>
      <c r="AJ244" s="2098"/>
      <c r="AK244" s="2098"/>
      <c r="AL244" s="2098"/>
      <c r="AM244" s="2098"/>
      <c r="AN244" s="2098"/>
      <c r="AO244" s="2098"/>
      <c r="AP244" s="2098"/>
      <c r="AQ244" s="2098"/>
      <c r="AR244" s="2098"/>
      <c r="AS244" s="2098"/>
      <c r="AT244" s="2099"/>
      <c r="AU244" s="2100"/>
      <c r="AV244" s="24">
        <f t="shared" si="127"/>
        <v>0</v>
      </c>
      <c r="AW244" s="2811">
        <f t="shared" si="128"/>
        <v>0</v>
      </c>
      <c r="AX244" s="281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01"/>
      <c r="E245" s="35">
        <f t="shared" si="123"/>
        <v>0</v>
      </c>
      <c r="F245" s="36"/>
      <c r="G245" s="33">
        <f t="shared" si="124"/>
        <v>0</v>
      </c>
      <c r="H245" s="20">
        <f t="shared" si="125"/>
        <v>0</v>
      </c>
      <c r="I245" s="2097"/>
      <c r="J245" s="39"/>
      <c r="K245" s="39"/>
      <c r="L245" s="39"/>
      <c r="M245" s="39"/>
      <c r="N245" s="39"/>
      <c r="O245" s="39"/>
      <c r="P245" s="39"/>
      <c r="Q245" s="39"/>
      <c r="R245" s="39"/>
      <c r="S245" s="39"/>
      <c r="T245" s="39"/>
      <c r="U245" s="39"/>
      <c r="V245" s="39"/>
      <c r="W245" s="39"/>
      <c r="X245" s="39"/>
      <c r="Y245" s="39"/>
      <c r="Z245" s="39"/>
      <c r="AA245" s="39"/>
      <c r="AB245" s="39"/>
      <c r="AC245" s="16">
        <f t="shared" si="126"/>
        <v>0</v>
      </c>
      <c r="AD245" s="2098"/>
      <c r="AE245" s="2098"/>
      <c r="AF245" s="2098"/>
      <c r="AG245" s="2098"/>
      <c r="AH245" s="2098"/>
      <c r="AI245" s="2098"/>
      <c r="AJ245" s="2098"/>
      <c r="AK245" s="2098"/>
      <c r="AL245" s="2098"/>
      <c r="AM245" s="2098"/>
      <c r="AN245" s="2098"/>
      <c r="AO245" s="2098"/>
      <c r="AP245" s="2098"/>
      <c r="AQ245" s="2098"/>
      <c r="AR245" s="2098"/>
      <c r="AS245" s="2098"/>
      <c r="AT245" s="2099"/>
      <c r="AU245" s="2100"/>
      <c r="AV245" s="24">
        <f t="shared" si="127"/>
        <v>0</v>
      </c>
      <c r="AW245" s="2811">
        <f t="shared" si="128"/>
        <v>0</v>
      </c>
      <c r="AX245" s="281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01"/>
      <c r="E246" s="35">
        <f t="shared" si="123"/>
        <v>0</v>
      </c>
      <c r="F246" s="36"/>
      <c r="G246" s="33">
        <f t="shared" si="124"/>
        <v>0</v>
      </c>
      <c r="H246" s="20">
        <f t="shared" si="125"/>
        <v>0</v>
      </c>
      <c r="I246" s="2097"/>
      <c r="J246" s="39"/>
      <c r="K246" s="39"/>
      <c r="L246" s="39"/>
      <c r="M246" s="39"/>
      <c r="N246" s="39"/>
      <c r="O246" s="39"/>
      <c r="P246" s="39"/>
      <c r="Q246" s="39"/>
      <c r="R246" s="39"/>
      <c r="S246" s="39"/>
      <c r="T246" s="39"/>
      <c r="U246" s="39"/>
      <c r="V246" s="39"/>
      <c r="W246" s="39"/>
      <c r="X246" s="39"/>
      <c r="Y246" s="39"/>
      <c r="Z246" s="39"/>
      <c r="AA246" s="39"/>
      <c r="AB246" s="39"/>
      <c r="AC246" s="16">
        <f t="shared" si="126"/>
        <v>0</v>
      </c>
      <c r="AD246" s="2098"/>
      <c r="AE246" s="2098"/>
      <c r="AF246" s="2098"/>
      <c r="AG246" s="2098"/>
      <c r="AH246" s="2098"/>
      <c r="AI246" s="2098"/>
      <c r="AJ246" s="2098"/>
      <c r="AK246" s="2098"/>
      <c r="AL246" s="2098"/>
      <c r="AM246" s="2098"/>
      <c r="AN246" s="2098"/>
      <c r="AO246" s="2098"/>
      <c r="AP246" s="2098"/>
      <c r="AQ246" s="2098"/>
      <c r="AR246" s="2098"/>
      <c r="AS246" s="2098"/>
      <c r="AT246" s="2099"/>
      <c r="AU246" s="2100"/>
      <c r="AV246" s="24">
        <f t="shared" si="127"/>
        <v>0</v>
      </c>
      <c r="AW246" s="2811">
        <f t="shared" si="128"/>
        <v>0</v>
      </c>
      <c r="AX246" s="281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01"/>
      <c r="E247" s="35">
        <f t="shared" si="123"/>
        <v>0</v>
      </c>
      <c r="F247" s="36"/>
      <c r="G247" s="33">
        <f t="shared" si="124"/>
        <v>0</v>
      </c>
      <c r="H247" s="20">
        <f t="shared" si="125"/>
        <v>0</v>
      </c>
      <c r="I247" s="2097"/>
      <c r="J247" s="39"/>
      <c r="K247" s="39"/>
      <c r="L247" s="39"/>
      <c r="M247" s="39"/>
      <c r="N247" s="39"/>
      <c r="O247" s="39"/>
      <c r="P247" s="39"/>
      <c r="Q247" s="39"/>
      <c r="R247" s="39"/>
      <c r="S247" s="39"/>
      <c r="T247" s="39"/>
      <c r="U247" s="39"/>
      <c r="V247" s="39"/>
      <c r="W247" s="39"/>
      <c r="X247" s="39"/>
      <c r="Y247" s="39"/>
      <c r="Z247" s="39"/>
      <c r="AA247" s="39"/>
      <c r="AB247" s="39"/>
      <c r="AC247" s="16">
        <f t="shared" si="126"/>
        <v>0</v>
      </c>
      <c r="AD247" s="2098"/>
      <c r="AE247" s="2098"/>
      <c r="AF247" s="2098"/>
      <c r="AG247" s="2098"/>
      <c r="AH247" s="2098"/>
      <c r="AI247" s="2098"/>
      <c r="AJ247" s="2098"/>
      <c r="AK247" s="2098"/>
      <c r="AL247" s="2098"/>
      <c r="AM247" s="2098"/>
      <c r="AN247" s="2098"/>
      <c r="AO247" s="2098"/>
      <c r="AP247" s="2098"/>
      <c r="AQ247" s="2098"/>
      <c r="AR247" s="2098"/>
      <c r="AS247" s="2098"/>
      <c r="AT247" s="2099"/>
      <c r="AU247" s="2100"/>
      <c r="AV247" s="24">
        <f t="shared" si="127"/>
        <v>0</v>
      </c>
      <c r="AW247" s="2811">
        <f t="shared" si="128"/>
        <v>0</v>
      </c>
      <c r="AX247" s="281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01"/>
      <c r="E248" s="35">
        <f t="shared" si="123"/>
        <v>0</v>
      </c>
      <c r="F248" s="36"/>
      <c r="G248" s="33">
        <f t="shared" si="124"/>
        <v>0</v>
      </c>
      <c r="H248" s="20">
        <f t="shared" si="125"/>
        <v>0</v>
      </c>
      <c r="I248" s="2097"/>
      <c r="J248" s="39"/>
      <c r="K248" s="39"/>
      <c r="L248" s="39"/>
      <c r="M248" s="39"/>
      <c r="N248" s="39"/>
      <c r="O248" s="39"/>
      <c r="P248" s="39"/>
      <c r="Q248" s="39"/>
      <c r="R248" s="39"/>
      <c r="S248" s="39"/>
      <c r="T248" s="39"/>
      <c r="U248" s="39"/>
      <c r="V248" s="39"/>
      <c r="W248" s="39"/>
      <c r="X248" s="39"/>
      <c r="Y248" s="39"/>
      <c r="Z248" s="39"/>
      <c r="AA248" s="39"/>
      <c r="AB248" s="39"/>
      <c r="AC248" s="16">
        <f t="shared" si="126"/>
        <v>0</v>
      </c>
      <c r="AD248" s="2098"/>
      <c r="AE248" s="2098"/>
      <c r="AF248" s="2098"/>
      <c r="AG248" s="2098"/>
      <c r="AH248" s="2098"/>
      <c r="AI248" s="2098"/>
      <c r="AJ248" s="2098"/>
      <c r="AK248" s="2098"/>
      <c r="AL248" s="2098"/>
      <c r="AM248" s="2098"/>
      <c r="AN248" s="2098"/>
      <c r="AO248" s="2098"/>
      <c r="AP248" s="2098"/>
      <c r="AQ248" s="2098"/>
      <c r="AR248" s="2098"/>
      <c r="AS248" s="2098"/>
      <c r="AT248" s="2099"/>
      <c r="AU248" s="2100"/>
      <c r="AV248" s="24">
        <f t="shared" si="127"/>
        <v>0</v>
      </c>
      <c r="AW248" s="2811">
        <f t="shared" si="128"/>
        <v>0</v>
      </c>
      <c r="AX248" s="281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01"/>
      <c r="E249" s="35">
        <f t="shared" si="123"/>
        <v>0</v>
      </c>
      <c r="F249" s="36"/>
      <c r="G249" s="33">
        <f t="shared" si="124"/>
        <v>0</v>
      </c>
      <c r="H249" s="20">
        <f t="shared" si="125"/>
        <v>0</v>
      </c>
      <c r="I249" s="2097"/>
      <c r="J249" s="39"/>
      <c r="K249" s="39"/>
      <c r="L249" s="39"/>
      <c r="M249" s="39"/>
      <c r="N249" s="39"/>
      <c r="O249" s="39"/>
      <c r="P249" s="39"/>
      <c r="Q249" s="39"/>
      <c r="R249" s="39"/>
      <c r="S249" s="39"/>
      <c r="T249" s="39"/>
      <c r="U249" s="39"/>
      <c r="V249" s="39"/>
      <c r="W249" s="39"/>
      <c r="X249" s="39"/>
      <c r="Y249" s="39"/>
      <c r="Z249" s="39"/>
      <c r="AA249" s="39"/>
      <c r="AB249" s="39"/>
      <c r="AC249" s="16">
        <f t="shared" si="126"/>
        <v>0</v>
      </c>
      <c r="AD249" s="2098"/>
      <c r="AE249" s="2098"/>
      <c r="AF249" s="2098"/>
      <c r="AG249" s="2098"/>
      <c r="AH249" s="2098"/>
      <c r="AI249" s="2098"/>
      <c r="AJ249" s="2098"/>
      <c r="AK249" s="2098"/>
      <c r="AL249" s="2098"/>
      <c r="AM249" s="2098"/>
      <c r="AN249" s="2098"/>
      <c r="AO249" s="2098"/>
      <c r="AP249" s="2098"/>
      <c r="AQ249" s="2098"/>
      <c r="AR249" s="2098"/>
      <c r="AS249" s="2098"/>
      <c r="AT249" s="2099"/>
      <c r="AU249" s="2100"/>
      <c r="AV249" s="24">
        <f t="shared" si="127"/>
        <v>0</v>
      </c>
      <c r="AW249" s="2811">
        <f t="shared" si="128"/>
        <v>0</v>
      </c>
      <c r="AX249" s="281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01"/>
      <c r="E250" s="35">
        <f t="shared" si="123"/>
        <v>0</v>
      </c>
      <c r="F250" s="36"/>
      <c r="G250" s="33">
        <f t="shared" si="124"/>
        <v>0</v>
      </c>
      <c r="H250" s="20">
        <f t="shared" si="125"/>
        <v>0</v>
      </c>
      <c r="I250" s="2097"/>
      <c r="J250" s="39"/>
      <c r="K250" s="39"/>
      <c r="L250" s="39"/>
      <c r="M250" s="39"/>
      <c r="N250" s="39"/>
      <c r="O250" s="39"/>
      <c r="P250" s="39"/>
      <c r="Q250" s="39"/>
      <c r="R250" s="39"/>
      <c r="S250" s="39"/>
      <c r="T250" s="39"/>
      <c r="U250" s="39"/>
      <c r="V250" s="39"/>
      <c r="W250" s="39"/>
      <c r="X250" s="39"/>
      <c r="Y250" s="39"/>
      <c r="Z250" s="39"/>
      <c r="AA250" s="39"/>
      <c r="AB250" s="39"/>
      <c r="AC250" s="16">
        <f t="shared" si="126"/>
        <v>0</v>
      </c>
      <c r="AD250" s="2098"/>
      <c r="AE250" s="2098"/>
      <c r="AF250" s="2098"/>
      <c r="AG250" s="2098"/>
      <c r="AH250" s="2098"/>
      <c r="AI250" s="2098"/>
      <c r="AJ250" s="2098"/>
      <c r="AK250" s="2098"/>
      <c r="AL250" s="2098"/>
      <c r="AM250" s="2098"/>
      <c r="AN250" s="2098"/>
      <c r="AO250" s="2098"/>
      <c r="AP250" s="2098"/>
      <c r="AQ250" s="2098"/>
      <c r="AR250" s="2098"/>
      <c r="AS250" s="2098"/>
      <c r="AT250" s="2099"/>
      <c r="AU250" s="2100"/>
      <c r="AV250" s="24">
        <f t="shared" si="127"/>
        <v>0</v>
      </c>
      <c r="AW250" s="2811">
        <f t="shared" si="128"/>
        <v>0</v>
      </c>
      <c r="AX250" s="281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01"/>
      <c r="E251" s="35">
        <f t="shared" si="123"/>
        <v>0</v>
      </c>
      <c r="F251" s="36"/>
      <c r="G251" s="33">
        <f t="shared" si="124"/>
        <v>0</v>
      </c>
      <c r="H251" s="20">
        <f t="shared" si="125"/>
        <v>0</v>
      </c>
      <c r="I251" s="2097"/>
      <c r="J251" s="39"/>
      <c r="K251" s="39"/>
      <c r="L251" s="39"/>
      <c r="M251" s="39"/>
      <c r="N251" s="39"/>
      <c r="O251" s="39"/>
      <c r="P251" s="39"/>
      <c r="Q251" s="39"/>
      <c r="R251" s="39"/>
      <c r="S251" s="39"/>
      <c r="T251" s="39"/>
      <c r="U251" s="39"/>
      <c r="V251" s="39"/>
      <c r="W251" s="39"/>
      <c r="X251" s="39"/>
      <c r="Y251" s="39"/>
      <c r="Z251" s="39"/>
      <c r="AA251" s="39"/>
      <c r="AB251" s="39"/>
      <c r="AC251" s="16">
        <f t="shared" si="126"/>
        <v>0</v>
      </c>
      <c r="AD251" s="2098"/>
      <c r="AE251" s="2098"/>
      <c r="AF251" s="2098"/>
      <c r="AG251" s="2098"/>
      <c r="AH251" s="2098"/>
      <c r="AI251" s="2098"/>
      <c r="AJ251" s="2098"/>
      <c r="AK251" s="2098"/>
      <c r="AL251" s="2098"/>
      <c r="AM251" s="2098"/>
      <c r="AN251" s="2098"/>
      <c r="AO251" s="2098"/>
      <c r="AP251" s="2098"/>
      <c r="AQ251" s="2098"/>
      <c r="AR251" s="2098"/>
      <c r="AS251" s="2098"/>
      <c r="AT251" s="2099"/>
      <c r="AU251" s="2100"/>
      <c r="AV251" s="24">
        <f t="shared" si="127"/>
        <v>0</v>
      </c>
      <c r="AW251" s="2811">
        <f t="shared" si="128"/>
        <v>0</v>
      </c>
      <c r="AX251" s="281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01"/>
      <c r="E252" s="35">
        <f t="shared" si="123"/>
        <v>0</v>
      </c>
      <c r="F252" s="36"/>
      <c r="G252" s="33">
        <f t="shared" si="124"/>
        <v>0</v>
      </c>
      <c r="H252" s="20">
        <f t="shared" si="125"/>
        <v>0</v>
      </c>
      <c r="I252" s="2097"/>
      <c r="J252" s="39"/>
      <c r="K252" s="39"/>
      <c r="L252" s="39"/>
      <c r="M252" s="39"/>
      <c r="N252" s="39"/>
      <c r="O252" s="39"/>
      <c r="P252" s="39"/>
      <c r="Q252" s="39"/>
      <c r="R252" s="39"/>
      <c r="S252" s="39"/>
      <c r="T252" s="39"/>
      <c r="U252" s="39"/>
      <c r="V252" s="39"/>
      <c r="W252" s="39"/>
      <c r="X252" s="39"/>
      <c r="Y252" s="39"/>
      <c r="Z252" s="39"/>
      <c r="AA252" s="39"/>
      <c r="AB252" s="39"/>
      <c r="AC252" s="16">
        <f t="shared" si="126"/>
        <v>0</v>
      </c>
      <c r="AD252" s="2098"/>
      <c r="AE252" s="2098"/>
      <c r="AF252" s="2098"/>
      <c r="AG252" s="2098"/>
      <c r="AH252" s="2098"/>
      <c r="AI252" s="2098"/>
      <c r="AJ252" s="2098"/>
      <c r="AK252" s="2098"/>
      <c r="AL252" s="2098"/>
      <c r="AM252" s="2098"/>
      <c r="AN252" s="2098"/>
      <c r="AO252" s="2098"/>
      <c r="AP252" s="2098"/>
      <c r="AQ252" s="2098"/>
      <c r="AR252" s="2098"/>
      <c r="AS252" s="2098"/>
      <c r="AT252" s="2099"/>
      <c r="AU252" s="2100"/>
      <c r="AV252" s="24">
        <f t="shared" si="127"/>
        <v>0</v>
      </c>
      <c r="AW252" s="2811">
        <f t="shared" si="128"/>
        <v>0</v>
      </c>
      <c r="AX252" s="281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01"/>
      <c r="E253" s="35">
        <f t="shared" si="123"/>
        <v>0</v>
      </c>
      <c r="F253" s="36"/>
      <c r="G253" s="33">
        <f t="shared" si="124"/>
        <v>0</v>
      </c>
      <c r="H253" s="20">
        <f t="shared" si="125"/>
        <v>0</v>
      </c>
      <c r="I253" s="2097"/>
      <c r="J253" s="39"/>
      <c r="K253" s="39"/>
      <c r="L253" s="39"/>
      <c r="M253" s="39"/>
      <c r="N253" s="39"/>
      <c r="O253" s="39"/>
      <c r="P253" s="39"/>
      <c r="Q253" s="39"/>
      <c r="R253" s="39"/>
      <c r="S253" s="39"/>
      <c r="T253" s="39"/>
      <c r="U253" s="39"/>
      <c r="V253" s="39"/>
      <c r="W253" s="39"/>
      <c r="X253" s="39"/>
      <c r="Y253" s="39"/>
      <c r="Z253" s="39"/>
      <c r="AA253" s="39"/>
      <c r="AB253" s="39"/>
      <c r="AC253" s="16">
        <f t="shared" si="126"/>
        <v>0</v>
      </c>
      <c r="AD253" s="2098"/>
      <c r="AE253" s="2098"/>
      <c r="AF253" s="2098"/>
      <c r="AG253" s="2098"/>
      <c r="AH253" s="2098"/>
      <c r="AI253" s="2098"/>
      <c r="AJ253" s="2098"/>
      <c r="AK253" s="2098"/>
      <c r="AL253" s="2098"/>
      <c r="AM253" s="2098"/>
      <c r="AN253" s="2098"/>
      <c r="AO253" s="2098"/>
      <c r="AP253" s="2098"/>
      <c r="AQ253" s="2098"/>
      <c r="AR253" s="2098"/>
      <c r="AS253" s="2098"/>
      <c r="AT253" s="2099"/>
      <c r="AU253" s="2100"/>
      <c r="AV253" s="24">
        <f t="shared" si="127"/>
        <v>0</v>
      </c>
      <c r="AW253" s="2811">
        <f t="shared" si="128"/>
        <v>0</v>
      </c>
      <c r="AX253" s="281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01"/>
      <c r="E254" s="35">
        <f t="shared" si="123"/>
        <v>0</v>
      </c>
      <c r="F254" s="36"/>
      <c r="G254" s="33">
        <f t="shared" si="124"/>
        <v>0</v>
      </c>
      <c r="H254" s="20">
        <f t="shared" si="125"/>
        <v>0</v>
      </c>
      <c r="I254" s="2097"/>
      <c r="J254" s="39"/>
      <c r="K254" s="39"/>
      <c r="L254" s="39"/>
      <c r="M254" s="39"/>
      <c r="N254" s="39"/>
      <c r="O254" s="39"/>
      <c r="P254" s="39"/>
      <c r="Q254" s="39"/>
      <c r="R254" s="39"/>
      <c r="S254" s="39"/>
      <c r="T254" s="39"/>
      <c r="U254" s="39"/>
      <c r="V254" s="39"/>
      <c r="W254" s="39"/>
      <c r="X254" s="39"/>
      <c r="Y254" s="39"/>
      <c r="Z254" s="39"/>
      <c r="AA254" s="39"/>
      <c r="AB254" s="39"/>
      <c r="AC254" s="16">
        <f t="shared" si="126"/>
        <v>0</v>
      </c>
      <c r="AD254" s="2098"/>
      <c r="AE254" s="2098"/>
      <c r="AF254" s="2098"/>
      <c r="AG254" s="2098"/>
      <c r="AH254" s="2098"/>
      <c r="AI254" s="2098"/>
      <c r="AJ254" s="2098"/>
      <c r="AK254" s="2098"/>
      <c r="AL254" s="2098"/>
      <c r="AM254" s="2098"/>
      <c r="AN254" s="2098"/>
      <c r="AO254" s="2098"/>
      <c r="AP254" s="2098"/>
      <c r="AQ254" s="2098"/>
      <c r="AR254" s="2098"/>
      <c r="AS254" s="2098"/>
      <c r="AT254" s="2099"/>
      <c r="AU254" s="2100"/>
      <c r="AV254" s="24">
        <f t="shared" si="127"/>
        <v>0</v>
      </c>
      <c r="AW254" s="2811">
        <f t="shared" si="128"/>
        <v>0</v>
      </c>
      <c r="AX254" s="281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01"/>
      <c r="E255" s="35">
        <f t="shared" si="123"/>
        <v>0</v>
      </c>
      <c r="F255" s="36"/>
      <c r="G255" s="33">
        <f t="shared" si="124"/>
        <v>0</v>
      </c>
      <c r="H255" s="20">
        <f t="shared" si="125"/>
        <v>0</v>
      </c>
      <c r="I255" s="2097"/>
      <c r="J255" s="39"/>
      <c r="K255" s="39"/>
      <c r="L255" s="39"/>
      <c r="M255" s="39"/>
      <c r="N255" s="39"/>
      <c r="O255" s="39"/>
      <c r="P255" s="39"/>
      <c r="Q255" s="39"/>
      <c r="R255" s="39"/>
      <c r="S255" s="39"/>
      <c r="T255" s="39"/>
      <c r="U255" s="39"/>
      <c r="V255" s="39"/>
      <c r="W255" s="39"/>
      <c r="X255" s="39"/>
      <c r="Y255" s="39"/>
      <c r="Z255" s="39"/>
      <c r="AA255" s="39"/>
      <c r="AB255" s="39"/>
      <c r="AC255" s="16">
        <f t="shared" si="126"/>
        <v>0</v>
      </c>
      <c r="AD255" s="2098"/>
      <c r="AE255" s="2098"/>
      <c r="AF255" s="2098"/>
      <c r="AG255" s="2098"/>
      <c r="AH255" s="2098"/>
      <c r="AI255" s="2098"/>
      <c r="AJ255" s="2098"/>
      <c r="AK255" s="2098"/>
      <c r="AL255" s="2098"/>
      <c r="AM255" s="2098"/>
      <c r="AN255" s="2098"/>
      <c r="AO255" s="2098"/>
      <c r="AP255" s="2098"/>
      <c r="AQ255" s="2098"/>
      <c r="AR255" s="2098"/>
      <c r="AS255" s="2098"/>
      <c r="AT255" s="2099"/>
      <c r="AU255" s="2100"/>
      <c r="AV255" s="24">
        <f t="shared" si="127"/>
        <v>0</v>
      </c>
      <c r="AW255" s="2811">
        <f t="shared" si="128"/>
        <v>0</v>
      </c>
      <c r="AX255" s="281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01"/>
      <c r="E256" s="35">
        <f t="shared" si="123"/>
        <v>0</v>
      </c>
      <c r="F256" s="36"/>
      <c r="G256" s="33">
        <f t="shared" si="124"/>
        <v>0</v>
      </c>
      <c r="H256" s="20">
        <f t="shared" si="125"/>
        <v>0</v>
      </c>
      <c r="I256" s="2097"/>
      <c r="J256" s="39"/>
      <c r="K256" s="39"/>
      <c r="L256" s="39"/>
      <c r="M256" s="39"/>
      <c r="N256" s="39"/>
      <c r="O256" s="39"/>
      <c r="P256" s="39"/>
      <c r="Q256" s="39"/>
      <c r="R256" s="39"/>
      <c r="S256" s="39"/>
      <c r="T256" s="39"/>
      <c r="U256" s="39"/>
      <c r="V256" s="39"/>
      <c r="W256" s="39"/>
      <c r="X256" s="39"/>
      <c r="Y256" s="39"/>
      <c r="Z256" s="39"/>
      <c r="AA256" s="39"/>
      <c r="AB256" s="39"/>
      <c r="AC256" s="16">
        <f t="shared" si="126"/>
        <v>0</v>
      </c>
      <c r="AD256" s="2098"/>
      <c r="AE256" s="2098"/>
      <c r="AF256" s="2098"/>
      <c r="AG256" s="2098"/>
      <c r="AH256" s="2098"/>
      <c r="AI256" s="2098"/>
      <c r="AJ256" s="2098"/>
      <c r="AK256" s="2098"/>
      <c r="AL256" s="2098"/>
      <c r="AM256" s="2098"/>
      <c r="AN256" s="2098"/>
      <c r="AO256" s="2098"/>
      <c r="AP256" s="2098"/>
      <c r="AQ256" s="2098"/>
      <c r="AR256" s="2098"/>
      <c r="AS256" s="2098"/>
      <c r="AT256" s="2099"/>
      <c r="AU256" s="2100"/>
      <c r="AV256" s="24">
        <f t="shared" si="127"/>
        <v>0</v>
      </c>
      <c r="AW256" s="2811">
        <f t="shared" si="128"/>
        <v>0</v>
      </c>
      <c r="AX256" s="281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01"/>
      <c r="E257" s="35">
        <f t="shared" si="123"/>
        <v>0</v>
      </c>
      <c r="F257" s="36"/>
      <c r="G257" s="33">
        <f t="shared" si="124"/>
        <v>0</v>
      </c>
      <c r="H257" s="20">
        <f t="shared" si="125"/>
        <v>0</v>
      </c>
      <c r="I257" s="2097"/>
      <c r="J257" s="39"/>
      <c r="K257" s="39"/>
      <c r="L257" s="39"/>
      <c r="M257" s="39"/>
      <c r="N257" s="39"/>
      <c r="O257" s="39"/>
      <c r="P257" s="39"/>
      <c r="Q257" s="39"/>
      <c r="R257" s="39"/>
      <c r="S257" s="39"/>
      <c r="T257" s="39"/>
      <c r="U257" s="39"/>
      <c r="V257" s="39"/>
      <c r="W257" s="39"/>
      <c r="X257" s="39"/>
      <c r="Y257" s="39"/>
      <c r="Z257" s="39"/>
      <c r="AA257" s="39"/>
      <c r="AB257" s="39"/>
      <c r="AC257" s="16">
        <f t="shared" si="126"/>
        <v>0</v>
      </c>
      <c r="AD257" s="2098"/>
      <c r="AE257" s="2098"/>
      <c r="AF257" s="2098"/>
      <c r="AG257" s="2098"/>
      <c r="AH257" s="2098"/>
      <c r="AI257" s="2098"/>
      <c r="AJ257" s="2098"/>
      <c r="AK257" s="2098"/>
      <c r="AL257" s="2098"/>
      <c r="AM257" s="2098"/>
      <c r="AN257" s="2098"/>
      <c r="AO257" s="2098"/>
      <c r="AP257" s="2098"/>
      <c r="AQ257" s="2098"/>
      <c r="AR257" s="2098"/>
      <c r="AS257" s="2098"/>
      <c r="AT257" s="2099"/>
      <c r="AU257" s="2100"/>
      <c r="AV257" s="24">
        <f t="shared" si="127"/>
        <v>0</v>
      </c>
      <c r="AW257" s="2811">
        <f t="shared" si="128"/>
        <v>0</v>
      </c>
      <c r="AX257" s="281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01"/>
      <c r="E258" s="35">
        <f t="shared" si="123"/>
        <v>0</v>
      </c>
      <c r="F258" s="36"/>
      <c r="G258" s="33">
        <f t="shared" si="124"/>
        <v>0</v>
      </c>
      <c r="H258" s="20">
        <f t="shared" si="125"/>
        <v>0</v>
      </c>
      <c r="I258" s="2097"/>
      <c r="J258" s="39"/>
      <c r="K258" s="39"/>
      <c r="L258" s="39"/>
      <c r="M258" s="39"/>
      <c r="N258" s="39"/>
      <c r="O258" s="39"/>
      <c r="P258" s="39"/>
      <c r="Q258" s="39"/>
      <c r="R258" s="39"/>
      <c r="S258" s="39"/>
      <c r="T258" s="39"/>
      <c r="U258" s="39"/>
      <c r="V258" s="39"/>
      <c r="W258" s="39"/>
      <c r="X258" s="39"/>
      <c r="Y258" s="39"/>
      <c r="Z258" s="39"/>
      <c r="AA258" s="39"/>
      <c r="AB258" s="39"/>
      <c r="AC258" s="16">
        <f t="shared" si="126"/>
        <v>0</v>
      </c>
      <c r="AD258" s="2098"/>
      <c r="AE258" s="2098"/>
      <c r="AF258" s="2098"/>
      <c r="AG258" s="2098"/>
      <c r="AH258" s="2098"/>
      <c r="AI258" s="2098"/>
      <c r="AJ258" s="2098"/>
      <c r="AK258" s="2098"/>
      <c r="AL258" s="2098"/>
      <c r="AM258" s="2098"/>
      <c r="AN258" s="2098"/>
      <c r="AO258" s="2098"/>
      <c r="AP258" s="2098"/>
      <c r="AQ258" s="2098"/>
      <c r="AR258" s="2098"/>
      <c r="AS258" s="2098"/>
      <c r="AT258" s="2099"/>
      <c r="AU258" s="2100"/>
      <c r="AV258" s="24">
        <f t="shared" si="127"/>
        <v>0</v>
      </c>
      <c r="AW258" s="2811">
        <f t="shared" si="128"/>
        <v>0</v>
      </c>
      <c r="AX258" s="281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01"/>
      <c r="E259" s="35">
        <f t="shared" si="123"/>
        <v>0</v>
      </c>
      <c r="F259" s="36"/>
      <c r="G259" s="33">
        <f t="shared" si="124"/>
        <v>0</v>
      </c>
      <c r="H259" s="20">
        <f t="shared" si="125"/>
        <v>0</v>
      </c>
      <c r="I259" s="2097"/>
      <c r="J259" s="39"/>
      <c r="K259" s="39"/>
      <c r="L259" s="39"/>
      <c r="M259" s="39"/>
      <c r="N259" s="39"/>
      <c r="O259" s="39"/>
      <c r="P259" s="39"/>
      <c r="Q259" s="39"/>
      <c r="R259" s="39"/>
      <c r="S259" s="39"/>
      <c r="T259" s="39"/>
      <c r="U259" s="39"/>
      <c r="V259" s="39"/>
      <c r="W259" s="39"/>
      <c r="X259" s="39"/>
      <c r="Y259" s="39"/>
      <c r="Z259" s="39"/>
      <c r="AA259" s="39"/>
      <c r="AB259" s="39"/>
      <c r="AC259" s="16">
        <f t="shared" si="126"/>
        <v>0</v>
      </c>
      <c r="AD259" s="2098"/>
      <c r="AE259" s="2098"/>
      <c r="AF259" s="2098"/>
      <c r="AG259" s="2098"/>
      <c r="AH259" s="2098"/>
      <c r="AI259" s="2098"/>
      <c r="AJ259" s="2098"/>
      <c r="AK259" s="2098"/>
      <c r="AL259" s="2098"/>
      <c r="AM259" s="2098"/>
      <c r="AN259" s="2098"/>
      <c r="AO259" s="2098"/>
      <c r="AP259" s="2098"/>
      <c r="AQ259" s="2098"/>
      <c r="AR259" s="2098"/>
      <c r="AS259" s="2098"/>
      <c r="AT259" s="2099"/>
      <c r="AU259" s="2100"/>
      <c r="AV259" s="24">
        <f t="shared" si="127"/>
        <v>0</v>
      </c>
      <c r="AW259" s="2811">
        <f t="shared" si="128"/>
        <v>0</v>
      </c>
      <c r="AX259" s="281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01"/>
      <c r="E260" s="35">
        <f t="shared" si="123"/>
        <v>0</v>
      </c>
      <c r="F260" s="36"/>
      <c r="G260" s="33">
        <f t="shared" si="124"/>
        <v>0</v>
      </c>
      <c r="H260" s="20">
        <f t="shared" si="125"/>
        <v>0</v>
      </c>
      <c r="I260" s="2097"/>
      <c r="J260" s="39"/>
      <c r="K260" s="39"/>
      <c r="L260" s="39"/>
      <c r="M260" s="39"/>
      <c r="N260" s="39"/>
      <c r="O260" s="39"/>
      <c r="P260" s="39"/>
      <c r="Q260" s="39"/>
      <c r="R260" s="39"/>
      <c r="S260" s="39"/>
      <c r="T260" s="39"/>
      <c r="U260" s="39"/>
      <c r="V260" s="39"/>
      <c r="W260" s="39"/>
      <c r="X260" s="39"/>
      <c r="Y260" s="39"/>
      <c r="Z260" s="39"/>
      <c r="AA260" s="39"/>
      <c r="AB260" s="39"/>
      <c r="AC260" s="16">
        <f t="shared" si="126"/>
        <v>0</v>
      </c>
      <c r="AD260" s="2098"/>
      <c r="AE260" s="2098"/>
      <c r="AF260" s="2098"/>
      <c r="AG260" s="2098"/>
      <c r="AH260" s="2098"/>
      <c r="AI260" s="2098"/>
      <c r="AJ260" s="2098"/>
      <c r="AK260" s="2098"/>
      <c r="AL260" s="2098"/>
      <c r="AM260" s="2098"/>
      <c r="AN260" s="2098"/>
      <c r="AO260" s="2098"/>
      <c r="AP260" s="2098"/>
      <c r="AQ260" s="2098"/>
      <c r="AR260" s="2098"/>
      <c r="AS260" s="2098"/>
      <c r="AT260" s="2099"/>
      <c r="AU260" s="2100"/>
      <c r="AV260" s="24">
        <f t="shared" si="127"/>
        <v>0</v>
      </c>
      <c r="AW260" s="2811">
        <f t="shared" si="128"/>
        <v>0</v>
      </c>
      <c r="AX260" s="281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01"/>
      <c r="E261" s="35">
        <f t="shared" si="123"/>
        <v>0</v>
      </c>
      <c r="F261" s="36"/>
      <c r="G261" s="33">
        <f t="shared" si="124"/>
        <v>0</v>
      </c>
      <c r="H261" s="20">
        <f t="shared" si="125"/>
        <v>0</v>
      </c>
      <c r="I261" s="2097"/>
      <c r="J261" s="39"/>
      <c r="K261" s="39"/>
      <c r="L261" s="39"/>
      <c r="M261" s="39"/>
      <c r="N261" s="39"/>
      <c r="O261" s="39"/>
      <c r="P261" s="39"/>
      <c r="Q261" s="39"/>
      <c r="R261" s="39"/>
      <c r="S261" s="39"/>
      <c r="T261" s="39"/>
      <c r="U261" s="39"/>
      <c r="V261" s="39"/>
      <c r="W261" s="39"/>
      <c r="X261" s="39"/>
      <c r="Y261" s="39"/>
      <c r="Z261" s="39"/>
      <c r="AA261" s="39"/>
      <c r="AB261" s="39"/>
      <c r="AC261" s="16">
        <f t="shared" si="126"/>
        <v>0</v>
      </c>
      <c r="AD261" s="2098"/>
      <c r="AE261" s="2098"/>
      <c r="AF261" s="2098"/>
      <c r="AG261" s="2098"/>
      <c r="AH261" s="2098"/>
      <c r="AI261" s="2098"/>
      <c r="AJ261" s="2098"/>
      <c r="AK261" s="2098"/>
      <c r="AL261" s="2098"/>
      <c r="AM261" s="2098"/>
      <c r="AN261" s="2098"/>
      <c r="AO261" s="2098"/>
      <c r="AP261" s="2098"/>
      <c r="AQ261" s="2098"/>
      <c r="AR261" s="2098"/>
      <c r="AS261" s="2098"/>
      <c r="AT261" s="2099"/>
      <c r="AU261" s="2100"/>
      <c r="AV261" s="24">
        <f t="shared" si="127"/>
        <v>0</v>
      </c>
      <c r="AW261" s="2811">
        <f t="shared" si="128"/>
        <v>0</v>
      </c>
      <c r="AX261" s="281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01"/>
      <c r="E262" s="35">
        <f t="shared" si="123"/>
        <v>0</v>
      </c>
      <c r="F262" s="36"/>
      <c r="G262" s="33">
        <f t="shared" si="124"/>
        <v>0</v>
      </c>
      <c r="H262" s="20">
        <f t="shared" si="125"/>
        <v>0</v>
      </c>
      <c r="I262" s="2097"/>
      <c r="J262" s="39"/>
      <c r="K262" s="39"/>
      <c r="L262" s="39"/>
      <c r="M262" s="39"/>
      <c r="N262" s="39"/>
      <c r="O262" s="39"/>
      <c r="P262" s="39"/>
      <c r="Q262" s="39"/>
      <c r="R262" s="39"/>
      <c r="S262" s="39"/>
      <c r="T262" s="39"/>
      <c r="U262" s="39"/>
      <c r="V262" s="39"/>
      <c r="W262" s="39"/>
      <c r="X262" s="39"/>
      <c r="Y262" s="39"/>
      <c r="Z262" s="39"/>
      <c r="AA262" s="39"/>
      <c r="AB262" s="39"/>
      <c r="AC262" s="16">
        <f t="shared" si="126"/>
        <v>0</v>
      </c>
      <c r="AD262" s="2098"/>
      <c r="AE262" s="2098"/>
      <c r="AF262" s="2098"/>
      <c r="AG262" s="2098"/>
      <c r="AH262" s="2098"/>
      <c r="AI262" s="2098"/>
      <c r="AJ262" s="2098"/>
      <c r="AK262" s="2098"/>
      <c r="AL262" s="2098"/>
      <c r="AM262" s="2098"/>
      <c r="AN262" s="2098"/>
      <c r="AO262" s="2098"/>
      <c r="AP262" s="2098"/>
      <c r="AQ262" s="2098"/>
      <c r="AR262" s="2098"/>
      <c r="AS262" s="2098"/>
      <c r="AT262" s="2099"/>
      <c r="AU262" s="2100"/>
      <c r="AV262" s="24">
        <f t="shared" si="127"/>
        <v>0</v>
      </c>
      <c r="AW262" s="2811">
        <f t="shared" si="128"/>
        <v>0</v>
      </c>
      <c r="AX262" s="281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01"/>
      <c r="E263" s="35">
        <f t="shared" si="123"/>
        <v>0</v>
      </c>
      <c r="F263" s="36"/>
      <c r="G263" s="33">
        <f t="shared" si="124"/>
        <v>0</v>
      </c>
      <c r="H263" s="20">
        <f t="shared" si="125"/>
        <v>0</v>
      </c>
      <c r="I263" s="2097"/>
      <c r="J263" s="39"/>
      <c r="K263" s="39"/>
      <c r="L263" s="39"/>
      <c r="M263" s="39"/>
      <c r="N263" s="39"/>
      <c r="O263" s="39"/>
      <c r="P263" s="39"/>
      <c r="Q263" s="39"/>
      <c r="R263" s="39"/>
      <c r="S263" s="39"/>
      <c r="T263" s="39"/>
      <c r="U263" s="39"/>
      <c r="V263" s="39"/>
      <c r="W263" s="39"/>
      <c r="X263" s="39"/>
      <c r="Y263" s="39"/>
      <c r="Z263" s="39"/>
      <c r="AA263" s="39"/>
      <c r="AB263" s="39"/>
      <c r="AC263" s="16">
        <f t="shared" si="126"/>
        <v>0</v>
      </c>
      <c r="AD263" s="2098"/>
      <c r="AE263" s="2098"/>
      <c r="AF263" s="2098"/>
      <c r="AG263" s="2098"/>
      <c r="AH263" s="2098"/>
      <c r="AI263" s="2098"/>
      <c r="AJ263" s="2098"/>
      <c r="AK263" s="2098"/>
      <c r="AL263" s="2098"/>
      <c r="AM263" s="2098"/>
      <c r="AN263" s="2098"/>
      <c r="AO263" s="2098"/>
      <c r="AP263" s="2098"/>
      <c r="AQ263" s="2098"/>
      <c r="AR263" s="2098"/>
      <c r="AS263" s="2098"/>
      <c r="AT263" s="2099"/>
      <c r="AU263" s="2100"/>
      <c r="AV263" s="24">
        <f t="shared" si="127"/>
        <v>0</v>
      </c>
      <c r="AW263" s="2811">
        <f t="shared" si="128"/>
        <v>0</v>
      </c>
      <c r="AX263" s="281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01"/>
      <c r="E264" s="35">
        <f t="shared" si="123"/>
        <v>0</v>
      </c>
      <c r="F264" s="36"/>
      <c r="G264" s="33">
        <f t="shared" si="124"/>
        <v>0</v>
      </c>
      <c r="H264" s="20">
        <f t="shared" si="125"/>
        <v>0</v>
      </c>
      <c r="I264" s="2097"/>
      <c r="J264" s="39"/>
      <c r="K264" s="39"/>
      <c r="L264" s="39"/>
      <c r="M264" s="39"/>
      <c r="N264" s="39"/>
      <c r="O264" s="39"/>
      <c r="P264" s="39"/>
      <c r="Q264" s="39"/>
      <c r="R264" s="39"/>
      <c r="S264" s="39"/>
      <c r="T264" s="39"/>
      <c r="U264" s="39"/>
      <c r="V264" s="39"/>
      <c r="W264" s="39"/>
      <c r="X264" s="39"/>
      <c r="Y264" s="39"/>
      <c r="Z264" s="39"/>
      <c r="AA264" s="39"/>
      <c r="AB264" s="39"/>
      <c r="AC264" s="16">
        <f t="shared" si="126"/>
        <v>0</v>
      </c>
      <c r="AD264" s="2098"/>
      <c r="AE264" s="2098"/>
      <c r="AF264" s="2098"/>
      <c r="AG264" s="2098"/>
      <c r="AH264" s="2098"/>
      <c r="AI264" s="2098"/>
      <c r="AJ264" s="2098"/>
      <c r="AK264" s="2098"/>
      <c r="AL264" s="2098"/>
      <c r="AM264" s="2098"/>
      <c r="AN264" s="2098"/>
      <c r="AO264" s="2098"/>
      <c r="AP264" s="2098"/>
      <c r="AQ264" s="2098"/>
      <c r="AR264" s="2098"/>
      <c r="AS264" s="2098"/>
      <c r="AT264" s="2099"/>
      <c r="AU264" s="2100"/>
      <c r="AV264" s="24">
        <f t="shared" si="127"/>
        <v>0</v>
      </c>
      <c r="AW264" s="2811">
        <f t="shared" si="128"/>
        <v>0</v>
      </c>
      <c r="AX264" s="281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01"/>
      <c r="E265" s="35">
        <f t="shared" si="123"/>
        <v>0</v>
      </c>
      <c r="F265" s="36"/>
      <c r="G265" s="33">
        <f t="shared" si="124"/>
        <v>0</v>
      </c>
      <c r="H265" s="20">
        <f t="shared" si="125"/>
        <v>0</v>
      </c>
      <c r="I265" s="2097"/>
      <c r="J265" s="39"/>
      <c r="K265" s="39"/>
      <c r="L265" s="39"/>
      <c r="M265" s="39"/>
      <c r="N265" s="39"/>
      <c r="O265" s="39"/>
      <c r="P265" s="39"/>
      <c r="Q265" s="39"/>
      <c r="R265" s="39"/>
      <c r="S265" s="39"/>
      <c r="T265" s="39"/>
      <c r="U265" s="39"/>
      <c r="V265" s="39"/>
      <c r="W265" s="39"/>
      <c r="X265" s="39"/>
      <c r="Y265" s="39"/>
      <c r="Z265" s="39"/>
      <c r="AA265" s="39"/>
      <c r="AB265" s="39"/>
      <c r="AC265" s="16">
        <f t="shared" si="126"/>
        <v>0</v>
      </c>
      <c r="AD265" s="2098"/>
      <c r="AE265" s="2098"/>
      <c r="AF265" s="2098"/>
      <c r="AG265" s="2098"/>
      <c r="AH265" s="2098"/>
      <c r="AI265" s="2098"/>
      <c r="AJ265" s="2098"/>
      <c r="AK265" s="2098"/>
      <c r="AL265" s="2098"/>
      <c r="AM265" s="2098"/>
      <c r="AN265" s="2098"/>
      <c r="AO265" s="2098"/>
      <c r="AP265" s="2098"/>
      <c r="AQ265" s="2098"/>
      <c r="AR265" s="2098"/>
      <c r="AS265" s="2098"/>
      <c r="AT265" s="2099"/>
      <c r="AU265" s="2100"/>
      <c r="AV265" s="24">
        <f t="shared" si="127"/>
        <v>0</v>
      </c>
      <c r="AW265" s="2811">
        <f t="shared" si="128"/>
        <v>0</v>
      </c>
      <c r="AX265" s="281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01"/>
      <c r="E266" s="35">
        <f t="shared" si="123"/>
        <v>0</v>
      </c>
      <c r="F266" s="36"/>
      <c r="G266" s="33">
        <f t="shared" si="124"/>
        <v>0</v>
      </c>
      <c r="H266" s="20">
        <f t="shared" si="125"/>
        <v>0</v>
      </c>
      <c r="I266" s="2097"/>
      <c r="J266" s="39"/>
      <c r="K266" s="39"/>
      <c r="L266" s="39"/>
      <c r="M266" s="39"/>
      <c r="N266" s="39"/>
      <c r="O266" s="39"/>
      <c r="P266" s="39"/>
      <c r="Q266" s="39"/>
      <c r="R266" s="39"/>
      <c r="S266" s="39"/>
      <c r="T266" s="39"/>
      <c r="U266" s="39"/>
      <c r="V266" s="39"/>
      <c r="W266" s="39"/>
      <c r="X266" s="39"/>
      <c r="Y266" s="39"/>
      <c r="Z266" s="39"/>
      <c r="AA266" s="39"/>
      <c r="AB266" s="39"/>
      <c r="AC266" s="16">
        <f t="shared" si="126"/>
        <v>0</v>
      </c>
      <c r="AD266" s="2098"/>
      <c r="AE266" s="2098"/>
      <c r="AF266" s="2098"/>
      <c r="AG266" s="2098"/>
      <c r="AH266" s="2098"/>
      <c r="AI266" s="2098"/>
      <c r="AJ266" s="2098"/>
      <c r="AK266" s="2098"/>
      <c r="AL266" s="2098"/>
      <c r="AM266" s="2098"/>
      <c r="AN266" s="2098"/>
      <c r="AO266" s="2098"/>
      <c r="AP266" s="2098"/>
      <c r="AQ266" s="2098"/>
      <c r="AR266" s="2098"/>
      <c r="AS266" s="2098"/>
      <c r="AT266" s="2099"/>
      <c r="AU266" s="2100"/>
      <c r="AV266" s="24">
        <f t="shared" si="127"/>
        <v>0</v>
      </c>
      <c r="AW266" s="2811">
        <f t="shared" si="128"/>
        <v>0</v>
      </c>
      <c r="AX266" s="281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01"/>
      <c r="E267" s="35">
        <f t="shared" si="123"/>
        <v>0</v>
      </c>
      <c r="F267" s="36"/>
      <c r="G267" s="33">
        <f t="shared" si="124"/>
        <v>0</v>
      </c>
      <c r="H267" s="20">
        <f t="shared" si="125"/>
        <v>0</v>
      </c>
      <c r="I267" s="2097"/>
      <c r="J267" s="39"/>
      <c r="K267" s="39"/>
      <c r="L267" s="39"/>
      <c r="M267" s="39"/>
      <c r="N267" s="39"/>
      <c r="O267" s="39"/>
      <c r="P267" s="39"/>
      <c r="Q267" s="39"/>
      <c r="R267" s="39"/>
      <c r="S267" s="39"/>
      <c r="T267" s="39"/>
      <c r="U267" s="39"/>
      <c r="V267" s="39"/>
      <c r="W267" s="39"/>
      <c r="X267" s="39"/>
      <c r="Y267" s="39"/>
      <c r="Z267" s="39"/>
      <c r="AA267" s="39"/>
      <c r="AB267" s="39"/>
      <c r="AC267" s="16">
        <f t="shared" si="126"/>
        <v>0</v>
      </c>
      <c r="AD267" s="2098"/>
      <c r="AE267" s="2098"/>
      <c r="AF267" s="2098"/>
      <c r="AG267" s="2098"/>
      <c r="AH267" s="2098"/>
      <c r="AI267" s="2098"/>
      <c r="AJ267" s="2098"/>
      <c r="AK267" s="2098"/>
      <c r="AL267" s="2098"/>
      <c r="AM267" s="2098"/>
      <c r="AN267" s="2098"/>
      <c r="AO267" s="2098"/>
      <c r="AP267" s="2098"/>
      <c r="AQ267" s="2098"/>
      <c r="AR267" s="2098"/>
      <c r="AS267" s="2098"/>
      <c r="AT267" s="2099"/>
      <c r="AU267" s="2100"/>
      <c r="AV267" s="24">
        <f t="shared" si="127"/>
        <v>0</v>
      </c>
      <c r="AW267" s="2811">
        <f t="shared" si="128"/>
        <v>0</v>
      </c>
      <c r="AX267" s="281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01"/>
      <c r="E268" s="35">
        <f t="shared" si="123"/>
        <v>0</v>
      </c>
      <c r="F268" s="36"/>
      <c r="G268" s="33">
        <f t="shared" si="124"/>
        <v>0</v>
      </c>
      <c r="H268" s="20">
        <f t="shared" si="125"/>
        <v>0</v>
      </c>
      <c r="I268" s="2097"/>
      <c r="J268" s="39"/>
      <c r="K268" s="39"/>
      <c r="L268" s="39"/>
      <c r="M268" s="39"/>
      <c r="N268" s="39"/>
      <c r="O268" s="39"/>
      <c r="P268" s="39"/>
      <c r="Q268" s="39"/>
      <c r="R268" s="39"/>
      <c r="S268" s="39"/>
      <c r="T268" s="39"/>
      <c r="U268" s="39"/>
      <c r="V268" s="39"/>
      <c r="W268" s="39"/>
      <c r="X268" s="39"/>
      <c r="Y268" s="39"/>
      <c r="Z268" s="39"/>
      <c r="AA268" s="39"/>
      <c r="AB268" s="39"/>
      <c r="AC268" s="16">
        <f t="shared" si="126"/>
        <v>0</v>
      </c>
      <c r="AD268" s="2098"/>
      <c r="AE268" s="2098"/>
      <c r="AF268" s="2098"/>
      <c r="AG268" s="2098"/>
      <c r="AH268" s="2098"/>
      <c r="AI268" s="2098"/>
      <c r="AJ268" s="2098"/>
      <c r="AK268" s="2098"/>
      <c r="AL268" s="2098"/>
      <c r="AM268" s="2098"/>
      <c r="AN268" s="2098"/>
      <c r="AO268" s="2098"/>
      <c r="AP268" s="2098"/>
      <c r="AQ268" s="2098"/>
      <c r="AR268" s="2098"/>
      <c r="AS268" s="2098"/>
      <c r="AT268" s="2099"/>
      <c r="AU268" s="2100"/>
      <c r="AV268" s="24">
        <f t="shared" si="127"/>
        <v>0</v>
      </c>
      <c r="AW268" s="2811">
        <f t="shared" si="128"/>
        <v>0</v>
      </c>
      <c r="AX268" s="281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01"/>
      <c r="E269" s="35">
        <f t="shared" si="123"/>
        <v>0</v>
      </c>
      <c r="F269" s="36"/>
      <c r="G269" s="33">
        <f t="shared" si="124"/>
        <v>0</v>
      </c>
      <c r="H269" s="20">
        <f t="shared" si="125"/>
        <v>0</v>
      </c>
      <c r="I269" s="2097"/>
      <c r="J269" s="39"/>
      <c r="K269" s="39"/>
      <c r="L269" s="39"/>
      <c r="M269" s="39"/>
      <c r="N269" s="39"/>
      <c r="O269" s="39"/>
      <c r="P269" s="39"/>
      <c r="Q269" s="39"/>
      <c r="R269" s="39"/>
      <c r="S269" s="39"/>
      <c r="T269" s="39"/>
      <c r="U269" s="39"/>
      <c r="V269" s="39"/>
      <c r="W269" s="39"/>
      <c r="X269" s="39"/>
      <c r="Y269" s="39"/>
      <c r="Z269" s="39"/>
      <c r="AA269" s="39"/>
      <c r="AB269" s="39"/>
      <c r="AC269" s="16">
        <f t="shared" si="126"/>
        <v>0</v>
      </c>
      <c r="AD269" s="2098"/>
      <c r="AE269" s="2098"/>
      <c r="AF269" s="2098"/>
      <c r="AG269" s="2098"/>
      <c r="AH269" s="2098"/>
      <c r="AI269" s="2098"/>
      <c r="AJ269" s="2098"/>
      <c r="AK269" s="2098"/>
      <c r="AL269" s="2098"/>
      <c r="AM269" s="2098"/>
      <c r="AN269" s="2098"/>
      <c r="AO269" s="2098"/>
      <c r="AP269" s="2098"/>
      <c r="AQ269" s="2098"/>
      <c r="AR269" s="2098"/>
      <c r="AS269" s="2098"/>
      <c r="AT269" s="2099"/>
      <c r="AU269" s="2100"/>
      <c r="AV269" s="24">
        <f t="shared" si="127"/>
        <v>0</v>
      </c>
      <c r="AW269" s="2811">
        <f t="shared" si="128"/>
        <v>0</v>
      </c>
      <c r="AX269" s="281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01"/>
      <c r="E270" s="35">
        <f t="shared" si="123"/>
        <v>0</v>
      </c>
      <c r="F270" s="36"/>
      <c r="G270" s="33">
        <f t="shared" si="124"/>
        <v>0</v>
      </c>
      <c r="H270" s="20">
        <f t="shared" si="125"/>
        <v>0</v>
      </c>
      <c r="I270" s="2097"/>
      <c r="J270" s="39"/>
      <c r="K270" s="39"/>
      <c r="L270" s="39"/>
      <c r="M270" s="39"/>
      <c r="N270" s="39"/>
      <c r="O270" s="39"/>
      <c r="P270" s="39"/>
      <c r="Q270" s="39"/>
      <c r="R270" s="39"/>
      <c r="S270" s="39"/>
      <c r="T270" s="39"/>
      <c r="U270" s="39"/>
      <c r="V270" s="39"/>
      <c r="W270" s="39"/>
      <c r="X270" s="39"/>
      <c r="Y270" s="39"/>
      <c r="Z270" s="39"/>
      <c r="AA270" s="39"/>
      <c r="AB270" s="39"/>
      <c r="AC270" s="16">
        <f t="shared" si="126"/>
        <v>0</v>
      </c>
      <c r="AD270" s="2098"/>
      <c r="AE270" s="2098"/>
      <c r="AF270" s="2098"/>
      <c r="AG270" s="2098"/>
      <c r="AH270" s="2098"/>
      <c r="AI270" s="2098"/>
      <c r="AJ270" s="2098"/>
      <c r="AK270" s="2098"/>
      <c r="AL270" s="2098"/>
      <c r="AM270" s="2098"/>
      <c r="AN270" s="2098"/>
      <c r="AO270" s="2098"/>
      <c r="AP270" s="2098"/>
      <c r="AQ270" s="2098"/>
      <c r="AR270" s="2098"/>
      <c r="AS270" s="2098"/>
      <c r="AT270" s="2099"/>
      <c r="AU270" s="2100"/>
      <c r="AV270" s="24">
        <f t="shared" si="127"/>
        <v>0</v>
      </c>
      <c r="AW270" s="2811">
        <f t="shared" si="128"/>
        <v>0</v>
      </c>
      <c r="AX270" s="281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01"/>
      <c r="E271" s="35">
        <f t="shared" si="123"/>
        <v>0</v>
      </c>
      <c r="F271" s="36"/>
      <c r="G271" s="33">
        <f t="shared" si="124"/>
        <v>0</v>
      </c>
      <c r="H271" s="20">
        <f t="shared" si="125"/>
        <v>0</v>
      </c>
      <c r="I271" s="2097"/>
      <c r="J271" s="39"/>
      <c r="K271" s="39"/>
      <c r="L271" s="39"/>
      <c r="M271" s="39"/>
      <c r="N271" s="39"/>
      <c r="O271" s="39"/>
      <c r="P271" s="39"/>
      <c r="Q271" s="39"/>
      <c r="R271" s="39"/>
      <c r="S271" s="39"/>
      <c r="T271" s="39"/>
      <c r="U271" s="39"/>
      <c r="V271" s="39"/>
      <c r="W271" s="39"/>
      <c r="X271" s="39"/>
      <c r="Y271" s="39"/>
      <c r="Z271" s="39"/>
      <c r="AA271" s="39"/>
      <c r="AB271" s="39"/>
      <c r="AC271" s="16">
        <f t="shared" si="126"/>
        <v>0</v>
      </c>
      <c r="AD271" s="2098"/>
      <c r="AE271" s="2098"/>
      <c r="AF271" s="2098"/>
      <c r="AG271" s="2098"/>
      <c r="AH271" s="2098"/>
      <c r="AI271" s="2098"/>
      <c r="AJ271" s="2098"/>
      <c r="AK271" s="2098"/>
      <c r="AL271" s="2098"/>
      <c r="AM271" s="2098"/>
      <c r="AN271" s="2098"/>
      <c r="AO271" s="2098"/>
      <c r="AP271" s="2098"/>
      <c r="AQ271" s="2098"/>
      <c r="AR271" s="2098"/>
      <c r="AS271" s="2098"/>
      <c r="AT271" s="2099"/>
      <c r="AU271" s="2100"/>
      <c r="AV271" s="24">
        <f t="shared" si="127"/>
        <v>0</v>
      </c>
      <c r="AW271" s="2811">
        <f t="shared" si="128"/>
        <v>0</v>
      </c>
      <c r="AX271" s="281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01"/>
      <c r="E272" s="35">
        <f t="shared" si="123"/>
        <v>0</v>
      </c>
      <c r="F272" s="36"/>
      <c r="G272" s="33">
        <f t="shared" si="124"/>
        <v>0</v>
      </c>
      <c r="H272" s="20">
        <f t="shared" si="125"/>
        <v>0</v>
      </c>
      <c r="I272" s="2097"/>
      <c r="J272" s="39"/>
      <c r="K272" s="39"/>
      <c r="L272" s="39"/>
      <c r="M272" s="39"/>
      <c r="N272" s="39"/>
      <c r="O272" s="39"/>
      <c r="P272" s="39"/>
      <c r="Q272" s="39"/>
      <c r="R272" s="39"/>
      <c r="S272" s="39"/>
      <c r="T272" s="39"/>
      <c r="U272" s="39"/>
      <c r="V272" s="39"/>
      <c r="W272" s="39"/>
      <c r="X272" s="39"/>
      <c r="Y272" s="39"/>
      <c r="Z272" s="39"/>
      <c r="AA272" s="39"/>
      <c r="AB272" s="39"/>
      <c r="AC272" s="16">
        <f t="shared" si="126"/>
        <v>0</v>
      </c>
      <c r="AD272" s="2098"/>
      <c r="AE272" s="2098"/>
      <c r="AF272" s="2098"/>
      <c r="AG272" s="2098"/>
      <c r="AH272" s="2098"/>
      <c r="AI272" s="2098"/>
      <c r="AJ272" s="2098"/>
      <c r="AK272" s="2098"/>
      <c r="AL272" s="2098"/>
      <c r="AM272" s="2098"/>
      <c r="AN272" s="2098"/>
      <c r="AO272" s="2098"/>
      <c r="AP272" s="2098"/>
      <c r="AQ272" s="2098"/>
      <c r="AR272" s="2098"/>
      <c r="AS272" s="2098"/>
      <c r="AT272" s="2099"/>
      <c r="AU272" s="2100"/>
      <c r="AV272" s="24">
        <f t="shared" si="127"/>
        <v>0</v>
      </c>
      <c r="AW272" s="2811">
        <f t="shared" si="128"/>
        <v>0</v>
      </c>
      <c r="AX272" s="281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01"/>
      <c r="E273" s="35">
        <f t="shared" si="123"/>
        <v>0</v>
      </c>
      <c r="F273" s="36"/>
      <c r="G273" s="33">
        <f t="shared" si="124"/>
        <v>0</v>
      </c>
      <c r="H273" s="20">
        <f t="shared" si="125"/>
        <v>0</v>
      </c>
      <c r="I273" s="2097"/>
      <c r="J273" s="39"/>
      <c r="K273" s="39"/>
      <c r="L273" s="39"/>
      <c r="M273" s="39"/>
      <c r="N273" s="39"/>
      <c r="O273" s="39"/>
      <c r="P273" s="39"/>
      <c r="Q273" s="39"/>
      <c r="R273" s="39"/>
      <c r="S273" s="39"/>
      <c r="T273" s="39"/>
      <c r="U273" s="39"/>
      <c r="V273" s="39"/>
      <c r="W273" s="39"/>
      <c r="X273" s="39"/>
      <c r="Y273" s="39"/>
      <c r="Z273" s="39"/>
      <c r="AA273" s="39"/>
      <c r="AB273" s="39"/>
      <c r="AC273" s="16">
        <f t="shared" si="126"/>
        <v>0</v>
      </c>
      <c r="AD273" s="2098"/>
      <c r="AE273" s="2098"/>
      <c r="AF273" s="2098"/>
      <c r="AG273" s="2098"/>
      <c r="AH273" s="2098"/>
      <c r="AI273" s="2098"/>
      <c r="AJ273" s="2098"/>
      <c r="AK273" s="2098"/>
      <c r="AL273" s="2098"/>
      <c r="AM273" s="2098"/>
      <c r="AN273" s="2098"/>
      <c r="AO273" s="2098"/>
      <c r="AP273" s="2098"/>
      <c r="AQ273" s="2098"/>
      <c r="AR273" s="2098"/>
      <c r="AS273" s="2098"/>
      <c r="AT273" s="2099"/>
      <c r="AU273" s="2100"/>
      <c r="AV273" s="24">
        <f t="shared" si="127"/>
        <v>0</v>
      </c>
      <c r="AW273" s="2811">
        <f t="shared" si="128"/>
        <v>0</v>
      </c>
      <c r="AX273" s="281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01"/>
      <c r="E274" s="35">
        <f t="shared" si="123"/>
        <v>0</v>
      </c>
      <c r="F274" s="36"/>
      <c r="G274" s="33">
        <f t="shared" si="124"/>
        <v>0</v>
      </c>
      <c r="H274" s="20">
        <f t="shared" si="125"/>
        <v>0</v>
      </c>
      <c r="I274" s="2097"/>
      <c r="J274" s="39"/>
      <c r="K274" s="39"/>
      <c r="L274" s="39"/>
      <c r="M274" s="39"/>
      <c r="N274" s="39"/>
      <c r="O274" s="39"/>
      <c r="P274" s="39"/>
      <c r="Q274" s="39"/>
      <c r="R274" s="39"/>
      <c r="S274" s="39"/>
      <c r="T274" s="39"/>
      <c r="U274" s="39"/>
      <c r="V274" s="39"/>
      <c r="W274" s="39"/>
      <c r="X274" s="39"/>
      <c r="Y274" s="39"/>
      <c r="Z274" s="39"/>
      <c r="AA274" s="39"/>
      <c r="AB274" s="39"/>
      <c r="AC274" s="16">
        <f t="shared" si="126"/>
        <v>0</v>
      </c>
      <c r="AD274" s="2098"/>
      <c r="AE274" s="2098"/>
      <c r="AF274" s="2098"/>
      <c r="AG274" s="2098"/>
      <c r="AH274" s="2098"/>
      <c r="AI274" s="2098"/>
      <c r="AJ274" s="2098"/>
      <c r="AK274" s="2098"/>
      <c r="AL274" s="2098"/>
      <c r="AM274" s="2098"/>
      <c r="AN274" s="2098"/>
      <c r="AO274" s="2098"/>
      <c r="AP274" s="2098"/>
      <c r="AQ274" s="2098"/>
      <c r="AR274" s="2098"/>
      <c r="AS274" s="2098"/>
      <c r="AT274" s="2099"/>
      <c r="AU274" s="2100"/>
      <c r="AV274" s="24">
        <f t="shared" si="127"/>
        <v>0</v>
      </c>
      <c r="AW274" s="2811">
        <f t="shared" si="128"/>
        <v>0</v>
      </c>
      <c r="AX274" s="281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01"/>
      <c r="E275" s="35">
        <f t="shared" si="123"/>
        <v>0</v>
      </c>
      <c r="F275" s="36"/>
      <c r="G275" s="33">
        <f t="shared" si="124"/>
        <v>0</v>
      </c>
      <c r="H275" s="20">
        <f t="shared" si="125"/>
        <v>0</v>
      </c>
      <c r="I275" s="2097"/>
      <c r="J275" s="39"/>
      <c r="K275" s="39"/>
      <c r="L275" s="39"/>
      <c r="M275" s="39"/>
      <c r="N275" s="39"/>
      <c r="O275" s="39"/>
      <c r="P275" s="39"/>
      <c r="Q275" s="39"/>
      <c r="R275" s="39"/>
      <c r="S275" s="39"/>
      <c r="T275" s="39"/>
      <c r="U275" s="39"/>
      <c r="V275" s="39"/>
      <c r="W275" s="39"/>
      <c r="X275" s="39"/>
      <c r="Y275" s="39"/>
      <c r="Z275" s="39"/>
      <c r="AA275" s="39"/>
      <c r="AB275" s="39"/>
      <c r="AC275" s="16">
        <f t="shared" si="126"/>
        <v>0</v>
      </c>
      <c r="AD275" s="2098"/>
      <c r="AE275" s="2098"/>
      <c r="AF275" s="2098"/>
      <c r="AG275" s="2098"/>
      <c r="AH275" s="2098"/>
      <c r="AI275" s="2098"/>
      <c r="AJ275" s="2098"/>
      <c r="AK275" s="2098"/>
      <c r="AL275" s="2098"/>
      <c r="AM275" s="2098"/>
      <c r="AN275" s="2098"/>
      <c r="AO275" s="2098"/>
      <c r="AP275" s="2098"/>
      <c r="AQ275" s="2098"/>
      <c r="AR275" s="2098"/>
      <c r="AS275" s="2098"/>
      <c r="AT275" s="2099"/>
      <c r="AU275" s="2100"/>
      <c r="AV275" s="24">
        <f t="shared" si="127"/>
        <v>0</v>
      </c>
      <c r="AW275" s="2811">
        <f t="shared" si="128"/>
        <v>0</v>
      </c>
      <c r="AX275" s="281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01"/>
      <c r="E276" s="35">
        <f t="shared" si="123"/>
        <v>0</v>
      </c>
      <c r="F276" s="36"/>
      <c r="G276" s="33">
        <f t="shared" si="124"/>
        <v>0</v>
      </c>
      <c r="H276" s="20">
        <f t="shared" si="125"/>
        <v>0</v>
      </c>
      <c r="I276" s="2097"/>
      <c r="J276" s="39"/>
      <c r="K276" s="39"/>
      <c r="L276" s="39"/>
      <c r="M276" s="39"/>
      <c r="N276" s="39"/>
      <c r="O276" s="39"/>
      <c r="P276" s="39"/>
      <c r="Q276" s="39"/>
      <c r="R276" s="39"/>
      <c r="S276" s="39"/>
      <c r="T276" s="39"/>
      <c r="U276" s="39"/>
      <c r="V276" s="39"/>
      <c r="W276" s="39"/>
      <c r="X276" s="39"/>
      <c r="Y276" s="39"/>
      <c r="Z276" s="39"/>
      <c r="AA276" s="39"/>
      <c r="AB276" s="39"/>
      <c r="AC276" s="16">
        <f t="shared" si="126"/>
        <v>0</v>
      </c>
      <c r="AD276" s="2098"/>
      <c r="AE276" s="2098"/>
      <c r="AF276" s="2098"/>
      <c r="AG276" s="2098"/>
      <c r="AH276" s="2098"/>
      <c r="AI276" s="2098"/>
      <c r="AJ276" s="2098"/>
      <c r="AK276" s="2098"/>
      <c r="AL276" s="2098"/>
      <c r="AM276" s="2098"/>
      <c r="AN276" s="2098"/>
      <c r="AO276" s="2098"/>
      <c r="AP276" s="2098"/>
      <c r="AQ276" s="2098"/>
      <c r="AR276" s="2098"/>
      <c r="AS276" s="2098"/>
      <c r="AT276" s="2099"/>
      <c r="AU276" s="2100"/>
      <c r="AV276" s="24">
        <f t="shared" si="127"/>
        <v>0</v>
      </c>
      <c r="AW276" s="2811">
        <f t="shared" si="128"/>
        <v>0</v>
      </c>
      <c r="AX276" s="281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01"/>
      <c r="E277" s="35">
        <f t="shared" si="123"/>
        <v>0</v>
      </c>
      <c r="F277" s="36"/>
      <c r="G277" s="33">
        <f t="shared" si="124"/>
        <v>0</v>
      </c>
      <c r="H277" s="20">
        <f t="shared" si="125"/>
        <v>0</v>
      </c>
      <c r="I277" s="2097"/>
      <c r="J277" s="39"/>
      <c r="K277" s="39"/>
      <c r="L277" s="39"/>
      <c r="M277" s="39"/>
      <c r="N277" s="39"/>
      <c r="O277" s="39"/>
      <c r="P277" s="39"/>
      <c r="Q277" s="39"/>
      <c r="R277" s="39"/>
      <c r="S277" s="39"/>
      <c r="T277" s="39"/>
      <c r="U277" s="39"/>
      <c r="V277" s="39"/>
      <c r="W277" s="39"/>
      <c r="X277" s="39"/>
      <c r="Y277" s="39"/>
      <c r="Z277" s="39"/>
      <c r="AA277" s="39"/>
      <c r="AB277" s="39"/>
      <c r="AC277" s="16">
        <f t="shared" si="126"/>
        <v>0</v>
      </c>
      <c r="AD277" s="2098"/>
      <c r="AE277" s="2098"/>
      <c r="AF277" s="2098"/>
      <c r="AG277" s="2098"/>
      <c r="AH277" s="2098"/>
      <c r="AI277" s="2098"/>
      <c r="AJ277" s="2098"/>
      <c r="AK277" s="2098"/>
      <c r="AL277" s="2098"/>
      <c r="AM277" s="2098"/>
      <c r="AN277" s="2098"/>
      <c r="AO277" s="2098"/>
      <c r="AP277" s="2098"/>
      <c r="AQ277" s="2098"/>
      <c r="AR277" s="2098"/>
      <c r="AS277" s="2098"/>
      <c r="AT277" s="2099"/>
      <c r="AU277" s="2100"/>
      <c r="AV277" s="24">
        <f t="shared" si="127"/>
        <v>0</v>
      </c>
      <c r="AW277" s="2811">
        <f t="shared" si="128"/>
        <v>0</v>
      </c>
      <c r="AX277" s="281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01"/>
      <c r="E278" s="35">
        <f t="shared" si="123"/>
        <v>0</v>
      </c>
      <c r="F278" s="36"/>
      <c r="G278" s="33">
        <f t="shared" si="124"/>
        <v>0</v>
      </c>
      <c r="H278" s="20">
        <f t="shared" si="125"/>
        <v>0</v>
      </c>
      <c r="I278" s="2097"/>
      <c r="J278" s="39"/>
      <c r="K278" s="39"/>
      <c r="L278" s="39"/>
      <c r="M278" s="39"/>
      <c r="N278" s="39"/>
      <c r="O278" s="39"/>
      <c r="P278" s="39"/>
      <c r="Q278" s="39"/>
      <c r="R278" s="39"/>
      <c r="S278" s="39"/>
      <c r="T278" s="39"/>
      <c r="U278" s="39"/>
      <c r="V278" s="39"/>
      <c r="W278" s="39"/>
      <c r="X278" s="39"/>
      <c r="Y278" s="39"/>
      <c r="Z278" s="39"/>
      <c r="AA278" s="39"/>
      <c r="AB278" s="39"/>
      <c r="AC278" s="16">
        <f t="shared" si="126"/>
        <v>0</v>
      </c>
      <c r="AD278" s="2098"/>
      <c r="AE278" s="2098"/>
      <c r="AF278" s="2098"/>
      <c r="AG278" s="2098"/>
      <c r="AH278" s="2098"/>
      <c r="AI278" s="2098"/>
      <c r="AJ278" s="2098"/>
      <c r="AK278" s="2098"/>
      <c r="AL278" s="2098"/>
      <c r="AM278" s="2098"/>
      <c r="AN278" s="2098"/>
      <c r="AO278" s="2098"/>
      <c r="AP278" s="2098"/>
      <c r="AQ278" s="2098"/>
      <c r="AR278" s="2098"/>
      <c r="AS278" s="2098"/>
      <c r="AT278" s="2099"/>
      <c r="AU278" s="2100"/>
      <c r="AV278" s="24">
        <f t="shared" si="127"/>
        <v>0</v>
      </c>
      <c r="AW278" s="2811">
        <f t="shared" si="128"/>
        <v>0</v>
      </c>
      <c r="AX278" s="281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01"/>
      <c r="E279" s="35">
        <f t="shared" si="123"/>
        <v>0</v>
      </c>
      <c r="F279" s="36"/>
      <c r="G279" s="33">
        <f t="shared" si="124"/>
        <v>0</v>
      </c>
      <c r="H279" s="20">
        <f t="shared" si="125"/>
        <v>0</v>
      </c>
      <c r="I279" s="2097"/>
      <c r="J279" s="39"/>
      <c r="K279" s="39"/>
      <c r="L279" s="39"/>
      <c r="M279" s="39"/>
      <c r="N279" s="39"/>
      <c r="O279" s="39"/>
      <c r="P279" s="39"/>
      <c r="Q279" s="39"/>
      <c r="R279" s="39"/>
      <c r="S279" s="39"/>
      <c r="T279" s="39"/>
      <c r="U279" s="39"/>
      <c r="V279" s="39"/>
      <c r="W279" s="39"/>
      <c r="X279" s="39"/>
      <c r="Y279" s="39"/>
      <c r="Z279" s="39"/>
      <c r="AA279" s="39"/>
      <c r="AB279" s="39"/>
      <c r="AC279" s="16">
        <f t="shared" si="126"/>
        <v>0</v>
      </c>
      <c r="AD279" s="2098"/>
      <c r="AE279" s="2098"/>
      <c r="AF279" s="2098"/>
      <c r="AG279" s="2098"/>
      <c r="AH279" s="2098"/>
      <c r="AI279" s="2098"/>
      <c r="AJ279" s="2098"/>
      <c r="AK279" s="2098"/>
      <c r="AL279" s="2098"/>
      <c r="AM279" s="2098"/>
      <c r="AN279" s="2098"/>
      <c r="AO279" s="2098"/>
      <c r="AP279" s="2098"/>
      <c r="AQ279" s="2098"/>
      <c r="AR279" s="2098"/>
      <c r="AS279" s="2098"/>
      <c r="AT279" s="2099"/>
      <c r="AU279" s="2100"/>
      <c r="AV279" s="24">
        <f t="shared" si="127"/>
        <v>0</v>
      </c>
      <c r="AW279" s="2811">
        <f t="shared" si="128"/>
        <v>0</v>
      </c>
      <c r="AX279" s="281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01"/>
      <c r="E280" s="35">
        <f t="shared" si="123"/>
        <v>0</v>
      </c>
      <c r="F280" s="36"/>
      <c r="G280" s="33">
        <f t="shared" si="124"/>
        <v>0</v>
      </c>
      <c r="H280" s="20">
        <f t="shared" si="125"/>
        <v>0</v>
      </c>
      <c r="I280" s="2097"/>
      <c r="J280" s="39"/>
      <c r="K280" s="39"/>
      <c r="L280" s="39"/>
      <c r="M280" s="39"/>
      <c r="N280" s="39"/>
      <c r="O280" s="39"/>
      <c r="P280" s="39"/>
      <c r="Q280" s="39"/>
      <c r="R280" s="39"/>
      <c r="S280" s="39"/>
      <c r="T280" s="39"/>
      <c r="U280" s="39"/>
      <c r="V280" s="39"/>
      <c r="W280" s="39"/>
      <c r="X280" s="39"/>
      <c r="Y280" s="39"/>
      <c r="Z280" s="39"/>
      <c r="AA280" s="39"/>
      <c r="AB280" s="39"/>
      <c r="AC280" s="16">
        <f t="shared" si="126"/>
        <v>0</v>
      </c>
      <c r="AD280" s="2098"/>
      <c r="AE280" s="2098"/>
      <c r="AF280" s="2098"/>
      <c r="AG280" s="2098"/>
      <c r="AH280" s="2098"/>
      <c r="AI280" s="2098"/>
      <c r="AJ280" s="2098"/>
      <c r="AK280" s="2098"/>
      <c r="AL280" s="2098"/>
      <c r="AM280" s="2098"/>
      <c r="AN280" s="2098"/>
      <c r="AO280" s="2098"/>
      <c r="AP280" s="2098"/>
      <c r="AQ280" s="2098"/>
      <c r="AR280" s="2098"/>
      <c r="AS280" s="2098"/>
      <c r="AT280" s="2099"/>
      <c r="AU280" s="2100"/>
      <c r="AV280" s="24">
        <f t="shared" si="127"/>
        <v>0</v>
      </c>
      <c r="AW280" s="2811">
        <f t="shared" si="128"/>
        <v>0</v>
      </c>
      <c r="AX280" s="281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01"/>
      <c r="E281" s="35">
        <f t="shared" si="123"/>
        <v>0</v>
      </c>
      <c r="F281" s="36"/>
      <c r="G281" s="33">
        <f t="shared" si="124"/>
        <v>0</v>
      </c>
      <c r="H281" s="20">
        <f t="shared" si="125"/>
        <v>0</v>
      </c>
      <c r="I281" s="2097"/>
      <c r="J281" s="39"/>
      <c r="K281" s="39"/>
      <c r="L281" s="39"/>
      <c r="M281" s="39"/>
      <c r="N281" s="39"/>
      <c r="O281" s="39"/>
      <c r="P281" s="39"/>
      <c r="Q281" s="39"/>
      <c r="R281" s="39"/>
      <c r="S281" s="39"/>
      <c r="T281" s="39"/>
      <c r="U281" s="39"/>
      <c r="V281" s="39"/>
      <c r="W281" s="39"/>
      <c r="X281" s="39"/>
      <c r="Y281" s="39"/>
      <c r="Z281" s="39"/>
      <c r="AA281" s="39"/>
      <c r="AB281" s="39"/>
      <c r="AC281" s="16">
        <f t="shared" si="126"/>
        <v>0</v>
      </c>
      <c r="AD281" s="2098"/>
      <c r="AE281" s="2098"/>
      <c r="AF281" s="2098"/>
      <c r="AG281" s="2098"/>
      <c r="AH281" s="2098"/>
      <c r="AI281" s="2098"/>
      <c r="AJ281" s="2098"/>
      <c r="AK281" s="2098"/>
      <c r="AL281" s="2098"/>
      <c r="AM281" s="2098"/>
      <c r="AN281" s="2098"/>
      <c r="AO281" s="2098"/>
      <c r="AP281" s="2098"/>
      <c r="AQ281" s="2098"/>
      <c r="AR281" s="2098"/>
      <c r="AS281" s="2098"/>
      <c r="AT281" s="2099"/>
      <c r="AU281" s="2100"/>
      <c r="AV281" s="24">
        <f t="shared" si="127"/>
        <v>0</v>
      </c>
      <c r="AW281" s="2811">
        <f t="shared" si="128"/>
        <v>0</v>
      </c>
      <c r="AX281" s="281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01"/>
      <c r="E282" s="35">
        <f t="shared" si="123"/>
        <v>0</v>
      </c>
      <c r="F282" s="36"/>
      <c r="G282" s="33">
        <f t="shared" si="124"/>
        <v>0</v>
      </c>
      <c r="H282" s="20">
        <f t="shared" si="125"/>
        <v>0</v>
      </c>
      <c r="I282" s="2097"/>
      <c r="J282" s="39"/>
      <c r="K282" s="39"/>
      <c r="L282" s="39"/>
      <c r="M282" s="39"/>
      <c r="N282" s="39"/>
      <c r="O282" s="39"/>
      <c r="P282" s="39"/>
      <c r="Q282" s="39"/>
      <c r="R282" s="39"/>
      <c r="S282" s="39"/>
      <c r="T282" s="39"/>
      <c r="U282" s="39"/>
      <c r="V282" s="39"/>
      <c r="W282" s="39"/>
      <c r="X282" s="39"/>
      <c r="Y282" s="39"/>
      <c r="Z282" s="39"/>
      <c r="AA282" s="39"/>
      <c r="AB282" s="39"/>
      <c r="AC282" s="16">
        <f t="shared" si="126"/>
        <v>0</v>
      </c>
      <c r="AD282" s="2098"/>
      <c r="AE282" s="2098"/>
      <c r="AF282" s="2098"/>
      <c r="AG282" s="2098"/>
      <c r="AH282" s="2098"/>
      <c r="AI282" s="2098"/>
      <c r="AJ282" s="2098"/>
      <c r="AK282" s="2098"/>
      <c r="AL282" s="2098"/>
      <c r="AM282" s="2098"/>
      <c r="AN282" s="2098"/>
      <c r="AO282" s="2098"/>
      <c r="AP282" s="2098"/>
      <c r="AQ282" s="2098"/>
      <c r="AR282" s="2098"/>
      <c r="AS282" s="2098"/>
      <c r="AT282" s="2099"/>
      <c r="AU282" s="2100"/>
      <c r="AV282" s="24">
        <f t="shared" si="127"/>
        <v>0</v>
      </c>
      <c r="AW282" s="2811">
        <f t="shared" si="128"/>
        <v>0</v>
      </c>
      <c r="AX282" s="281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01"/>
      <c r="E283" s="35">
        <f t="shared" si="123"/>
        <v>0</v>
      </c>
      <c r="F283" s="36"/>
      <c r="G283" s="33">
        <f t="shared" si="124"/>
        <v>0</v>
      </c>
      <c r="H283" s="20">
        <f t="shared" si="125"/>
        <v>0</v>
      </c>
      <c r="I283" s="2097"/>
      <c r="J283" s="39"/>
      <c r="K283" s="39"/>
      <c r="L283" s="39"/>
      <c r="M283" s="39"/>
      <c r="N283" s="39"/>
      <c r="O283" s="39"/>
      <c r="P283" s="39"/>
      <c r="Q283" s="39"/>
      <c r="R283" s="39"/>
      <c r="S283" s="39"/>
      <c r="T283" s="39"/>
      <c r="U283" s="39"/>
      <c r="V283" s="39"/>
      <c r="W283" s="39"/>
      <c r="X283" s="39"/>
      <c r="Y283" s="39"/>
      <c r="Z283" s="39"/>
      <c r="AA283" s="39"/>
      <c r="AB283" s="39"/>
      <c r="AC283" s="16">
        <f t="shared" si="126"/>
        <v>0</v>
      </c>
      <c r="AD283" s="2098"/>
      <c r="AE283" s="2098"/>
      <c r="AF283" s="2098"/>
      <c r="AG283" s="2098"/>
      <c r="AH283" s="2098"/>
      <c r="AI283" s="2098"/>
      <c r="AJ283" s="2098"/>
      <c r="AK283" s="2098"/>
      <c r="AL283" s="2098"/>
      <c r="AM283" s="2098"/>
      <c r="AN283" s="2098"/>
      <c r="AO283" s="2098"/>
      <c r="AP283" s="2098"/>
      <c r="AQ283" s="2098"/>
      <c r="AR283" s="2098"/>
      <c r="AS283" s="2098"/>
      <c r="AT283" s="2099"/>
      <c r="AU283" s="2100"/>
      <c r="AV283" s="24">
        <f t="shared" si="127"/>
        <v>0</v>
      </c>
      <c r="AW283" s="2811">
        <f t="shared" si="128"/>
        <v>0</v>
      </c>
      <c r="AX283" s="281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01"/>
      <c r="E284" s="35">
        <f t="shared" si="123"/>
        <v>0</v>
      </c>
      <c r="F284" s="36"/>
      <c r="G284" s="33">
        <f t="shared" si="124"/>
        <v>0</v>
      </c>
      <c r="H284" s="20">
        <f t="shared" si="125"/>
        <v>0</v>
      </c>
      <c r="I284" s="2097"/>
      <c r="J284" s="39"/>
      <c r="K284" s="39"/>
      <c r="L284" s="39"/>
      <c r="M284" s="39"/>
      <c r="N284" s="39"/>
      <c r="O284" s="39"/>
      <c r="P284" s="39"/>
      <c r="Q284" s="39"/>
      <c r="R284" s="39"/>
      <c r="S284" s="39"/>
      <c r="T284" s="39"/>
      <c r="U284" s="39"/>
      <c r="V284" s="39"/>
      <c r="W284" s="39"/>
      <c r="X284" s="39"/>
      <c r="Y284" s="39"/>
      <c r="Z284" s="39"/>
      <c r="AA284" s="39"/>
      <c r="AB284" s="39"/>
      <c r="AC284" s="16">
        <f t="shared" si="126"/>
        <v>0</v>
      </c>
      <c r="AD284" s="2098"/>
      <c r="AE284" s="2098"/>
      <c r="AF284" s="2098"/>
      <c r="AG284" s="2098"/>
      <c r="AH284" s="2098"/>
      <c r="AI284" s="2098"/>
      <c r="AJ284" s="2098"/>
      <c r="AK284" s="2098"/>
      <c r="AL284" s="2098"/>
      <c r="AM284" s="2098"/>
      <c r="AN284" s="2098"/>
      <c r="AO284" s="2098"/>
      <c r="AP284" s="2098"/>
      <c r="AQ284" s="2098"/>
      <c r="AR284" s="2098"/>
      <c r="AS284" s="2098"/>
      <c r="AT284" s="2099"/>
      <c r="AU284" s="2100"/>
      <c r="AV284" s="24">
        <f t="shared" si="127"/>
        <v>0</v>
      </c>
      <c r="AW284" s="2811">
        <f t="shared" si="128"/>
        <v>0</v>
      </c>
      <c r="AX284" s="281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01"/>
      <c r="E285" s="35">
        <f t="shared" si="123"/>
        <v>0</v>
      </c>
      <c r="F285" s="36"/>
      <c r="G285" s="33">
        <f t="shared" si="124"/>
        <v>0</v>
      </c>
      <c r="H285" s="20">
        <f t="shared" si="125"/>
        <v>0</v>
      </c>
      <c r="I285" s="2097"/>
      <c r="J285" s="39"/>
      <c r="K285" s="39"/>
      <c r="L285" s="39"/>
      <c r="M285" s="39"/>
      <c r="N285" s="39"/>
      <c r="O285" s="39"/>
      <c r="P285" s="39"/>
      <c r="Q285" s="39"/>
      <c r="R285" s="39"/>
      <c r="S285" s="39"/>
      <c r="T285" s="39"/>
      <c r="U285" s="39"/>
      <c r="V285" s="39"/>
      <c r="W285" s="39"/>
      <c r="X285" s="39"/>
      <c r="Y285" s="39"/>
      <c r="Z285" s="39"/>
      <c r="AA285" s="39"/>
      <c r="AB285" s="39"/>
      <c r="AC285" s="16">
        <f t="shared" si="126"/>
        <v>0</v>
      </c>
      <c r="AD285" s="2098"/>
      <c r="AE285" s="2098"/>
      <c r="AF285" s="2098"/>
      <c r="AG285" s="2098"/>
      <c r="AH285" s="2098"/>
      <c r="AI285" s="2098"/>
      <c r="AJ285" s="2098"/>
      <c r="AK285" s="2098"/>
      <c r="AL285" s="2098"/>
      <c r="AM285" s="2098"/>
      <c r="AN285" s="2098"/>
      <c r="AO285" s="2098"/>
      <c r="AP285" s="2098"/>
      <c r="AQ285" s="2098"/>
      <c r="AR285" s="2098"/>
      <c r="AS285" s="2098"/>
      <c r="AT285" s="2099"/>
      <c r="AU285" s="2100"/>
      <c r="AV285" s="24">
        <f t="shared" si="127"/>
        <v>0</v>
      </c>
      <c r="AW285" s="2811">
        <f t="shared" si="128"/>
        <v>0</v>
      </c>
      <c r="AX285" s="281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01"/>
      <c r="E286" s="35">
        <f t="shared" si="123"/>
        <v>0</v>
      </c>
      <c r="F286" s="36"/>
      <c r="G286" s="33">
        <f t="shared" si="124"/>
        <v>0</v>
      </c>
      <c r="H286" s="20">
        <f t="shared" si="125"/>
        <v>0</v>
      </c>
      <c r="I286" s="2097"/>
      <c r="J286" s="39"/>
      <c r="K286" s="39"/>
      <c r="L286" s="39"/>
      <c r="M286" s="39"/>
      <c r="N286" s="39"/>
      <c r="O286" s="39"/>
      <c r="P286" s="39"/>
      <c r="Q286" s="39"/>
      <c r="R286" s="39"/>
      <c r="S286" s="39"/>
      <c r="T286" s="39"/>
      <c r="U286" s="39"/>
      <c r="V286" s="39"/>
      <c r="W286" s="39"/>
      <c r="X286" s="39"/>
      <c r="Y286" s="39"/>
      <c r="Z286" s="39"/>
      <c r="AA286" s="39"/>
      <c r="AB286" s="39"/>
      <c r="AC286" s="16">
        <f t="shared" si="126"/>
        <v>0</v>
      </c>
      <c r="AD286" s="2098"/>
      <c r="AE286" s="2098"/>
      <c r="AF286" s="2098"/>
      <c r="AG286" s="2098"/>
      <c r="AH286" s="2098"/>
      <c r="AI286" s="2098"/>
      <c r="AJ286" s="2098"/>
      <c r="AK286" s="2098"/>
      <c r="AL286" s="2098"/>
      <c r="AM286" s="2098"/>
      <c r="AN286" s="2098"/>
      <c r="AO286" s="2098"/>
      <c r="AP286" s="2098"/>
      <c r="AQ286" s="2098"/>
      <c r="AR286" s="2098"/>
      <c r="AS286" s="2098"/>
      <c r="AT286" s="2099"/>
      <c r="AU286" s="2100"/>
      <c r="AV286" s="24">
        <f t="shared" si="127"/>
        <v>0</v>
      </c>
      <c r="AW286" s="2811">
        <f t="shared" si="128"/>
        <v>0</v>
      </c>
      <c r="AX286" s="281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01"/>
      <c r="E287" s="35">
        <f t="shared" si="123"/>
        <v>0</v>
      </c>
      <c r="F287" s="36"/>
      <c r="G287" s="33">
        <f t="shared" si="124"/>
        <v>0</v>
      </c>
      <c r="H287" s="20">
        <f t="shared" si="125"/>
        <v>0</v>
      </c>
      <c r="I287" s="2097"/>
      <c r="J287" s="39"/>
      <c r="K287" s="39"/>
      <c r="L287" s="39"/>
      <c r="M287" s="39"/>
      <c r="N287" s="39"/>
      <c r="O287" s="39"/>
      <c r="P287" s="39"/>
      <c r="Q287" s="39"/>
      <c r="R287" s="39"/>
      <c r="S287" s="39"/>
      <c r="T287" s="39"/>
      <c r="U287" s="39"/>
      <c r="V287" s="39"/>
      <c r="W287" s="39"/>
      <c r="X287" s="39"/>
      <c r="Y287" s="39"/>
      <c r="Z287" s="39"/>
      <c r="AA287" s="39"/>
      <c r="AB287" s="39"/>
      <c r="AC287" s="16">
        <f t="shared" si="126"/>
        <v>0</v>
      </c>
      <c r="AD287" s="2098"/>
      <c r="AE287" s="2098"/>
      <c r="AF287" s="2098"/>
      <c r="AG287" s="2098"/>
      <c r="AH287" s="2098"/>
      <c r="AI287" s="2098"/>
      <c r="AJ287" s="2098"/>
      <c r="AK287" s="2098"/>
      <c r="AL287" s="2098"/>
      <c r="AM287" s="2098"/>
      <c r="AN287" s="2098"/>
      <c r="AO287" s="2098"/>
      <c r="AP287" s="2098"/>
      <c r="AQ287" s="2098"/>
      <c r="AR287" s="2098"/>
      <c r="AS287" s="2098"/>
      <c r="AT287" s="2099"/>
      <c r="AU287" s="2100"/>
      <c r="AV287" s="24">
        <f t="shared" si="127"/>
        <v>0</v>
      </c>
      <c r="AW287" s="2811">
        <f t="shared" si="128"/>
        <v>0</v>
      </c>
      <c r="AX287" s="281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01"/>
      <c r="E288" s="35">
        <f t="shared" si="123"/>
        <v>0</v>
      </c>
      <c r="F288" s="36"/>
      <c r="G288" s="33">
        <f t="shared" si="124"/>
        <v>0</v>
      </c>
      <c r="H288" s="20">
        <f t="shared" si="125"/>
        <v>0</v>
      </c>
      <c r="I288" s="2097"/>
      <c r="J288" s="39"/>
      <c r="K288" s="39"/>
      <c r="L288" s="39"/>
      <c r="M288" s="39"/>
      <c r="N288" s="39"/>
      <c r="O288" s="39"/>
      <c r="P288" s="39"/>
      <c r="Q288" s="39"/>
      <c r="R288" s="39"/>
      <c r="S288" s="39"/>
      <c r="T288" s="39"/>
      <c r="U288" s="39"/>
      <c r="V288" s="39"/>
      <c r="W288" s="39"/>
      <c r="X288" s="39"/>
      <c r="Y288" s="39"/>
      <c r="Z288" s="39"/>
      <c r="AA288" s="39"/>
      <c r="AB288" s="39"/>
      <c r="AC288" s="16">
        <f t="shared" si="126"/>
        <v>0</v>
      </c>
      <c r="AD288" s="2098"/>
      <c r="AE288" s="2098"/>
      <c r="AF288" s="2098"/>
      <c r="AG288" s="2098"/>
      <c r="AH288" s="2098"/>
      <c r="AI288" s="2098"/>
      <c r="AJ288" s="2098"/>
      <c r="AK288" s="2098"/>
      <c r="AL288" s="2098"/>
      <c r="AM288" s="2098"/>
      <c r="AN288" s="2098"/>
      <c r="AO288" s="2098"/>
      <c r="AP288" s="2098"/>
      <c r="AQ288" s="2098"/>
      <c r="AR288" s="2098"/>
      <c r="AS288" s="2098"/>
      <c r="AT288" s="2099"/>
      <c r="AU288" s="2100"/>
      <c r="AV288" s="24">
        <f t="shared" si="127"/>
        <v>0</v>
      </c>
      <c r="AW288" s="2811">
        <f t="shared" si="128"/>
        <v>0</v>
      </c>
      <c r="AX288" s="281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01"/>
      <c r="E289" s="35">
        <f t="shared" si="123"/>
        <v>0</v>
      </c>
      <c r="F289" s="36"/>
      <c r="G289" s="33">
        <f t="shared" si="124"/>
        <v>0</v>
      </c>
      <c r="H289" s="20">
        <f t="shared" si="125"/>
        <v>0</v>
      </c>
      <c r="I289" s="2097"/>
      <c r="J289" s="39"/>
      <c r="K289" s="39"/>
      <c r="L289" s="39"/>
      <c r="M289" s="39"/>
      <c r="N289" s="39"/>
      <c r="O289" s="39"/>
      <c r="P289" s="39"/>
      <c r="Q289" s="39"/>
      <c r="R289" s="39"/>
      <c r="S289" s="39"/>
      <c r="T289" s="39"/>
      <c r="U289" s="39"/>
      <c r="V289" s="39"/>
      <c r="W289" s="39"/>
      <c r="X289" s="39"/>
      <c r="Y289" s="39"/>
      <c r="Z289" s="39"/>
      <c r="AA289" s="39"/>
      <c r="AB289" s="39"/>
      <c r="AC289" s="16">
        <f t="shared" si="126"/>
        <v>0</v>
      </c>
      <c r="AD289" s="2098"/>
      <c r="AE289" s="2098"/>
      <c r="AF289" s="2098"/>
      <c r="AG289" s="2098"/>
      <c r="AH289" s="2098"/>
      <c r="AI289" s="2098"/>
      <c r="AJ289" s="2098"/>
      <c r="AK289" s="2098"/>
      <c r="AL289" s="2098"/>
      <c r="AM289" s="2098"/>
      <c r="AN289" s="2098"/>
      <c r="AO289" s="2098"/>
      <c r="AP289" s="2098"/>
      <c r="AQ289" s="2098"/>
      <c r="AR289" s="2098"/>
      <c r="AS289" s="2098"/>
      <c r="AT289" s="2099"/>
      <c r="AU289" s="2100"/>
      <c r="AV289" s="24">
        <f t="shared" si="127"/>
        <v>0</v>
      </c>
      <c r="AW289" s="2811">
        <f t="shared" si="128"/>
        <v>0</v>
      </c>
      <c r="AX289" s="281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01"/>
      <c r="E290" s="35">
        <f t="shared" si="123"/>
        <v>0</v>
      </c>
      <c r="F290" s="36"/>
      <c r="G290" s="33">
        <f t="shared" si="124"/>
        <v>0</v>
      </c>
      <c r="H290" s="20">
        <f t="shared" si="125"/>
        <v>0</v>
      </c>
      <c r="I290" s="2097"/>
      <c r="J290" s="39"/>
      <c r="K290" s="39"/>
      <c r="L290" s="39"/>
      <c r="M290" s="39"/>
      <c r="N290" s="39"/>
      <c r="O290" s="39"/>
      <c r="P290" s="39"/>
      <c r="Q290" s="39"/>
      <c r="R290" s="39"/>
      <c r="S290" s="39"/>
      <c r="T290" s="39"/>
      <c r="U290" s="39"/>
      <c r="V290" s="39"/>
      <c r="W290" s="39"/>
      <c r="X290" s="39"/>
      <c r="Y290" s="39"/>
      <c r="Z290" s="39"/>
      <c r="AA290" s="39"/>
      <c r="AB290" s="39"/>
      <c r="AC290" s="16">
        <f t="shared" si="126"/>
        <v>0</v>
      </c>
      <c r="AD290" s="2098"/>
      <c r="AE290" s="2098"/>
      <c r="AF290" s="2098"/>
      <c r="AG290" s="2098"/>
      <c r="AH290" s="2098"/>
      <c r="AI290" s="2098"/>
      <c r="AJ290" s="2098"/>
      <c r="AK290" s="2098"/>
      <c r="AL290" s="2098"/>
      <c r="AM290" s="2098"/>
      <c r="AN290" s="2098"/>
      <c r="AO290" s="2098"/>
      <c r="AP290" s="2098"/>
      <c r="AQ290" s="2098"/>
      <c r="AR290" s="2098"/>
      <c r="AS290" s="2098"/>
      <c r="AT290" s="2099"/>
      <c r="AU290" s="2100"/>
      <c r="AV290" s="24">
        <f t="shared" si="127"/>
        <v>0</v>
      </c>
      <c r="AW290" s="2811">
        <f t="shared" si="128"/>
        <v>0</v>
      </c>
      <c r="AX290" s="281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01"/>
      <c r="E291" s="35">
        <f t="shared" si="123"/>
        <v>0</v>
      </c>
      <c r="F291" s="36"/>
      <c r="G291" s="33">
        <f t="shared" si="124"/>
        <v>0</v>
      </c>
      <c r="H291" s="20">
        <f t="shared" si="125"/>
        <v>0</v>
      </c>
      <c r="I291" s="2097"/>
      <c r="J291" s="39"/>
      <c r="K291" s="39"/>
      <c r="L291" s="39"/>
      <c r="M291" s="39"/>
      <c r="N291" s="39"/>
      <c r="O291" s="39"/>
      <c r="P291" s="39"/>
      <c r="Q291" s="39"/>
      <c r="R291" s="39"/>
      <c r="S291" s="39"/>
      <c r="T291" s="39"/>
      <c r="U291" s="39"/>
      <c r="V291" s="39"/>
      <c r="W291" s="39"/>
      <c r="X291" s="39"/>
      <c r="Y291" s="39"/>
      <c r="Z291" s="39"/>
      <c r="AA291" s="39"/>
      <c r="AB291" s="39"/>
      <c r="AC291" s="16">
        <f t="shared" si="126"/>
        <v>0</v>
      </c>
      <c r="AD291" s="2098"/>
      <c r="AE291" s="2098"/>
      <c r="AF291" s="2098"/>
      <c r="AG291" s="2098"/>
      <c r="AH291" s="2098"/>
      <c r="AI291" s="2098"/>
      <c r="AJ291" s="2098"/>
      <c r="AK291" s="2098"/>
      <c r="AL291" s="2098"/>
      <c r="AM291" s="2098"/>
      <c r="AN291" s="2098"/>
      <c r="AO291" s="2098"/>
      <c r="AP291" s="2098"/>
      <c r="AQ291" s="2098"/>
      <c r="AR291" s="2098"/>
      <c r="AS291" s="2098"/>
      <c r="AT291" s="2099"/>
      <c r="AU291" s="2100"/>
      <c r="AV291" s="24">
        <f t="shared" si="127"/>
        <v>0</v>
      </c>
      <c r="AW291" s="2811">
        <f t="shared" si="128"/>
        <v>0</v>
      </c>
      <c r="AX291" s="281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01"/>
      <c r="E292" s="35">
        <f t="shared" si="123"/>
        <v>0</v>
      </c>
      <c r="F292" s="36"/>
      <c r="G292" s="33">
        <f t="shared" si="124"/>
        <v>0</v>
      </c>
      <c r="H292" s="20">
        <f t="shared" si="125"/>
        <v>0</v>
      </c>
      <c r="I292" s="2097"/>
      <c r="J292" s="39"/>
      <c r="K292" s="39"/>
      <c r="L292" s="39"/>
      <c r="M292" s="39"/>
      <c r="N292" s="39"/>
      <c r="O292" s="39"/>
      <c r="P292" s="39"/>
      <c r="Q292" s="39"/>
      <c r="R292" s="39"/>
      <c r="S292" s="39"/>
      <c r="T292" s="39"/>
      <c r="U292" s="39"/>
      <c r="V292" s="39"/>
      <c r="W292" s="39"/>
      <c r="X292" s="39"/>
      <c r="Y292" s="39"/>
      <c r="Z292" s="39"/>
      <c r="AA292" s="39"/>
      <c r="AB292" s="39"/>
      <c r="AC292" s="16">
        <f t="shared" si="126"/>
        <v>0</v>
      </c>
      <c r="AD292" s="2098"/>
      <c r="AE292" s="2098"/>
      <c r="AF292" s="2098"/>
      <c r="AG292" s="2098"/>
      <c r="AH292" s="2098"/>
      <c r="AI292" s="2098"/>
      <c r="AJ292" s="2098"/>
      <c r="AK292" s="2098"/>
      <c r="AL292" s="2098"/>
      <c r="AM292" s="2098"/>
      <c r="AN292" s="2098"/>
      <c r="AO292" s="2098"/>
      <c r="AP292" s="2098"/>
      <c r="AQ292" s="2098"/>
      <c r="AR292" s="2098"/>
      <c r="AS292" s="2098"/>
      <c r="AT292" s="2099"/>
      <c r="AU292" s="2100"/>
      <c r="AV292" s="24">
        <f t="shared" si="127"/>
        <v>0</v>
      </c>
      <c r="AW292" s="2811">
        <f t="shared" si="128"/>
        <v>0</v>
      </c>
      <c r="AX292" s="281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01"/>
      <c r="E293" s="35">
        <f t="shared" si="123"/>
        <v>0</v>
      </c>
      <c r="F293" s="36"/>
      <c r="G293" s="33">
        <f t="shared" si="124"/>
        <v>0</v>
      </c>
      <c r="H293" s="20">
        <f t="shared" si="125"/>
        <v>0</v>
      </c>
      <c r="I293" s="2097"/>
      <c r="J293" s="39"/>
      <c r="K293" s="39"/>
      <c r="L293" s="39"/>
      <c r="M293" s="39"/>
      <c r="N293" s="39"/>
      <c r="O293" s="39"/>
      <c r="P293" s="39"/>
      <c r="Q293" s="39"/>
      <c r="R293" s="39"/>
      <c r="S293" s="39"/>
      <c r="T293" s="39"/>
      <c r="U293" s="39"/>
      <c r="V293" s="39"/>
      <c r="W293" s="39"/>
      <c r="X293" s="39"/>
      <c r="Y293" s="39"/>
      <c r="Z293" s="39"/>
      <c r="AA293" s="39"/>
      <c r="AB293" s="39"/>
      <c r="AC293" s="16">
        <f t="shared" si="126"/>
        <v>0</v>
      </c>
      <c r="AD293" s="2098"/>
      <c r="AE293" s="2098"/>
      <c r="AF293" s="2098"/>
      <c r="AG293" s="2098"/>
      <c r="AH293" s="2098"/>
      <c r="AI293" s="2098"/>
      <c r="AJ293" s="2098"/>
      <c r="AK293" s="2098"/>
      <c r="AL293" s="2098"/>
      <c r="AM293" s="2098"/>
      <c r="AN293" s="2098"/>
      <c r="AO293" s="2098"/>
      <c r="AP293" s="2098"/>
      <c r="AQ293" s="2098"/>
      <c r="AR293" s="2098"/>
      <c r="AS293" s="2098"/>
      <c r="AT293" s="2099"/>
      <c r="AU293" s="2100"/>
      <c r="AV293" s="24">
        <f t="shared" si="127"/>
        <v>0</v>
      </c>
      <c r="AW293" s="2811">
        <f t="shared" si="128"/>
        <v>0</v>
      </c>
      <c r="AX293" s="281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01"/>
      <c r="E294" s="35">
        <f t="shared" si="123"/>
        <v>0</v>
      </c>
      <c r="F294" s="36"/>
      <c r="G294" s="33">
        <f t="shared" si="124"/>
        <v>0</v>
      </c>
      <c r="H294" s="20">
        <f t="shared" si="125"/>
        <v>0</v>
      </c>
      <c r="I294" s="2097"/>
      <c r="J294" s="39"/>
      <c r="K294" s="39"/>
      <c r="L294" s="39"/>
      <c r="M294" s="39"/>
      <c r="N294" s="39"/>
      <c r="O294" s="39"/>
      <c r="P294" s="39"/>
      <c r="Q294" s="39"/>
      <c r="R294" s="39"/>
      <c r="S294" s="39"/>
      <c r="T294" s="39"/>
      <c r="U294" s="39"/>
      <c r="V294" s="39"/>
      <c r="W294" s="39"/>
      <c r="X294" s="39"/>
      <c r="Y294" s="39"/>
      <c r="Z294" s="39"/>
      <c r="AA294" s="39"/>
      <c r="AB294" s="39"/>
      <c r="AC294" s="16">
        <f t="shared" si="126"/>
        <v>0</v>
      </c>
      <c r="AD294" s="2098"/>
      <c r="AE294" s="2098"/>
      <c r="AF294" s="2098"/>
      <c r="AG294" s="2098"/>
      <c r="AH294" s="2098"/>
      <c r="AI294" s="2098"/>
      <c r="AJ294" s="2098"/>
      <c r="AK294" s="2098"/>
      <c r="AL294" s="2098"/>
      <c r="AM294" s="2098"/>
      <c r="AN294" s="2098"/>
      <c r="AO294" s="2098"/>
      <c r="AP294" s="2098"/>
      <c r="AQ294" s="2098"/>
      <c r="AR294" s="2098"/>
      <c r="AS294" s="2098"/>
      <c r="AT294" s="2099"/>
      <c r="AU294" s="2100"/>
      <c r="AV294" s="24">
        <f t="shared" si="127"/>
        <v>0</v>
      </c>
      <c r="AW294" s="2811">
        <f t="shared" si="128"/>
        <v>0</v>
      </c>
      <c r="AX294" s="281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01"/>
      <c r="E295" s="35">
        <f t="shared" si="123"/>
        <v>0</v>
      </c>
      <c r="F295" s="36"/>
      <c r="G295" s="33">
        <f t="shared" si="124"/>
        <v>0</v>
      </c>
      <c r="H295" s="20">
        <f t="shared" si="125"/>
        <v>0</v>
      </c>
      <c r="I295" s="2097"/>
      <c r="J295" s="39"/>
      <c r="K295" s="39"/>
      <c r="L295" s="39"/>
      <c r="M295" s="39"/>
      <c r="N295" s="39"/>
      <c r="O295" s="39"/>
      <c r="P295" s="39"/>
      <c r="Q295" s="39"/>
      <c r="R295" s="39"/>
      <c r="S295" s="39"/>
      <c r="T295" s="39"/>
      <c r="U295" s="39"/>
      <c r="V295" s="39"/>
      <c r="W295" s="39"/>
      <c r="X295" s="39"/>
      <c r="Y295" s="39"/>
      <c r="Z295" s="39"/>
      <c r="AA295" s="39"/>
      <c r="AB295" s="39"/>
      <c r="AC295" s="16">
        <f t="shared" si="126"/>
        <v>0</v>
      </c>
      <c r="AD295" s="2098"/>
      <c r="AE295" s="2098"/>
      <c r="AF295" s="2098"/>
      <c r="AG295" s="2098"/>
      <c r="AH295" s="2098"/>
      <c r="AI295" s="2098"/>
      <c r="AJ295" s="2098"/>
      <c r="AK295" s="2098"/>
      <c r="AL295" s="2098"/>
      <c r="AM295" s="2098"/>
      <c r="AN295" s="2098"/>
      <c r="AO295" s="2098"/>
      <c r="AP295" s="2098"/>
      <c r="AQ295" s="2098"/>
      <c r="AR295" s="2098"/>
      <c r="AS295" s="2098"/>
      <c r="AT295" s="2099"/>
      <c r="AU295" s="2100"/>
      <c r="AV295" s="24">
        <f t="shared" si="127"/>
        <v>0</v>
      </c>
      <c r="AW295" s="2811">
        <f t="shared" si="128"/>
        <v>0</v>
      </c>
      <c r="AX295" s="281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01"/>
      <c r="E296" s="35">
        <f t="shared" si="123"/>
        <v>0</v>
      </c>
      <c r="F296" s="36"/>
      <c r="G296" s="33">
        <f t="shared" si="124"/>
        <v>0</v>
      </c>
      <c r="H296" s="20">
        <f t="shared" si="125"/>
        <v>0</v>
      </c>
      <c r="I296" s="2097"/>
      <c r="J296" s="39"/>
      <c r="K296" s="39"/>
      <c r="L296" s="39"/>
      <c r="M296" s="39"/>
      <c r="N296" s="39"/>
      <c r="O296" s="39"/>
      <c r="P296" s="39"/>
      <c r="Q296" s="39"/>
      <c r="R296" s="39"/>
      <c r="S296" s="39"/>
      <c r="T296" s="39"/>
      <c r="U296" s="39"/>
      <c r="V296" s="39"/>
      <c r="W296" s="39"/>
      <c r="X296" s="39"/>
      <c r="Y296" s="39"/>
      <c r="Z296" s="39"/>
      <c r="AA296" s="39"/>
      <c r="AB296" s="39"/>
      <c r="AC296" s="16">
        <f t="shared" si="126"/>
        <v>0</v>
      </c>
      <c r="AD296" s="2098"/>
      <c r="AE296" s="2098"/>
      <c r="AF296" s="2098"/>
      <c r="AG296" s="2098"/>
      <c r="AH296" s="2098"/>
      <c r="AI296" s="2098"/>
      <c r="AJ296" s="2098"/>
      <c r="AK296" s="2098"/>
      <c r="AL296" s="2098"/>
      <c r="AM296" s="2098"/>
      <c r="AN296" s="2098"/>
      <c r="AO296" s="2098"/>
      <c r="AP296" s="2098"/>
      <c r="AQ296" s="2098"/>
      <c r="AR296" s="2098"/>
      <c r="AS296" s="2098"/>
      <c r="AT296" s="2099"/>
      <c r="AU296" s="2100"/>
      <c r="AV296" s="24">
        <f t="shared" si="127"/>
        <v>0</v>
      </c>
      <c r="AW296" s="2811">
        <f t="shared" si="128"/>
        <v>0</v>
      </c>
      <c r="AX296" s="281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01"/>
      <c r="E297" s="35">
        <f t="shared" si="123"/>
        <v>0</v>
      </c>
      <c r="F297" s="36"/>
      <c r="G297" s="33">
        <f t="shared" si="124"/>
        <v>0</v>
      </c>
      <c r="H297" s="20">
        <f t="shared" si="125"/>
        <v>0</v>
      </c>
      <c r="I297" s="2097"/>
      <c r="J297" s="39"/>
      <c r="K297" s="39"/>
      <c r="L297" s="39"/>
      <c r="M297" s="39"/>
      <c r="N297" s="39"/>
      <c r="O297" s="39"/>
      <c r="P297" s="39"/>
      <c r="Q297" s="39"/>
      <c r="R297" s="39"/>
      <c r="S297" s="39"/>
      <c r="T297" s="39"/>
      <c r="U297" s="39"/>
      <c r="V297" s="39"/>
      <c r="W297" s="39"/>
      <c r="X297" s="39"/>
      <c r="Y297" s="39"/>
      <c r="Z297" s="39"/>
      <c r="AA297" s="39"/>
      <c r="AB297" s="39"/>
      <c r="AC297" s="16">
        <f t="shared" si="126"/>
        <v>0</v>
      </c>
      <c r="AD297" s="2098"/>
      <c r="AE297" s="2098"/>
      <c r="AF297" s="2098"/>
      <c r="AG297" s="2098"/>
      <c r="AH297" s="2098"/>
      <c r="AI297" s="2098"/>
      <c r="AJ297" s="2098"/>
      <c r="AK297" s="2098"/>
      <c r="AL297" s="2098"/>
      <c r="AM297" s="2098"/>
      <c r="AN297" s="2098"/>
      <c r="AO297" s="2098"/>
      <c r="AP297" s="2098"/>
      <c r="AQ297" s="2098"/>
      <c r="AR297" s="2098"/>
      <c r="AS297" s="2098"/>
      <c r="AT297" s="2099"/>
      <c r="AU297" s="2100"/>
      <c r="AV297" s="24">
        <f t="shared" si="127"/>
        <v>0</v>
      </c>
      <c r="AW297" s="2811">
        <f t="shared" si="128"/>
        <v>0</v>
      </c>
      <c r="AX297" s="281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01"/>
      <c r="E298" s="35">
        <f t="shared" si="123"/>
        <v>0</v>
      </c>
      <c r="F298" s="36"/>
      <c r="G298" s="33">
        <f t="shared" si="124"/>
        <v>0</v>
      </c>
      <c r="H298" s="20">
        <f t="shared" si="125"/>
        <v>0</v>
      </c>
      <c r="I298" s="2097"/>
      <c r="J298" s="39"/>
      <c r="K298" s="39"/>
      <c r="L298" s="39"/>
      <c r="M298" s="39"/>
      <c r="N298" s="39"/>
      <c r="O298" s="39"/>
      <c r="P298" s="39"/>
      <c r="Q298" s="39"/>
      <c r="R298" s="39"/>
      <c r="S298" s="39"/>
      <c r="T298" s="39"/>
      <c r="U298" s="39"/>
      <c r="V298" s="39"/>
      <c r="W298" s="39"/>
      <c r="X298" s="39"/>
      <c r="Y298" s="39"/>
      <c r="Z298" s="39"/>
      <c r="AA298" s="39"/>
      <c r="AB298" s="39"/>
      <c r="AC298" s="16">
        <f t="shared" si="126"/>
        <v>0</v>
      </c>
      <c r="AD298" s="2098"/>
      <c r="AE298" s="2098"/>
      <c r="AF298" s="2098"/>
      <c r="AG298" s="2098"/>
      <c r="AH298" s="2098"/>
      <c r="AI298" s="2098"/>
      <c r="AJ298" s="2098"/>
      <c r="AK298" s="2098"/>
      <c r="AL298" s="2098"/>
      <c r="AM298" s="2098"/>
      <c r="AN298" s="2098"/>
      <c r="AO298" s="2098"/>
      <c r="AP298" s="2098"/>
      <c r="AQ298" s="2098"/>
      <c r="AR298" s="2098"/>
      <c r="AS298" s="2098"/>
      <c r="AT298" s="2099"/>
      <c r="AU298" s="2100"/>
      <c r="AV298" s="24">
        <f t="shared" si="127"/>
        <v>0</v>
      </c>
      <c r="AW298" s="2811">
        <f t="shared" si="128"/>
        <v>0</v>
      </c>
      <c r="AX298" s="281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01"/>
      <c r="E299" s="35">
        <f t="shared" si="123"/>
        <v>0</v>
      </c>
      <c r="F299" s="36"/>
      <c r="G299" s="33">
        <f t="shared" si="124"/>
        <v>0</v>
      </c>
      <c r="H299" s="20">
        <f t="shared" si="125"/>
        <v>0</v>
      </c>
      <c r="I299" s="2097"/>
      <c r="J299" s="39"/>
      <c r="K299" s="39"/>
      <c r="L299" s="39"/>
      <c r="M299" s="39"/>
      <c r="N299" s="39"/>
      <c r="O299" s="39"/>
      <c r="P299" s="39"/>
      <c r="Q299" s="39"/>
      <c r="R299" s="39"/>
      <c r="S299" s="39"/>
      <c r="T299" s="39"/>
      <c r="U299" s="39"/>
      <c r="V299" s="39"/>
      <c r="W299" s="39"/>
      <c r="X299" s="39"/>
      <c r="Y299" s="39"/>
      <c r="Z299" s="39"/>
      <c r="AA299" s="39"/>
      <c r="AB299" s="39"/>
      <c r="AC299" s="16">
        <f t="shared" si="126"/>
        <v>0</v>
      </c>
      <c r="AD299" s="2098"/>
      <c r="AE299" s="2098"/>
      <c r="AF299" s="2098"/>
      <c r="AG299" s="2098"/>
      <c r="AH299" s="2098"/>
      <c r="AI299" s="2098"/>
      <c r="AJ299" s="2098"/>
      <c r="AK299" s="2098"/>
      <c r="AL299" s="2098"/>
      <c r="AM299" s="2098"/>
      <c r="AN299" s="2098"/>
      <c r="AO299" s="2098"/>
      <c r="AP299" s="2098"/>
      <c r="AQ299" s="2098"/>
      <c r="AR299" s="2098"/>
      <c r="AS299" s="2098"/>
      <c r="AT299" s="2099"/>
      <c r="AU299" s="2100"/>
      <c r="AV299" s="24">
        <f t="shared" si="127"/>
        <v>0</v>
      </c>
      <c r="AW299" s="2811">
        <f t="shared" si="128"/>
        <v>0</v>
      </c>
      <c r="AX299" s="281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01"/>
      <c r="E300" s="35">
        <f t="shared" si="123"/>
        <v>0</v>
      </c>
      <c r="F300" s="44"/>
      <c r="G300" s="33">
        <f t="shared" ref="G300:G331" si="152">H300+AC300+AT300</f>
        <v>0</v>
      </c>
      <c r="H300" s="20">
        <f t="shared" ref="H300:H331" si="153">SUMIF(I$12:AB$12,"总值",I300:AB300)</f>
        <v>0</v>
      </c>
      <c r="I300" s="2097"/>
      <c r="J300" s="10"/>
      <c r="K300" s="39"/>
      <c r="L300" s="39"/>
      <c r="M300" s="39"/>
      <c r="N300" s="39"/>
      <c r="O300" s="39"/>
      <c r="P300" s="39"/>
      <c r="Q300" s="39"/>
      <c r="R300" s="39"/>
      <c r="S300" s="39"/>
      <c r="T300" s="39"/>
      <c r="U300" s="39"/>
      <c r="V300" s="39"/>
      <c r="W300" s="39"/>
      <c r="X300" s="39"/>
      <c r="Y300" s="39"/>
      <c r="Z300" s="39"/>
      <c r="AA300" s="39"/>
      <c r="AB300" s="39"/>
      <c r="AC300" s="16">
        <f t="shared" ref="AC300:AC331" si="154">SUMIF(AD$12:AS$12,"总值",AD300:AS300)</f>
        <v>0</v>
      </c>
      <c r="AD300" s="2098"/>
      <c r="AE300" s="2098"/>
      <c r="AF300" s="2098"/>
      <c r="AG300" s="2098"/>
      <c r="AH300" s="2098"/>
      <c r="AI300" s="2098"/>
      <c r="AJ300" s="2098"/>
      <c r="AK300" s="2098"/>
      <c r="AL300" s="2098"/>
      <c r="AM300" s="2098"/>
      <c r="AN300" s="2098"/>
      <c r="AO300" s="2098"/>
      <c r="AP300" s="2098"/>
      <c r="AQ300" s="2098"/>
      <c r="AR300" s="2098"/>
      <c r="AS300" s="2098"/>
      <c r="AT300" s="2099"/>
      <c r="AU300" s="2100"/>
      <c r="AV300" s="24">
        <f t="shared" si="127"/>
        <v>0</v>
      </c>
      <c r="AW300" s="2811">
        <f t="shared" si="128"/>
        <v>0</v>
      </c>
      <c r="AX300" s="281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01"/>
      <c r="E301" s="35">
        <f t="shared" si="123"/>
        <v>0</v>
      </c>
      <c r="F301" s="44"/>
      <c r="G301" s="33">
        <f t="shared" si="152"/>
        <v>0</v>
      </c>
      <c r="H301" s="20">
        <f t="shared" si="153"/>
        <v>0</v>
      </c>
      <c r="I301" s="2097"/>
      <c r="J301" s="39"/>
      <c r="K301" s="39"/>
      <c r="L301" s="39"/>
      <c r="M301" s="39"/>
      <c r="N301" s="39"/>
      <c r="O301" s="39"/>
      <c r="P301" s="39"/>
      <c r="Q301" s="39"/>
      <c r="R301" s="39"/>
      <c r="S301" s="39"/>
      <c r="T301" s="39"/>
      <c r="U301" s="39"/>
      <c r="V301" s="39"/>
      <c r="W301" s="39"/>
      <c r="X301" s="39"/>
      <c r="Y301" s="39"/>
      <c r="Z301" s="39"/>
      <c r="AA301" s="39"/>
      <c r="AB301" s="39"/>
      <c r="AC301" s="16">
        <f t="shared" si="154"/>
        <v>0</v>
      </c>
      <c r="AD301" s="2098"/>
      <c r="AE301" s="2098"/>
      <c r="AF301" s="2098"/>
      <c r="AG301" s="2098"/>
      <c r="AH301" s="2098"/>
      <c r="AI301" s="2098"/>
      <c r="AJ301" s="2098"/>
      <c r="AK301" s="2098"/>
      <c r="AL301" s="2098"/>
      <c r="AM301" s="2098"/>
      <c r="AN301" s="2098"/>
      <c r="AO301" s="2098"/>
      <c r="AP301" s="2098"/>
      <c r="AQ301" s="2098"/>
      <c r="AR301" s="2098"/>
      <c r="AS301" s="2098"/>
      <c r="AT301" s="2099"/>
      <c r="AU301" s="2100"/>
      <c r="AV301" s="24">
        <f t="shared" si="127"/>
        <v>0</v>
      </c>
      <c r="AW301" s="2811">
        <f t="shared" si="128"/>
        <v>0</v>
      </c>
      <c r="AX301" s="281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01"/>
      <c r="E302" s="35">
        <f t="shared" si="123"/>
        <v>0</v>
      </c>
      <c r="F302" s="44"/>
      <c r="G302" s="33">
        <f t="shared" si="152"/>
        <v>0</v>
      </c>
      <c r="H302" s="20">
        <f t="shared" si="153"/>
        <v>0</v>
      </c>
      <c r="I302" s="2097"/>
      <c r="J302" s="39"/>
      <c r="K302" s="39"/>
      <c r="L302" s="39"/>
      <c r="M302" s="39"/>
      <c r="N302" s="39"/>
      <c r="O302" s="39"/>
      <c r="P302" s="39"/>
      <c r="Q302" s="39"/>
      <c r="R302" s="39"/>
      <c r="S302" s="39"/>
      <c r="T302" s="39"/>
      <c r="U302" s="39"/>
      <c r="V302" s="39"/>
      <c r="W302" s="39"/>
      <c r="X302" s="39"/>
      <c r="Y302" s="39"/>
      <c r="Z302" s="39"/>
      <c r="AA302" s="39"/>
      <c r="AB302" s="39"/>
      <c r="AC302" s="16">
        <f t="shared" si="154"/>
        <v>0</v>
      </c>
      <c r="AD302" s="2098"/>
      <c r="AE302" s="2098"/>
      <c r="AF302" s="2098"/>
      <c r="AG302" s="2098"/>
      <c r="AH302" s="2098"/>
      <c r="AI302" s="2098"/>
      <c r="AJ302" s="2098"/>
      <c r="AK302" s="2098"/>
      <c r="AL302" s="2098"/>
      <c r="AM302" s="2098"/>
      <c r="AN302" s="2098"/>
      <c r="AO302" s="2098"/>
      <c r="AP302" s="2098"/>
      <c r="AQ302" s="2098"/>
      <c r="AR302" s="2098"/>
      <c r="AS302" s="2098"/>
      <c r="AT302" s="2099"/>
      <c r="AU302" s="2100"/>
      <c r="AV302" s="24">
        <f t="shared" si="127"/>
        <v>0</v>
      </c>
      <c r="AW302" s="2811">
        <f t="shared" si="128"/>
        <v>0</v>
      </c>
      <c r="AX302" s="281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01"/>
      <c r="E303" s="35">
        <f t="shared" ref="E303:E334" si="177">IF($C$3="是",ROUND($A$3*G303/$B$3,2),ROUND($A$3*(G303-AT303)/$B$3,2))</f>
        <v>0</v>
      </c>
      <c r="F303" s="36"/>
      <c r="G303" s="33">
        <f t="shared" si="152"/>
        <v>0</v>
      </c>
      <c r="H303" s="20">
        <f t="shared" si="153"/>
        <v>0</v>
      </c>
      <c r="I303" s="2097"/>
      <c r="J303" s="39"/>
      <c r="K303" s="39"/>
      <c r="L303" s="39"/>
      <c r="M303" s="39"/>
      <c r="N303" s="39"/>
      <c r="O303" s="39"/>
      <c r="P303" s="39"/>
      <c r="Q303" s="39"/>
      <c r="R303" s="39"/>
      <c r="S303" s="39"/>
      <c r="T303" s="39"/>
      <c r="U303" s="39"/>
      <c r="V303" s="39"/>
      <c r="W303" s="39"/>
      <c r="X303" s="39"/>
      <c r="Y303" s="39"/>
      <c r="Z303" s="39"/>
      <c r="AA303" s="39"/>
      <c r="AB303" s="39"/>
      <c r="AC303" s="16">
        <f t="shared" si="154"/>
        <v>0</v>
      </c>
      <c r="AD303" s="2098"/>
      <c r="AE303" s="2098"/>
      <c r="AF303" s="2098"/>
      <c r="AG303" s="2098"/>
      <c r="AH303" s="2098"/>
      <c r="AI303" s="2098"/>
      <c r="AJ303" s="2098"/>
      <c r="AK303" s="2098"/>
      <c r="AL303" s="2098"/>
      <c r="AM303" s="2098"/>
      <c r="AN303" s="2098"/>
      <c r="AO303" s="2098"/>
      <c r="AP303" s="2098"/>
      <c r="AQ303" s="2098"/>
      <c r="AR303" s="2098"/>
      <c r="AS303" s="2098"/>
      <c r="AT303" s="2099"/>
      <c r="AU303" s="2100"/>
      <c r="AV303" s="24">
        <f t="shared" ref="AV303:AV334" si="178">A303</f>
        <v>0</v>
      </c>
      <c r="AW303" s="2811">
        <f t="shared" ref="AW303:AW334" si="179">B303</f>
        <v>0</v>
      </c>
      <c r="AX303" s="281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01"/>
      <c r="E304" s="35">
        <f t="shared" si="177"/>
        <v>0</v>
      </c>
      <c r="F304" s="36"/>
      <c r="G304" s="33">
        <f t="shared" si="152"/>
        <v>0</v>
      </c>
      <c r="H304" s="20">
        <f t="shared" si="153"/>
        <v>0</v>
      </c>
      <c r="I304" s="2097"/>
      <c r="J304" s="39"/>
      <c r="K304" s="39"/>
      <c r="L304" s="39"/>
      <c r="M304" s="39"/>
      <c r="N304" s="39"/>
      <c r="O304" s="39"/>
      <c r="P304" s="39"/>
      <c r="Q304" s="39"/>
      <c r="R304" s="39"/>
      <c r="S304" s="39"/>
      <c r="T304" s="39"/>
      <c r="U304" s="39"/>
      <c r="V304" s="39"/>
      <c r="W304" s="39"/>
      <c r="X304" s="39"/>
      <c r="Y304" s="39"/>
      <c r="Z304" s="39"/>
      <c r="AA304" s="39"/>
      <c r="AB304" s="39"/>
      <c r="AC304" s="16">
        <f t="shared" si="154"/>
        <v>0</v>
      </c>
      <c r="AD304" s="2098"/>
      <c r="AE304" s="2098"/>
      <c r="AF304" s="2098"/>
      <c r="AG304" s="2098"/>
      <c r="AH304" s="2098"/>
      <c r="AI304" s="2098"/>
      <c r="AJ304" s="2098"/>
      <c r="AK304" s="2098"/>
      <c r="AL304" s="2098"/>
      <c r="AM304" s="2098"/>
      <c r="AN304" s="2098"/>
      <c r="AO304" s="2098"/>
      <c r="AP304" s="2098"/>
      <c r="AQ304" s="2098"/>
      <c r="AR304" s="2098"/>
      <c r="AS304" s="2098"/>
      <c r="AT304" s="2099"/>
      <c r="AU304" s="2100"/>
      <c r="AV304" s="24">
        <f t="shared" si="178"/>
        <v>0</v>
      </c>
      <c r="AW304" s="2811">
        <f t="shared" si="179"/>
        <v>0</v>
      </c>
      <c r="AX304" s="281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01"/>
      <c r="E305" s="35">
        <f t="shared" si="177"/>
        <v>0</v>
      </c>
      <c r="F305" s="36"/>
      <c r="G305" s="33">
        <f t="shared" si="152"/>
        <v>0</v>
      </c>
      <c r="H305" s="20">
        <f t="shared" si="153"/>
        <v>0</v>
      </c>
      <c r="I305" s="2097"/>
      <c r="J305" s="39"/>
      <c r="K305" s="39"/>
      <c r="L305" s="39"/>
      <c r="M305" s="39"/>
      <c r="N305" s="39"/>
      <c r="O305" s="39"/>
      <c r="P305" s="39"/>
      <c r="Q305" s="39"/>
      <c r="R305" s="39"/>
      <c r="S305" s="39"/>
      <c r="T305" s="39"/>
      <c r="U305" s="39"/>
      <c r="V305" s="39"/>
      <c r="W305" s="39"/>
      <c r="X305" s="39"/>
      <c r="Y305" s="39"/>
      <c r="Z305" s="39"/>
      <c r="AA305" s="39"/>
      <c r="AB305" s="39"/>
      <c r="AC305" s="16">
        <f t="shared" si="154"/>
        <v>0</v>
      </c>
      <c r="AD305" s="2098"/>
      <c r="AE305" s="2098"/>
      <c r="AF305" s="2098"/>
      <c r="AG305" s="2098"/>
      <c r="AH305" s="2098"/>
      <c r="AI305" s="2098"/>
      <c r="AJ305" s="2098"/>
      <c r="AK305" s="2098"/>
      <c r="AL305" s="2098"/>
      <c r="AM305" s="2098"/>
      <c r="AN305" s="2098"/>
      <c r="AO305" s="2098"/>
      <c r="AP305" s="2098"/>
      <c r="AQ305" s="2098"/>
      <c r="AR305" s="2098"/>
      <c r="AS305" s="2098"/>
      <c r="AT305" s="2099"/>
      <c r="AU305" s="2100"/>
      <c r="AV305" s="24">
        <f t="shared" si="178"/>
        <v>0</v>
      </c>
      <c r="AW305" s="2811">
        <f t="shared" si="179"/>
        <v>0</v>
      </c>
      <c r="AX305" s="281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01"/>
      <c r="E306" s="35">
        <f t="shared" si="177"/>
        <v>0</v>
      </c>
      <c r="F306" s="36"/>
      <c r="G306" s="33">
        <f t="shared" si="152"/>
        <v>0</v>
      </c>
      <c r="H306" s="20">
        <f t="shared" si="153"/>
        <v>0</v>
      </c>
      <c r="I306" s="2097"/>
      <c r="J306" s="39"/>
      <c r="K306" s="39"/>
      <c r="L306" s="39"/>
      <c r="M306" s="39"/>
      <c r="N306" s="39"/>
      <c r="O306" s="39"/>
      <c r="P306" s="39"/>
      <c r="Q306" s="39"/>
      <c r="R306" s="39"/>
      <c r="S306" s="39"/>
      <c r="T306" s="39"/>
      <c r="U306" s="39"/>
      <c r="V306" s="39"/>
      <c r="W306" s="39"/>
      <c r="X306" s="39"/>
      <c r="Y306" s="39"/>
      <c r="Z306" s="39"/>
      <c r="AA306" s="39"/>
      <c r="AB306" s="39"/>
      <c r="AC306" s="16">
        <f t="shared" si="154"/>
        <v>0</v>
      </c>
      <c r="AD306" s="2098"/>
      <c r="AE306" s="2098"/>
      <c r="AF306" s="2098"/>
      <c r="AG306" s="2098"/>
      <c r="AH306" s="2098"/>
      <c r="AI306" s="2098"/>
      <c r="AJ306" s="2098"/>
      <c r="AK306" s="2098"/>
      <c r="AL306" s="2098"/>
      <c r="AM306" s="2098"/>
      <c r="AN306" s="2098"/>
      <c r="AO306" s="2098"/>
      <c r="AP306" s="2098"/>
      <c r="AQ306" s="2098"/>
      <c r="AR306" s="2098"/>
      <c r="AS306" s="2098"/>
      <c r="AT306" s="2099"/>
      <c r="AU306" s="2100"/>
      <c r="AV306" s="24">
        <f t="shared" si="178"/>
        <v>0</v>
      </c>
      <c r="AW306" s="2811">
        <f t="shared" si="179"/>
        <v>0</v>
      </c>
      <c r="AX306" s="281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01"/>
      <c r="E307" s="35">
        <f t="shared" si="177"/>
        <v>0</v>
      </c>
      <c r="F307" s="36"/>
      <c r="G307" s="33">
        <f t="shared" si="152"/>
        <v>0</v>
      </c>
      <c r="H307" s="20">
        <f t="shared" si="153"/>
        <v>0</v>
      </c>
      <c r="I307" s="2097"/>
      <c r="J307" s="39"/>
      <c r="K307" s="39"/>
      <c r="L307" s="39"/>
      <c r="M307" s="39"/>
      <c r="N307" s="39"/>
      <c r="O307" s="39"/>
      <c r="P307" s="39"/>
      <c r="Q307" s="39"/>
      <c r="R307" s="39"/>
      <c r="S307" s="39"/>
      <c r="T307" s="39"/>
      <c r="U307" s="39"/>
      <c r="V307" s="39"/>
      <c r="W307" s="39"/>
      <c r="X307" s="39"/>
      <c r="Y307" s="39"/>
      <c r="Z307" s="39"/>
      <c r="AA307" s="39"/>
      <c r="AB307" s="39"/>
      <c r="AC307" s="16">
        <f t="shared" si="154"/>
        <v>0</v>
      </c>
      <c r="AD307" s="2098"/>
      <c r="AE307" s="2098"/>
      <c r="AF307" s="2098"/>
      <c r="AG307" s="2098"/>
      <c r="AH307" s="2098"/>
      <c r="AI307" s="2098"/>
      <c r="AJ307" s="2098"/>
      <c r="AK307" s="2098"/>
      <c r="AL307" s="2098"/>
      <c r="AM307" s="2098"/>
      <c r="AN307" s="2098"/>
      <c r="AO307" s="2098"/>
      <c r="AP307" s="2098"/>
      <c r="AQ307" s="2098"/>
      <c r="AR307" s="2098"/>
      <c r="AS307" s="2098"/>
      <c r="AT307" s="2099"/>
      <c r="AU307" s="2100"/>
      <c r="AV307" s="24">
        <f t="shared" si="178"/>
        <v>0</v>
      </c>
      <c r="AW307" s="2811">
        <f t="shared" si="179"/>
        <v>0</v>
      </c>
      <c r="AX307" s="281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01"/>
      <c r="E308" s="35">
        <f t="shared" si="177"/>
        <v>0</v>
      </c>
      <c r="F308" s="36"/>
      <c r="G308" s="33">
        <f t="shared" si="152"/>
        <v>0</v>
      </c>
      <c r="H308" s="20">
        <f t="shared" si="153"/>
        <v>0</v>
      </c>
      <c r="I308" s="2097"/>
      <c r="J308" s="39"/>
      <c r="K308" s="39"/>
      <c r="L308" s="39"/>
      <c r="M308" s="39"/>
      <c r="N308" s="39"/>
      <c r="O308" s="39"/>
      <c r="P308" s="39"/>
      <c r="Q308" s="39"/>
      <c r="R308" s="39"/>
      <c r="S308" s="39"/>
      <c r="T308" s="39"/>
      <c r="U308" s="39"/>
      <c r="V308" s="39"/>
      <c r="W308" s="39"/>
      <c r="X308" s="39"/>
      <c r="Y308" s="39"/>
      <c r="Z308" s="39"/>
      <c r="AA308" s="39"/>
      <c r="AB308" s="39"/>
      <c r="AC308" s="16">
        <f t="shared" si="154"/>
        <v>0</v>
      </c>
      <c r="AD308" s="2098"/>
      <c r="AE308" s="2098"/>
      <c r="AF308" s="2098"/>
      <c r="AG308" s="2098"/>
      <c r="AH308" s="2098"/>
      <c r="AI308" s="2098"/>
      <c r="AJ308" s="2098"/>
      <c r="AK308" s="2098"/>
      <c r="AL308" s="2098"/>
      <c r="AM308" s="2098"/>
      <c r="AN308" s="2098"/>
      <c r="AO308" s="2098"/>
      <c r="AP308" s="2098"/>
      <c r="AQ308" s="2098"/>
      <c r="AR308" s="2098"/>
      <c r="AS308" s="2098"/>
      <c r="AT308" s="2099"/>
      <c r="AU308" s="2100"/>
      <c r="AV308" s="24">
        <f t="shared" si="178"/>
        <v>0</v>
      </c>
      <c r="AW308" s="2811">
        <f t="shared" si="179"/>
        <v>0</v>
      </c>
      <c r="AX308" s="281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01"/>
      <c r="E309" s="35">
        <f t="shared" si="177"/>
        <v>0</v>
      </c>
      <c r="F309" s="36"/>
      <c r="G309" s="33">
        <f t="shared" si="152"/>
        <v>0</v>
      </c>
      <c r="H309" s="20">
        <f t="shared" si="153"/>
        <v>0</v>
      </c>
      <c r="I309" s="2097"/>
      <c r="J309" s="39"/>
      <c r="K309" s="39"/>
      <c r="L309" s="39"/>
      <c r="M309" s="39"/>
      <c r="N309" s="39"/>
      <c r="O309" s="39"/>
      <c r="P309" s="39"/>
      <c r="Q309" s="39"/>
      <c r="R309" s="39"/>
      <c r="S309" s="39"/>
      <c r="T309" s="39"/>
      <c r="U309" s="39"/>
      <c r="V309" s="39"/>
      <c r="W309" s="39"/>
      <c r="X309" s="39"/>
      <c r="Y309" s="39"/>
      <c r="Z309" s="39"/>
      <c r="AA309" s="39"/>
      <c r="AB309" s="39"/>
      <c r="AC309" s="16">
        <f t="shared" si="154"/>
        <v>0</v>
      </c>
      <c r="AD309" s="2098"/>
      <c r="AE309" s="2098"/>
      <c r="AF309" s="2098"/>
      <c r="AG309" s="2098"/>
      <c r="AH309" s="2098"/>
      <c r="AI309" s="2098"/>
      <c r="AJ309" s="2098"/>
      <c r="AK309" s="2098"/>
      <c r="AL309" s="2098"/>
      <c r="AM309" s="2098"/>
      <c r="AN309" s="2098"/>
      <c r="AO309" s="2098"/>
      <c r="AP309" s="2098"/>
      <c r="AQ309" s="2098"/>
      <c r="AR309" s="2098"/>
      <c r="AS309" s="2098"/>
      <c r="AT309" s="2099"/>
      <c r="AU309" s="2100"/>
      <c r="AV309" s="24">
        <f t="shared" si="178"/>
        <v>0</v>
      </c>
      <c r="AW309" s="2811">
        <f t="shared" si="179"/>
        <v>0</v>
      </c>
      <c r="AX309" s="281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01"/>
      <c r="E310" s="35">
        <f t="shared" si="177"/>
        <v>0</v>
      </c>
      <c r="F310" s="36"/>
      <c r="G310" s="33">
        <f t="shared" si="152"/>
        <v>0</v>
      </c>
      <c r="H310" s="20">
        <f t="shared" si="153"/>
        <v>0</v>
      </c>
      <c r="I310" s="2097"/>
      <c r="J310" s="39"/>
      <c r="K310" s="39"/>
      <c r="L310" s="39"/>
      <c r="M310" s="39"/>
      <c r="N310" s="39"/>
      <c r="O310" s="39"/>
      <c r="P310" s="39"/>
      <c r="Q310" s="39"/>
      <c r="R310" s="39"/>
      <c r="S310" s="39"/>
      <c r="T310" s="39"/>
      <c r="U310" s="39"/>
      <c r="V310" s="39"/>
      <c r="W310" s="39"/>
      <c r="X310" s="39"/>
      <c r="Y310" s="39"/>
      <c r="Z310" s="39"/>
      <c r="AA310" s="39"/>
      <c r="AB310" s="39"/>
      <c r="AC310" s="16">
        <f t="shared" si="154"/>
        <v>0</v>
      </c>
      <c r="AD310" s="2098"/>
      <c r="AE310" s="2098"/>
      <c r="AF310" s="2098"/>
      <c r="AG310" s="2098"/>
      <c r="AH310" s="2098"/>
      <c r="AI310" s="2098"/>
      <c r="AJ310" s="2098"/>
      <c r="AK310" s="2098"/>
      <c r="AL310" s="2098"/>
      <c r="AM310" s="2098"/>
      <c r="AN310" s="2098"/>
      <c r="AO310" s="2098"/>
      <c r="AP310" s="2098"/>
      <c r="AQ310" s="2098"/>
      <c r="AR310" s="2098"/>
      <c r="AS310" s="2098"/>
      <c r="AT310" s="2099"/>
      <c r="AU310" s="2100"/>
      <c r="AV310" s="24">
        <f t="shared" si="178"/>
        <v>0</v>
      </c>
      <c r="AW310" s="2811">
        <f t="shared" si="179"/>
        <v>0</v>
      </c>
      <c r="AX310" s="281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01"/>
      <c r="E311" s="35">
        <f t="shared" si="177"/>
        <v>0</v>
      </c>
      <c r="F311" s="36"/>
      <c r="G311" s="33">
        <f t="shared" si="152"/>
        <v>0</v>
      </c>
      <c r="H311" s="20">
        <f t="shared" si="153"/>
        <v>0</v>
      </c>
      <c r="I311" s="2097"/>
      <c r="J311" s="39"/>
      <c r="K311" s="39"/>
      <c r="L311" s="39"/>
      <c r="M311" s="39"/>
      <c r="N311" s="39"/>
      <c r="O311" s="39"/>
      <c r="P311" s="39"/>
      <c r="Q311" s="39"/>
      <c r="R311" s="39"/>
      <c r="S311" s="39"/>
      <c r="T311" s="39"/>
      <c r="U311" s="39"/>
      <c r="V311" s="39"/>
      <c r="W311" s="39"/>
      <c r="X311" s="39"/>
      <c r="Y311" s="39"/>
      <c r="Z311" s="39"/>
      <c r="AA311" s="39"/>
      <c r="AB311" s="39"/>
      <c r="AC311" s="16">
        <f t="shared" si="154"/>
        <v>0</v>
      </c>
      <c r="AD311" s="2098"/>
      <c r="AE311" s="2098"/>
      <c r="AF311" s="2098"/>
      <c r="AG311" s="2098"/>
      <c r="AH311" s="2098"/>
      <c r="AI311" s="2098"/>
      <c r="AJ311" s="2098"/>
      <c r="AK311" s="2098"/>
      <c r="AL311" s="2098"/>
      <c r="AM311" s="2098"/>
      <c r="AN311" s="2098"/>
      <c r="AO311" s="2098"/>
      <c r="AP311" s="2098"/>
      <c r="AQ311" s="2098"/>
      <c r="AR311" s="2098"/>
      <c r="AS311" s="2098"/>
      <c r="AT311" s="2099"/>
      <c r="AU311" s="2100"/>
      <c r="AV311" s="24">
        <f t="shared" si="178"/>
        <v>0</v>
      </c>
      <c r="AW311" s="2811">
        <f t="shared" si="179"/>
        <v>0</v>
      </c>
      <c r="AX311" s="281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01"/>
      <c r="E312" s="35">
        <f t="shared" si="177"/>
        <v>0</v>
      </c>
      <c r="F312" s="36"/>
      <c r="G312" s="33">
        <f t="shared" si="152"/>
        <v>0</v>
      </c>
      <c r="H312" s="20">
        <f t="shared" si="153"/>
        <v>0</v>
      </c>
      <c r="I312" s="2097"/>
      <c r="J312" s="39"/>
      <c r="K312" s="39"/>
      <c r="L312" s="39"/>
      <c r="M312" s="39"/>
      <c r="N312" s="39"/>
      <c r="O312" s="39"/>
      <c r="P312" s="39"/>
      <c r="Q312" s="39"/>
      <c r="R312" s="39"/>
      <c r="S312" s="39"/>
      <c r="T312" s="39"/>
      <c r="U312" s="39"/>
      <c r="V312" s="39"/>
      <c r="W312" s="39"/>
      <c r="X312" s="39"/>
      <c r="Y312" s="39"/>
      <c r="Z312" s="39"/>
      <c r="AA312" s="39"/>
      <c r="AB312" s="39"/>
      <c r="AC312" s="16">
        <f t="shared" si="154"/>
        <v>0</v>
      </c>
      <c r="AD312" s="2098"/>
      <c r="AE312" s="2098"/>
      <c r="AF312" s="2098"/>
      <c r="AG312" s="2098"/>
      <c r="AH312" s="2098"/>
      <c r="AI312" s="2098"/>
      <c r="AJ312" s="2098"/>
      <c r="AK312" s="2098"/>
      <c r="AL312" s="2098"/>
      <c r="AM312" s="2098"/>
      <c r="AN312" s="2098"/>
      <c r="AO312" s="2098"/>
      <c r="AP312" s="2098"/>
      <c r="AQ312" s="2098"/>
      <c r="AR312" s="2098"/>
      <c r="AS312" s="2098"/>
      <c r="AT312" s="2099"/>
      <c r="AU312" s="2100"/>
      <c r="AV312" s="24">
        <f t="shared" si="178"/>
        <v>0</v>
      </c>
      <c r="AW312" s="2811">
        <f t="shared" si="179"/>
        <v>0</v>
      </c>
      <c r="AX312" s="281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01"/>
      <c r="E313" s="35">
        <f t="shared" si="177"/>
        <v>0</v>
      </c>
      <c r="F313" s="36"/>
      <c r="G313" s="33">
        <f t="shared" si="152"/>
        <v>0</v>
      </c>
      <c r="H313" s="20">
        <f t="shared" si="153"/>
        <v>0</v>
      </c>
      <c r="I313" s="2097"/>
      <c r="J313" s="39"/>
      <c r="K313" s="39"/>
      <c r="L313" s="39"/>
      <c r="M313" s="39"/>
      <c r="N313" s="39"/>
      <c r="O313" s="39"/>
      <c r="P313" s="39"/>
      <c r="Q313" s="39"/>
      <c r="R313" s="39"/>
      <c r="S313" s="39"/>
      <c r="T313" s="39"/>
      <c r="U313" s="39"/>
      <c r="V313" s="39"/>
      <c r="W313" s="39"/>
      <c r="X313" s="39"/>
      <c r="Y313" s="39"/>
      <c r="Z313" s="39"/>
      <c r="AA313" s="39"/>
      <c r="AB313" s="39"/>
      <c r="AC313" s="16">
        <f t="shared" si="154"/>
        <v>0</v>
      </c>
      <c r="AD313" s="2098"/>
      <c r="AE313" s="2098"/>
      <c r="AF313" s="2098"/>
      <c r="AG313" s="2098"/>
      <c r="AH313" s="2098"/>
      <c r="AI313" s="2098"/>
      <c r="AJ313" s="2098"/>
      <c r="AK313" s="2098"/>
      <c r="AL313" s="2098"/>
      <c r="AM313" s="2098"/>
      <c r="AN313" s="2098"/>
      <c r="AO313" s="2098"/>
      <c r="AP313" s="2098"/>
      <c r="AQ313" s="2098"/>
      <c r="AR313" s="2098"/>
      <c r="AS313" s="2098"/>
      <c r="AT313" s="2099"/>
      <c r="AU313" s="2100"/>
      <c r="AV313" s="24">
        <f t="shared" si="178"/>
        <v>0</v>
      </c>
      <c r="AW313" s="2811">
        <f t="shared" si="179"/>
        <v>0</v>
      </c>
      <c r="AX313" s="281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01"/>
      <c r="E314" s="35">
        <f t="shared" si="177"/>
        <v>0</v>
      </c>
      <c r="F314" s="36"/>
      <c r="G314" s="33">
        <f t="shared" si="152"/>
        <v>0</v>
      </c>
      <c r="H314" s="20">
        <f t="shared" si="153"/>
        <v>0</v>
      </c>
      <c r="I314" s="2097"/>
      <c r="J314" s="39"/>
      <c r="K314" s="39"/>
      <c r="L314" s="39"/>
      <c r="M314" s="39"/>
      <c r="N314" s="39"/>
      <c r="O314" s="39"/>
      <c r="P314" s="39"/>
      <c r="Q314" s="39"/>
      <c r="R314" s="39"/>
      <c r="S314" s="39"/>
      <c r="T314" s="39"/>
      <c r="U314" s="39"/>
      <c r="V314" s="39"/>
      <c r="W314" s="39"/>
      <c r="X314" s="39"/>
      <c r="Y314" s="39"/>
      <c r="Z314" s="39"/>
      <c r="AA314" s="39"/>
      <c r="AB314" s="39"/>
      <c r="AC314" s="16">
        <f t="shared" si="154"/>
        <v>0</v>
      </c>
      <c r="AD314" s="2098"/>
      <c r="AE314" s="2098"/>
      <c r="AF314" s="2098"/>
      <c r="AG314" s="2098"/>
      <c r="AH314" s="2098"/>
      <c r="AI314" s="2098"/>
      <c r="AJ314" s="2098"/>
      <c r="AK314" s="2098"/>
      <c r="AL314" s="2098"/>
      <c r="AM314" s="2098"/>
      <c r="AN314" s="2098"/>
      <c r="AO314" s="2098"/>
      <c r="AP314" s="2098"/>
      <c r="AQ314" s="2098"/>
      <c r="AR314" s="2098"/>
      <c r="AS314" s="2098"/>
      <c r="AT314" s="2099"/>
      <c r="AU314" s="2100"/>
      <c r="AV314" s="24">
        <f t="shared" si="178"/>
        <v>0</v>
      </c>
      <c r="AW314" s="2811">
        <f t="shared" si="179"/>
        <v>0</v>
      </c>
      <c r="AX314" s="281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01"/>
      <c r="E315" s="35">
        <f t="shared" si="177"/>
        <v>0</v>
      </c>
      <c r="F315" s="36"/>
      <c r="G315" s="33">
        <f t="shared" si="152"/>
        <v>0</v>
      </c>
      <c r="H315" s="20">
        <f t="shared" si="153"/>
        <v>0</v>
      </c>
      <c r="I315" s="2097"/>
      <c r="J315" s="39"/>
      <c r="K315" s="39"/>
      <c r="L315" s="39"/>
      <c r="M315" s="39"/>
      <c r="N315" s="39"/>
      <c r="O315" s="39"/>
      <c r="P315" s="39"/>
      <c r="Q315" s="39"/>
      <c r="R315" s="39"/>
      <c r="S315" s="39"/>
      <c r="T315" s="39"/>
      <c r="U315" s="39"/>
      <c r="V315" s="39"/>
      <c r="W315" s="39"/>
      <c r="X315" s="39"/>
      <c r="Y315" s="39"/>
      <c r="Z315" s="39"/>
      <c r="AA315" s="39"/>
      <c r="AB315" s="39"/>
      <c r="AC315" s="16">
        <f t="shared" si="154"/>
        <v>0</v>
      </c>
      <c r="AD315" s="2098"/>
      <c r="AE315" s="2098"/>
      <c r="AF315" s="2098"/>
      <c r="AG315" s="2098"/>
      <c r="AH315" s="2098"/>
      <c r="AI315" s="2098"/>
      <c r="AJ315" s="2098"/>
      <c r="AK315" s="2098"/>
      <c r="AL315" s="2098"/>
      <c r="AM315" s="2098"/>
      <c r="AN315" s="2098"/>
      <c r="AO315" s="2098"/>
      <c r="AP315" s="2098"/>
      <c r="AQ315" s="2098"/>
      <c r="AR315" s="2098"/>
      <c r="AS315" s="2098"/>
      <c r="AT315" s="2099"/>
      <c r="AU315" s="2100"/>
      <c r="AV315" s="24">
        <f t="shared" si="178"/>
        <v>0</v>
      </c>
      <c r="AW315" s="2811">
        <f t="shared" si="179"/>
        <v>0</v>
      </c>
      <c r="AX315" s="281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01"/>
      <c r="E316" s="35">
        <f t="shared" si="177"/>
        <v>0</v>
      </c>
      <c r="F316" s="36"/>
      <c r="G316" s="33">
        <f t="shared" si="152"/>
        <v>0</v>
      </c>
      <c r="H316" s="20">
        <f t="shared" si="153"/>
        <v>0</v>
      </c>
      <c r="I316" s="2097"/>
      <c r="J316" s="39"/>
      <c r="K316" s="39"/>
      <c r="L316" s="39"/>
      <c r="M316" s="39"/>
      <c r="N316" s="39"/>
      <c r="O316" s="39"/>
      <c r="P316" s="39"/>
      <c r="Q316" s="39"/>
      <c r="R316" s="39"/>
      <c r="S316" s="39"/>
      <c r="T316" s="39"/>
      <c r="U316" s="39"/>
      <c r="V316" s="39"/>
      <c r="W316" s="39"/>
      <c r="X316" s="39"/>
      <c r="Y316" s="39"/>
      <c r="Z316" s="39"/>
      <c r="AA316" s="39"/>
      <c r="AB316" s="39"/>
      <c r="AC316" s="16">
        <f t="shared" si="154"/>
        <v>0</v>
      </c>
      <c r="AD316" s="2098"/>
      <c r="AE316" s="2098"/>
      <c r="AF316" s="2098"/>
      <c r="AG316" s="2098"/>
      <c r="AH316" s="2098"/>
      <c r="AI316" s="2098"/>
      <c r="AJ316" s="2098"/>
      <c r="AK316" s="2098"/>
      <c r="AL316" s="2098"/>
      <c r="AM316" s="2098"/>
      <c r="AN316" s="2098"/>
      <c r="AO316" s="2098"/>
      <c r="AP316" s="2098"/>
      <c r="AQ316" s="2098"/>
      <c r="AR316" s="2098"/>
      <c r="AS316" s="2098"/>
      <c r="AT316" s="2099"/>
      <c r="AU316" s="2100"/>
      <c r="AV316" s="24">
        <f t="shared" si="178"/>
        <v>0</v>
      </c>
      <c r="AW316" s="2811">
        <f t="shared" si="179"/>
        <v>0</v>
      </c>
      <c r="AX316" s="281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01"/>
      <c r="E317" s="35">
        <f t="shared" si="177"/>
        <v>0</v>
      </c>
      <c r="F317" s="36"/>
      <c r="G317" s="33">
        <f t="shared" si="152"/>
        <v>0</v>
      </c>
      <c r="H317" s="20">
        <f t="shared" si="153"/>
        <v>0</v>
      </c>
      <c r="I317" s="2097"/>
      <c r="J317" s="39"/>
      <c r="K317" s="39"/>
      <c r="L317" s="39"/>
      <c r="M317" s="39"/>
      <c r="N317" s="39"/>
      <c r="O317" s="39"/>
      <c r="P317" s="39"/>
      <c r="Q317" s="39"/>
      <c r="R317" s="39"/>
      <c r="S317" s="39"/>
      <c r="T317" s="39"/>
      <c r="U317" s="39"/>
      <c r="V317" s="39"/>
      <c r="W317" s="39"/>
      <c r="X317" s="39"/>
      <c r="Y317" s="39"/>
      <c r="Z317" s="39"/>
      <c r="AA317" s="39"/>
      <c r="AB317" s="39"/>
      <c r="AC317" s="16">
        <f t="shared" si="154"/>
        <v>0</v>
      </c>
      <c r="AD317" s="2098"/>
      <c r="AE317" s="2098"/>
      <c r="AF317" s="2098"/>
      <c r="AG317" s="2098"/>
      <c r="AH317" s="2098"/>
      <c r="AI317" s="2098"/>
      <c r="AJ317" s="2098"/>
      <c r="AK317" s="2098"/>
      <c r="AL317" s="2098"/>
      <c r="AM317" s="2098"/>
      <c r="AN317" s="2098"/>
      <c r="AO317" s="2098"/>
      <c r="AP317" s="2098"/>
      <c r="AQ317" s="2098"/>
      <c r="AR317" s="2098"/>
      <c r="AS317" s="2098"/>
      <c r="AT317" s="2099"/>
      <c r="AU317" s="2100"/>
      <c r="AV317" s="24">
        <f t="shared" si="178"/>
        <v>0</v>
      </c>
      <c r="AW317" s="2811">
        <f t="shared" si="179"/>
        <v>0</v>
      </c>
      <c r="AX317" s="281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01"/>
      <c r="E318" s="35">
        <f t="shared" si="177"/>
        <v>0</v>
      </c>
      <c r="F318" s="36"/>
      <c r="G318" s="33">
        <f t="shared" si="152"/>
        <v>0</v>
      </c>
      <c r="H318" s="20">
        <f t="shared" si="153"/>
        <v>0</v>
      </c>
      <c r="I318" s="2097"/>
      <c r="J318" s="39"/>
      <c r="K318" s="39"/>
      <c r="L318" s="39"/>
      <c r="M318" s="39"/>
      <c r="N318" s="39"/>
      <c r="O318" s="39"/>
      <c r="P318" s="39"/>
      <c r="Q318" s="39"/>
      <c r="R318" s="39"/>
      <c r="S318" s="39"/>
      <c r="T318" s="39"/>
      <c r="U318" s="39"/>
      <c r="V318" s="39"/>
      <c r="W318" s="39"/>
      <c r="X318" s="39"/>
      <c r="Y318" s="39"/>
      <c r="Z318" s="39"/>
      <c r="AA318" s="39"/>
      <c r="AB318" s="39"/>
      <c r="AC318" s="16">
        <f t="shared" si="154"/>
        <v>0</v>
      </c>
      <c r="AD318" s="2098"/>
      <c r="AE318" s="2098"/>
      <c r="AF318" s="2098"/>
      <c r="AG318" s="2098"/>
      <c r="AH318" s="2098"/>
      <c r="AI318" s="2098"/>
      <c r="AJ318" s="2098"/>
      <c r="AK318" s="2098"/>
      <c r="AL318" s="2098"/>
      <c r="AM318" s="2098"/>
      <c r="AN318" s="2098"/>
      <c r="AO318" s="2098"/>
      <c r="AP318" s="2098"/>
      <c r="AQ318" s="2098"/>
      <c r="AR318" s="2098"/>
      <c r="AS318" s="2098"/>
      <c r="AT318" s="2099"/>
      <c r="AU318" s="2100"/>
      <c r="AV318" s="24">
        <f t="shared" si="178"/>
        <v>0</v>
      </c>
      <c r="AW318" s="2811">
        <f t="shared" si="179"/>
        <v>0</v>
      </c>
      <c r="AX318" s="281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01"/>
      <c r="E319" s="35">
        <f t="shared" si="177"/>
        <v>0</v>
      </c>
      <c r="F319" s="36"/>
      <c r="G319" s="33">
        <f t="shared" si="152"/>
        <v>0</v>
      </c>
      <c r="H319" s="20">
        <f t="shared" si="153"/>
        <v>0</v>
      </c>
      <c r="I319" s="2097"/>
      <c r="J319" s="39"/>
      <c r="K319" s="39"/>
      <c r="L319" s="39"/>
      <c r="M319" s="39"/>
      <c r="N319" s="39"/>
      <c r="O319" s="39"/>
      <c r="P319" s="39"/>
      <c r="Q319" s="39"/>
      <c r="R319" s="39"/>
      <c r="S319" s="39"/>
      <c r="T319" s="39"/>
      <c r="U319" s="39"/>
      <c r="V319" s="39"/>
      <c r="W319" s="39"/>
      <c r="X319" s="39"/>
      <c r="Y319" s="39"/>
      <c r="Z319" s="39"/>
      <c r="AA319" s="39"/>
      <c r="AB319" s="39"/>
      <c r="AC319" s="16">
        <f t="shared" si="154"/>
        <v>0</v>
      </c>
      <c r="AD319" s="2098"/>
      <c r="AE319" s="2098"/>
      <c r="AF319" s="2098"/>
      <c r="AG319" s="2098"/>
      <c r="AH319" s="2098"/>
      <c r="AI319" s="2098"/>
      <c r="AJ319" s="2098"/>
      <c r="AK319" s="2098"/>
      <c r="AL319" s="2098"/>
      <c r="AM319" s="2098"/>
      <c r="AN319" s="2098"/>
      <c r="AO319" s="2098"/>
      <c r="AP319" s="2098"/>
      <c r="AQ319" s="2098"/>
      <c r="AR319" s="2098"/>
      <c r="AS319" s="2098"/>
      <c r="AT319" s="2099"/>
      <c r="AU319" s="2100"/>
      <c r="AV319" s="24">
        <f t="shared" si="178"/>
        <v>0</v>
      </c>
      <c r="AW319" s="2811">
        <f t="shared" si="179"/>
        <v>0</v>
      </c>
      <c r="AX319" s="281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01"/>
      <c r="E320" s="35">
        <f t="shared" si="177"/>
        <v>0</v>
      </c>
      <c r="F320" s="36"/>
      <c r="G320" s="33">
        <f t="shared" si="152"/>
        <v>0</v>
      </c>
      <c r="H320" s="20">
        <f t="shared" si="153"/>
        <v>0</v>
      </c>
      <c r="I320" s="2097"/>
      <c r="J320" s="39"/>
      <c r="K320" s="39"/>
      <c r="L320" s="39"/>
      <c r="M320" s="39"/>
      <c r="N320" s="39"/>
      <c r="O320" s="39"/>
      <c r="P320" s="39"/>
      <c r="Q320" s="39"/>
      <c r="R320" s="39"/>
      <c r="S320" s="39"/>
      <c r="T320" s="39"/>
      <c r="U320" s="39"/>
      <c r="V320" s="39"/>
      <c r="W320" s="39"/>
      <c r="X320" s="39"/>
      <c r="Y320" s="39"/>
      <c r="Z320" s="39"/>
      <c r="AA320" s="39"/>
      <c r="AB320" s="39"/>
      <c r="AC320" s="16">
        <f t="shared" si="154"/>
        <v>0</v>
      </c>
      <c r="AD320" s="2098"/>
      <c r="AE320" s="2098"/>
      <c r="AF320" s="2098"/>
      <c r="AG320" s="2098"/>
      <c r="AH320" s="2098"/>
      <c r="AI320" s="2098"/>
      <c r="AJ320" s="2098"/>
      <c r="AK320" s="2098"/>
      <c r="AL320" s="2098"/>
      <c r="AM320" s="2098"/>
      <c r="AN320" s="2098"/>
      <c r="AO320" s="2098"/>
      <c r="AP320" s="2098"/>
      <c r="AQ320" s="2098"/>
      <c r="AR320" s="2098"/>
      <c r="AS320" s="2098"/>
      <c r="AT320" s="2099"/>
      <c r="AU320" s="2100"/>
      <c r="AV320" s="24">
        <f t="shared" si="178"/>
        <v>0</v>
      </c>
      <c r="AW320" s="2811">
        <f t="shared" si="179"/>
        <v>0</v>
      </c>
      <c r="AX320" s="281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01"/>
      <c r="E321" s="35">
        <f t="shared" si="177"/>
        <v>0</v>
      </c>
      <c r="F321" s="36"/>
      <c r="G321" s="33">
        <f t="shared" si="152"/>
        <v>0</v>
      </c>
      <c r="H321" s="20">
        <f t="shared" si="153"/>
        <v>0</v>
      </c>
      <c r="I321" s="2097"/>
      <c r="J321" s="39"/>
      <c r="K321" s="39"/>
      <c r="L321" s="39"/>
      <c r="M321" s="39"/>
      <c r="N321" s="39"/>
      <c r="O321" s="39"/>
      <c r="P321" s="39"/>
      <c r="Q321" s="39"/>
      <c r="R321" s="39"/>
      <c r="S321" s="39"/>
      <c r="T321" s="39"/>
      <c r="U321" s="39"/>
      <c r="V321" s="39"/>
      <c r="W321" s="39"/>
      <c r="X321" s="39"/>
      <c r="Y321" s="39"/>
      <c r="Z321" s="39"/>
      <c r="AA321" s="39"/>
      <c r="AB321" s="39"/>
      <c r="AC321" s="16">
        <f t="shared" si="154"/>
        <v>0</v>
      </c>
      <c r="AD321" s="2098"/>
      <c r="AE321" s="2098"/>
      <c r="AF321" s="2098"/>
      <c r="AG321" s="2098"/>
      <c r="AH321" s="2098"/>
      <c r="AI321" s="2098"/>
      <c r="AJ321" s="2098"/>
      <c r="AK321" s="2098"/>
      <c r="AL321" s="2098"/>
      <c r="AM321" s="2098"/>
      <c r="AN321" s="2098"/>
      <c r="AO321" s="2098"/>
      <c r="AP321" s="2098"/>
      <c r="AQ321" s="2098"/>
      <c r="AR321" s="2098"/>
      <c r="AS321" s="2098"/>
      <c r="AT321" s="2099"/>
      <c r="AU321" s="2100"/>
      <c r="AV321" s="24">
        <f t="shared" si="178"/>
        <v>0</v>
      </c>
      <c r="AW321" s="2811">
        <f t="shared" si="179"/>
        <v>0</v>
      </c>
      <c r="AX321" s="281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01"/>
      <c r="E322" s="35">
        <f t="shared" si="177"/>
        <v>0</v>
      </c>
      <c r="F322" s="36"/>
      <c r="G322" s="33">
        <f t="shared" si="152"/>
        <v>0</v>
      </c>
      <c r="H322" s="20">
        <f t="shared" si="153"/>
        <v>0</v>
      </c>
      <c r="I322" s="2097"/>
      <c r="J322" s="39"/>
      <c r="K322" s="39"/>
      <c r="L322" s="39"/>
      <c r="M322" s="39"/>
      <c r="N322" s="39"/>
      <c r="O322" s="39"/>
      <c r="P322" s="39"/>
      <c r="Q322" s="39"/>
      <c r="R322" s="39"/>
      <c r="S322" s="39"/>
      <c r="T322" s="39"/>
      <c r="U322" s="39"/>
      <c r="V322" s="39"/>
      <c r="W322" s="39"/>
      <c r="X322" s="39"/>
      <c r="Y322" s="39"/>
      <c r="Z322" s="39"/>
      <c r="AA322" s="39"/>
      <c r="AB322" s="39"/>
      <c r="AC322" s="16">
        <f t="shared" si="154"/>
        <v>0</v>
      </c>
      <c r="AD322" s="2098"/>
      <c r="AE322" s="2098"/>
      <c r="AF322" s="2098"/>
      <c r="AG322" s="2098"/>
      <c r="AH322" s="2098"/>
      <c r="AI322" s="2098"/>
      <c r="AJ322" s="2098"/>
      <c r="AK322" s="2098"/>
      <c r="AL322" s="2098"/>
      <c r="AM322" s="2098"/>
      <c r="AN322" s="2098"/>
      <c r="AO322" s="2098"/>
      <c r="AP322" s="2098"/>
      <c r="AQ322" s="2098"/>
      <c r="AR322" s="2098"/>
      <c r="AS322" s="2098"/>
      <c r="AT322" s="2099"/>
      <c r="AU322" s="2100"/>
      <c r="AV322" s="24">
        <f t="shared" si="178"/>
        <v>0</v>
      </c>
      <c r="AW322" s="2811">
        <f t="shared" si="179"/>
        <v>0</v>
      </c>
      <c r="AX322" s="281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01"/>
      <c r="E323" s="35">
        <f t="shared" si="177"/>
        <v>0</v>
      </c>
      <c r="F323" s="36"/>
      <c r="G323" s="33">
        <f t="shared" si="152"/>
        <v>0</v>
      </c>
      <c r="H323" s="20">
        <f t="shared" si="153"/>
        <v>0</v>
      </c>
      <c r="I323" s="2097"/>
      <c r="J323" s="39"/>
      <c r="K323" s="39"/>
      <c r="L323" s="39"/>
      <c r="M323" s="39"/>
      <c r="N323" s="39"/>
      <c r="O323" s="39"/>
      <c r="P323" s="39"/>
      <c r="Q323" s="39"/>
      <c r="R323" s="39"/>
      <c r="S323" s="39"/>
      <c r="T323" s="39"/>
      <c r="U323" s="39"/>
      <c r="V323" s="39"/>
      <c r="W323" s="39"/>
      <c r="X323" s="39"/>
      <c r="Y323" s="39"/>
      <c r="Z323" s="39"/>
      <c r="AA323" s="39"/>
      <c r="AB323" s="39"/>
      <c r="AC323" s="16">
        <f t="shared" si="154"/>
        <v>0</v>
      </c>
      <c r="AD323" s="2098"/>
      <c r="AE323" s="2098"/>
      <c r="AF323" s="2098"/>
      <c r="AG323" s="2098"/>
      <c r="AH323" s="2098"/>
      <c r="AI323" s="2098"/>
      <c r="AJ323" s="2098"/>
      <c r="AK323" s="2098"/>
      <c r="AL323" s="2098"/>
      <c r="AM323" s="2098"/>
      <c r="AN323" s="2098"/>
      <c r="AO323" s="2098"/>
      <c r="AP323" s="2098"/>
      <c r="AQ323" s="2098"/>
      <c r="AR323" s="2098"/>
      <c r="AS323" s="2098"/>
      <c r="AT323" s="2099"/>
      <c r="AU323" s="2100"/>
      <c r="AV323" s="24">
        <f t="shared" si="178"/>
        <v>0</v>
      </c>
      <c r="AW323" s="2811">
        <f t="shared" si="179"/>
        <v>0</v>
      </c>
      <c r="AX323" s="281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01"/>
      <c r="E324" s="35">
        <f t="shared" si="177"/>
        <v>0</v>
      </c>
      <c r="F324" s="36"/>
      <c r="G324" s="33">
        <f t="shared" si="152"/>
        <v>0</v>
      </c>
      <c r="H324" s="20">
        <f t="shared" si="153"/>
        <v>0</v>
      </c>
      <c r="I324" s="2097"/>
      <c r="J324" s="39"/>
      <c r="K324" s="39"/>
      <c r="L324" s="39"/>
      <c r="M324" s="39"/>
      <c r="N324" s="39"/>
      <c r="O324" s="39"/>
      <c r="P324" s="39"/>
      <c r="Q324" s="39"/>
      <c r="R324" s="39"/>
      <c r="S324" s="39"/>
      <c r="T324" s="39"/>
      <c r="U324" s="39"/>
      <c r="V324" s="39"/>
      <c r="W324" s="39"/>
      <c r="X324" s="39"/>
      <c r="Y324" s="39"/>
      <c r="Z324" s="39"/>
      <c r="AA324" s="39"/>
      <c r="AB324" s="39"/>
      <c r="AC324" s="16">
        <f t="shared" si="154"/>
        <v>0</v>
      </c>
      <c r="AD324" s="2098"/>
      <c r="AE324" s="2098"/>
      <c r="AF324" s="2098"/>
      <c r="AG324" s="2098"/>
      <c r="AH324" s="2098"/>
      <c r="AI324" s="2098"/>
      <c r="AJ324" s="2098"/>
      <c r="AK324" s="2098"/>
      <c r="AL324" s="2098"/>
      <c r="AM324" s="2098"/>
      <c r="AN324" s="2098"/>
      <c r="AO324" s="2098"/>
      <c r="AP324" s="2098"/>
      <c r="AQ324" s="2098"/>
      <c r="AR324" s="2098"/>
      <c r="AS324" s="2098"/>
      <c r="AT324" s="2099"/>
      <c r="AU324" s="2100"/>
      <c r="AV324" s="24">
        <f t="shared" si="178"/>
        <v>0</v>
      </c>
      <c r="AW324" s="2811">
        <f t="shared" si="179"/>
        <v>0</v>
      </c>
      <c r="AX324" s="281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01"/>
      <c r="E325" s="35">
        <f t="shared" si="177"/>
        <v>0</v>
      </c>
      <c r="F325" s="36"/>
      <c r="G325" s="33">
        <f t="shared" si="152"/>
        <v>0</v>
      </c>
      <c r="H325" s="20">
        <f t="shared" si="153"/>
        <v>0</v>
      </c>
      <c r="I325" s="2097"/>
      <c r="J325" s="39"/>
      <c r="K325" s="39"/>
      <c r="L325" s="39"/>
      <c r="M325" s="39"/>
      <c r="N325" s="39"/>
      <c r="O325" s="39"/>
      <c r="P325" s="39"/>
      <c r="Q325" s="39"/>
      <c r="R325" s="39"/>
      <c r="S325" s="39"/>
      <c r="T325" s="39"/>
      <c r="U325" s="39"/>
      <c r="V325" s="39"/>
      <c r="W325" s="39"/>
      <c r="X325" s="39"/>
      <c r="Y325" s="39"/>
      <c r="Z325" s="39"/>
      <c r="AA325" s="39"/>
      <c r="AB325" s="39"/>
      <c r="AC325" s="16">
        <f t="shared" si="154"/>
        <v>0</v>
      </c>
      <c r="AD325" s="2098"/>
      <c r="AE325" s="2098"/>
      <c r="AF325" s="2098"/>
      <c r="AG325" s="2098"/>
      <c r="AH325" s="2098"/>
      <c r="AI325" s="2098"/>
      <c r="AJ325" s="2098"/>
      <c r="AK325" s="2098"/>
      <c r="AL325" s="2098"/>
      <c r="AM325" s="2098"/>
      <c r="AN325" s="2098"/>
      <c r="AO325" s="2098"/>
      <c r="AP325" s="2098"/>
      <c r="AQ325" s="2098"/>
      <c r="AR325" s="2098"/>
      <c r="AS325" s="2098"/>
      <c r="AT325" s="2099"/>
      <c r="AU325" s="2100"/>
      <c r="AV325" s="24">
        <f t="shared" si="178"/>
        <v>0</v>
      </c>
      <c r="AW325" s="2811">
        <f t="shared" si="179"/>
        <v>0</v>
      </c>
      <c r="AX325" s="281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01"/>
      <c r="E326" s="35">
        <f t="shared" si="177"/>
        <v>0</v>
      </c>
      <c r="F326" s="36"/>
      <c r="G326" s="33">
        <f t="shared" si="152"/>
        <v>0</v>
      </c>
      <c r="H326" s="20">
        <f t="shared" si="153"/>
        <v>0</v>
      </c>
      <c r="I326" s="2097"/>
      <c r="J326" s="39"/>
      <c r="K326" s="39"/>
      <c r="L326" s="39"/>
      <c r="M326" s="39"/>
      <c r="N326" s="39"/>
      <c r="O326" s="39"/>
      <c r="P326" s="39"/>
      <c r="Q326" s="39"/>
      <c r="R326" s="39"/>
      <c r="S326" s="39"/>
      <c r="T326" s="39"/>
      <c r="U326" s="39"/>
      <c r="V326" s="39"/>
      <c r="W326" s="39"/>
      <c r="X326" s="39"/>
      <c r="Y326" s="39"/>
      <c r="Z326" s="39"/>
      <c r="AA326" s="39"/>
      <c r="AB326" s="39"/>
      <c r="AC326" s="16">
        <f t="shared" si="154"/>
        <v>0</v>
      </c>
      <c r="AD326" s="2098"/>
      <c r="AE326" s="2098"/>
      <c r="AF326" s="2098"/>
      <c r="AG326" s="2098"/>
      <c r="AH326" s="2098"/>
      <c r="AI326" s="2098"/>
      <c r="AJ326" s="2098"/>
      <c r="AK326" s="2098"/>
      <c r="AL326" s="2098"/>
      <c r="AM326" s="2098"/>
      <c r="AN326" s="2098"/>
      <c r="AO326" s="2098"/>
      <c r="AP326" s="2098"/>
      <c r="AQ326" s="2098"/>
      <c r="AR326" s="2098"/>
      <c r="AS326" s="2098"/>
      <c r="AT326" s="2099"/>
      <c r="AU326" s="2100"/>
      <c r="AV326" s="24">
        <f t="shared" si="178"/>
        <v>0</v>
      </c>
      <c r="AW326" s="2811">
        <f t="shared" si="179"/>
        <v>0</v>
      </c>
      <c r="AX326" s="281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01"/>
      <c r="E327" s="35">
        <f t="shared" si="177"/>
        <v>0</v>
      </c>
      <c r="F327" s="36"/>
      <c r="G327" s="33">
        <f t="shared" si="152"/>
        <v>0</v>
      </c>
      <c r="H327" s="20">
        <f t="shared" si="153"/>
        <v>0</v>
      </c>
      <c r="I327" s="2097"/>
      <c r="J327" s="39"/>
      <c r="K327" s="39"/>
      <c r="L327" s="39"/>
      <c r="M327" s="39"/>
      <c r="N327" s="39"/>
      <c r="O327" s="39"/>
      <c r="P327" s="39"/>
      <c r="Q327" s="39"/>
      <c r="R327" s="39"/>
      <c r="S327" s="39"/>
      <c r="T327" s="39"/>
      <c r="U327" s="39"/>
      <c r="V327" s="39"/>
      <c r="W327" s="39"/>
      <c r="X327" s="39"/>
      <c r="Y327" s="39"/>
      <c r="Z327" s="39"/>
      <c r="AA327" s="39"/>
      <c r="AB327" s="39"/>
      <c r="AC327" s="16">
        <f t="shared" si="154"/>
        <v>0</v>
      </c>
      <c r="AD327" s="2098"/>
      <c r="AE327" s="2098"/>
      <c r="AF327" s="2098"/>
      <c r="AG327" s="2098"/>
      <c r="AH327" s="2098"/>
      <c r="AI327" s="2098"/>
      <c r="AJ327" s="2098"/>
      <c r="AK327" s="2098"/>
      <c r="AL327" s="2098"/>
      <c r="AM327" s="2098"/>
      <c r="AN327" s="2098"/>
      <c r="AO327" s="2098"/>
      <c r="AP327" s="2098"/>
      <c r="AQ327" s="2098"/>
      <c r="AR327" s="2098"/>
      <c r="AS327" s="2098"/>
      <c r="AT327" s="2099"/>
      <c r="AU327" s="2100"/>
      <c r="AV327" s="24">
        <f t="shared" si="178"/>
        <v>0</v>
      </c>
      <c r="AW327" s="2811">
        <f t="shared" si="179"/>
        <v>0</v>
      </c>
      <c r="AX327" s="281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01"/>
      <c r="E328" s="35">
        <f t="shared" si="177"/>
        <v>0</v>
      </c>
      <c r="F328" s="36"/>
      <c r="G328" s="33">
        <f t="shared" si="152"/>
        <v>0</v>
      </c>
      <c r="H328" s="20">
        <f t="shared" si="153"/>
        <v>0</v>
      </c>
      <c r="I328" s="2097"/>
      <c r="J328" s="39"/>
      <c r="K328" s="39"/>
      <c r="L328" s="39"/>
      <c r="M328" s="39"/>
      <c r="N328" s="39"/>
      <c r="O328" s="39"/>
      <c r="P328" s="39"/>
      <c r="Q328" s="39"/>
      <c r="R328" s="39"/>
      <c r="S328" s="39"/>
      <c r="T328" s="39"/>
      <c r="U328" s="39"/>
      <c r="V328" s="39"/>
      <c r="W328" s="39"/>
      <c r="X328" s="39"/>
      <c r="Y328" s="39"/>
      <c r="Z328" s="39"/>
      <c r="AA328" s="39"/>
      <c r="AB328" s="39"/>
      <c r="AC328" s="16">
        <f t="shared" si="154"/>
        <v>0</v>
      </c>
      <c r="AD328" s="2098"/>
      <c r="AE328" s="2098"/>
      <c r="AF328" s="2098"/>
      <c r="AG328" s="2098"/>
      <c r="AH328" s="2098"/>
      <c r="AI328" s="2098"/>
      <c r="AJ328" s="2098"/>
      <c r="AK328" s="2098"/>
      <c r="AL328" s="2098"/>
      <c r="AM328" s="2098"/>
      <c r="AN328" s="2098"/>
      <c r="AO328" s="2098"/>
      <c r="AP328" s="2098"/>
      <c r="AQ328" s="2098"/>
      <c r="AR328" s="2098"/>
      <c r="AS328" s="2098"/>
      <c r="AT328" s="2099"/>
      <c r="AU328" s="2100"/>
      <c r="AV328" s="24">
        <f t="shared" si="178"/>
        <v>0</v>
      </c>
      <c r="AW328" s="2811">
        <f t="shared" si="179"/>
        <v>0</v>
      </c>
      <c r="AX328" s="281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01"/>
      <c r="E329" s="35">
        <f t="shared" si="177"/>
        <v>0</v>
      </c>
      <c r="F329" s="36"/>
      <c r="G329" s="33">
        <f t="shared" si="152"/>
        <v>0</v>
      </c>
      <c r="H329" s="20">
        <f t="shared" si="153"/>
        <v>0</v>
      </c>
      <c r="I329" s="2097"/>
      <c r="J329" s="39"/>
      <c r="K329" s="39"/>
      <c r="L329" s="39"/>
      <c r="M329" s="39"/>
      <c r="N329" s="39"/>
      <c r="O329" s="39"/>
      <c r="P329" s="39"/>
      <c r="Q329" s="39"/>
      <c r="R329" s="39"/>
      <c r="S329" s="39"/>
      <c r="T329" s="39"/>
      <c r="U329" s="39"/>
      <c r="V329" s="39"/>
      <c r="W329" s="39"/>
      <c r="X329" s="39"/>
      <c r="Y329" s="39"/>
      <c r="Z329" s="39"/>
      <c r="AA329" s="39"/>
      <c r="AB329" s="39"/>
      <c r="AC329" s="16">
        <f t="shared" si="154"/>
        <v>0</v>
      </c>
      <c r="AD329" s="2098"/>
      <c r="AE329" s="2098"/>
      <c r="AF329" s="2098"/>
      <c r="AG329" s="2098"/>
      <c r="AH329" s="2098"/>
      <c r="AI329" s="2098"/>
      <c r="AJ329" s="2098"/>
      <c r="AK329" s="2098"/>
      <c r="AL329" s="2098"/>
      <c r="AM329" s="2098"/>
      <c r="AN329" s="2098"/>
      <c r="AO329" s="2098"/>
      <c r="AP329" s="2098"/>
      <c r="AQ329" s="2098"/>
      <c r="AR329" s="2098"/>
      <c r="AS329" s="2098"/>
      <c r="AT329" s="2099"/>
      <c r="AU329" s="2100"/>
      <c r="AV329" s="24">
        <f t="shared" si="178"/>
        <v>0</v>
      </c>
      <c r="AW329" s="2811">
        <f t="shared" si="179"/>
        <v>0</v>
      </c>
      <c r="AX329" s="281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01"/>
      <c r="E330" s="35">
        <f t="shared" si="177"/>
        <v>0</v>
      </c>
      <c r="F330" s="36"/>
      <c r="G330" s="33">
        <f t="shared" si="152"/>
        <v>0</v>
      </c>
      <c r="H330" s="20">
        <f t="shared" si="153"/>
        <v>0</v>
      </c>
      <c r="I330" s="2097"/>
      <c r="J330" s="39"/>
      <c r="K330" s="39"/>
      <c r="L330" s="39"/>
      <c r="M330" s="39"/>
      <c r="N330" s="39"/>
      <c r="O330" s="39"/>
      <c r="P330" s="39"/>
      <c r="Q330" s="39"/>
      <c r="R330" s="39"/>
      <c r="S330" s="39"/>
      <c r="T330" s="39"/>
      <c r="U330" s="39"/>
      <c r="V330" s="39"/>
      <c r="W330" s="39"/>
      <c r="X330" s="39"/>
      <c r="Y330" s="39"/>
      <c r="Z330" s="39"/>
      <c r="AA330" s="39"/>
      <c r="AB330" s="39"/>
      <c r="AC330" s="16">
        <f t="shared" si="154"/>
        <v>0</v>
      </c>
      <c r="AD330" s="2098"/>
      <c r="AE330" s="2098"/>
      <c r="AF330" s="2098"/>
      <c r="AG330" s="2098"/>
      <c r="AH330" s="2098"/>
      <c r="AI330" s="2098"/>
      <c r="AJ330" s="2098"/>
      <c r="AK330" s="2098"/>
      <c r="AL330" s="2098"/>
      <c r="AM330" s="2098"/>
      <c r="AN330" s="2098"/>
      <c r="AO330" s="2098"/>
      <c r="AP330" s="2098"/>
      <c r="AQ330" s="2098"/>
      <c r="AR330" s="2098"/>
      <c r="AS330" s="2098"/>
      <c r="AT330" s="2099"/>
      <c r="AU330" s="2100"/>
      <c r="AV330" s="24">
        <f t="shared" si="178"/>
        <v>0</v>
      </c>
      <c r="AW330" s="2811">
        <f t="shared" si="179"/>
        <v>0</v>
      </c>
      <c r="AX330" s="281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01"/>
      <c r="E331" s="35">
        <f t="shared" si="177"/>
        <v>0</v>
      </c>
      <c r="F331" s="36"/>
      <c r="G331" s="33">
        <f t="shared" si="152"/>
        <v>0</v>
      </c>
      <c r="H331" s="20">
        <f t="shared" si="153"/>
        <v>0</v>
      </c>
      <c r="I331" s="2097"/>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02"/>
      <c r="AV331" s="2811">
        <f t="shared" si="178"/>
        <v>0</v>
      </c>
      <c r="AW331" s="2811">
        <f t="shared" si="179"/>
        <v>0</v>
      </c>
      <c r="AX331" s="281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01"/>
      <c r="E332" s="35">
        <f t="shared" si="177"/>
        <v>0</v>
      </c>
      <c r="F332" s="36"/>
      <c r="G332" s="33">
        <f t="shared" ref="G332:G363" si="181">H332+AC332+AT332</f>
        <v>0</v>
      </c>
      <c r="H332" s="20">
        <f t="shared" ref="H332:H363" si="182">SUMIF(I$12:AB$12,"总值",I332:AB332)</f>
        <v>0</v>
      </c>
      <c r="I332" s="2097"/>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02"/>
      <c r="AV332" s="2811">
        <f t="shared" si="178"/>
        <v>0</v>
      </c>
      <c r="AW332" s="2811">
        <f t="shared" si="179"/>
        <v>0</v>
      </c>
      <c r="AX332" s="281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01"/>
      <c r="E333" s="35">
        <f t="shared" si="177"/>
        <v>0</v>
      </c>
      <c r="F333" s="36"/>
      <c r="G333" s="33">
        <f t="shared" si="181"/>
        <v>0</v>
      </c>
      <c r="H333" s="20">
        <f t="shared" si="182"/>
        <v>0</v>
      </c>
      <c r="I333" s="2097"/>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02"/>
      <c r="AV333" s="2811">
        <f t="shared" si="178"/>
        <v>0</v>
      </c>
      <c r="AW333" s="2811">
        <f t="shared" si="179"/>
        <v>0</v>
      </c>
      <c r="AX333" s="281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01"/>
      <c r="E334" s="35">
        <f t="shared" si="177"/>
        <v>0</v>
      </c>
      <c r="F334" s="36"/>
      <c r="G334" s="33">
        <f t="shared" si="181"/>
        <v>0</v>
      </c>
      <c r="H334" s="20">
        <f t="shared" si="182"/>
        <v>0</v>
      </c>
      <c r="I334" s="2097"/>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02"/>
      <c r="AV334" s="2811">
        <f t="shared" si="178"/>
        <v>0</v>
      </c>
      <c r="AW334" s="2811">
        <f t="shared" si="179"/>
        <v>0</v>
      </c>
      <c r="AX334" s="281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01"/>
      <c r="E335" s="35">
        <f t="shared" ref="E335:E366" si="206">IF($C$3="是",ROUND($A$3*G335/$B$3,2),ROUND($A$3*(G335-AT335)/$B$3,2))</f>
        <v>0</v>
      </c>
      <c r="F335" s="36"/>
      <c r="G335" s="33">
        <f t="shared" si="181"/>
        <v>0</v>
      </c>
      <c r="H335" s="20">
        <f t="shared" si="182"/>
        <v>0</v>
      </c>
      <c r="I335" s="2097"/>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02"/>
      <c r="AV335" s="2811">
        <f t="shared" ref="AV335:AV366" si="207">A335</f>
        <v>0</v>
      </c>
      <c r="AW335" s="2811">
        <f t="shared" ref="AW335:AW366" si="208">B335</f>
        <v>0</v>
      </c>
      <c r="AX335" s="281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01"/>
      <c r="E336" s="35">
        <f t="shared" si="206"/>
        <v>0</v>
      </c>
      <c r="F336" s="36"/>
      <c r="G336" s="33">
        <f t="shared" si="181"/>
        <v>0</v>
      </c>
      <c r="H336" s="20">
        <f t="shared" si="182"/>
        <v>0</v>
      </c>
      <c r="I336" s="2097"/>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02"/>
      <c r="AV336" s="2811">
        <f t="shared" si="207"/>
        <v>0</v>
      </c>
      <c r="AW336" s="2811">
        <f t="shared" si="208"/>
        <v>0</v>
      </c>
      <c r="AX336" s="281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01"/>
      <c r="E337" s="35">
        <f t="shared" si="206"/>
        <v>0</v>
      </c>
      <c r="F337" s="36"/>
      <c r="G337" s="33">
        <f t="shared" si="181"/>
        <v>0</v>
      </c>
      <c r="H337" s="20">
        <f t="shared" si="182"/>
        <v>0</v>
      </c>
      <c r="I337" s="2097"/>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02"/>
      <c r="AV337" s="2811">
        <f t="shared" si="207"/>
        <v>0</v>
      </c>
      <c r="AW337" s="2811">
        <f t="shared" si="208"/>
        <v>0</v>
      </c>
      <c r="AX337" s="281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01"/>
      <c r="E338" s="35">
        <f t="shared" si="206"/>
        <v>0</v>
      </c>
      <c r="F338" s="36"/>
      <c r="G338" s="33">
        <f t="shared" si="181"/>
        <v>0</v>
      </c>
      <c r="H338" s="20">
        <f t="shared" si="182"/>
        <v>0</v>
      </c>
      <c r="I338" s="2097"/>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02"/>
      <c r="AV338" s="2811">
        <f t="shared" si="207"/>
        <v>0</v>
      </c>
      <c r="AW338" s="2811">
        <f t="shared" si="208"/>
        <v>0</v>
      </c>
      <c r="AX338" s="281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01"/>
      <c r="E339" s="35">
        <f t="shared" si="206"/>
        <v>0</v>
      </c>
      <c r="F339" s="36"/>
      <c r="G339" s="33">
        <f t="shared" si="181"/>
        <v>0</v>
      </c>
      <c r="H339" s="20">
        <f t="shared" si="182"/>
        <v>0</v>
      </c>
      <c r="I339" s="2097"/>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02"/>
      <c r="AV339" s="2811">
        <f t="shared" si="207"/>
        <v>0</v>
      </c>
      <c r="AW339" s="2811">
        <f t="shared" si="208"/>
        <v>0</v>
      </c>
      <c r="AX339" s="281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01"/>
      <c r="E340" s="35">
        <f t="shared" si="206"/>
        <v>0</v>
      </c>
      <c r="F340" s="36"/>
      <c r="G340" s="33">
        <f t="shared" si="181"/>
        <v>0</v>
      </c>
      <c r="H340" s="20">
        <f t="shared" si="182"/>
        <v>0</v>
      </c>
      <c r="I340" s="2097"/>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02"/>
      <c r="AV340" s="2811">
        <f t="shared" si="207"/>
        <v>0</v>
      </c>
      <c r="AW340" s="2811">
        <f t="shared" si="208"/>
        <v>0</v>
      </c>
      <c r="AX340" s="281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01"/>
      <c r="E341" s="35">
        <f t="shared" si="206"/>
        <v>0</v>
      </c>
      <c r="F341" s="36"/>
      <c r="G341" s="33">
        <f t="shared" si="181"/>
        <v>0</v>
      </c>
      <c r="H341" s="20">
        <f t="shared" si="182"/>
        <v>0</v>
      </c>
      <c r="I341" s="2097"/>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02"/>
      <c r="AV341" s="2811">
        <f t="shared" si="207"/>
        <v>0</v>
      </c>
      <c r="AW341" s="2811">
        <f t="shared" si="208"/>
        <v>0</v>
      </c>
      <c r="AX341" s="281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01"/>
      <c r="E342" s="35">
        <f t="shared" si="206"/>
        <v>0</v>
      </c>
      <c r="F342" s="36"/>
      <c r="G342" s="33">
        <f t="shared" si="181"/>
        <v>0</v>
      </c>
      <c r="H342" s="20">
        <f t="shared" si="182"/>
        <v>0</v>
      </c>
      <c r="I342" s="2097"/>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02"/>
      <c r="AV342" s="2811">
        <f t="shared" si="207"/>
        <v>0</v>
      </c>
      <c r="AW342" s="2811">
        <f t="shared" si="208"/>
        <v>0</v>
      </c>
      <c r="AX342" s="281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01"/>
      <c r="E343" s="35">
        <f t="shared" si="206"/>
        <v>0</v>
      </c>
      <c r="F343" s="36"/>
      <c r="G343" s="33">
        <f t="shared" si="181"/>
        <v>0</v>
      </c>
      <c r="H343" s="20">
        <f t="shared" si="182"/>
        <v>0</v>
      </c>
      <c r="I343" s="2097"/>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02"/>
      <c r="AV343" s="2811">
        <f t="shared" si="207"/>
        <v>0</v>
      </c>
      <c r="AW343" s="2811">
        <f t="shared" si="208"/>
        <v>0</v>
      </c>
      <c r="AX343" s="281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01"/>
      <c r="E344" s="35">
        <f t="shared" si="206"/>
        <v>0</v>
      </c>
      <c r="F344" s="36"/>
      <c r="G344" s="33">
        <f t="shared" si="181"/>
        <v>0</v>
      </c>
      <c r="H344" s="20">
        <f t="shared" si="182"/>
        <v>0</v>
      </c>
      <c r="I344" s="2097"/>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02"/>
      <c r="AV344" s="2811">
        <f t="shared" si="207"/>
        <v>0</v>
      </c>
      <c r="AW344" s="2811">
        <f t="shared" si="208"/>
        <v>0</v>
      </c>
      <c r="AX344" s="281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01"/>
      <c r="E345" s="35">
        <f t="shared" si="206"/>
        <v>0</v>
      </c>
      <c r="F345" s="36"/>
      <c r="G345" s="33">
        <f t="shared" si="181"/>
        <v>0</v>
      </c>
      <c r="H345" s="20">
        <f t="shared" si="182"/>
        <v>0</v>
      </c>
      <c r="I345" s="2097"/>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02"/>
      <c r="AV345" s="2811">
        <f t="shared" si="207"/>
        <v>0</v>
      </c>
      <c r="AW345" s="2811">
        <f t="shared" si="208"/>
        <v>0</v>
      </c>
      <c r="AX345" s="281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01"/>
      <c r="E346" s="35">
        <f t="shared" si="206"/>
        <v>0</v>
      </c>
      <c r="F346" s="36"/>
      <c r="G346" s="33">
        <f t="shared" si="181"/>
        <v>0</v>
      </c>
      <c r="H346" s="20">
        <f t="shared" si="182"/>
        <v>0</v>
      </c>
      <c r="I346" s="2097"/>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02"/>
      <c r="AV346" s="2811">
        <f t="shared" si="207"/>
        <v>0</v>
      </c>
      <c r="AW346" s="2811">
        <f t="shared" si="208"/>
        <v>0</v>
      </c>
      <c r="AX346" s="281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01"/>
      <c r="E347" s="35">
        <f t="shared" si="206"/>
        <v>0</v>
      </c>
      <c r="F347" s="36"/>
      <c r="G347" s="33">
        <f t="shared" si="181"/>
        <v>0</v>
      </c>
      <c r="H347" s="20">
        <f t="shared" si="182"/>
        <v>0</v>
      </c>
      <c r="I347" s="2097"/>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02"/>
      <c r="AV347" s="2811">
        <f t="shared" si="207"/>
        <v>0</v>
      </c>
      <c r="AW347" s="2811">
        <f t="shared" si="208"/>
        <v>0</v>
      </c>
      <c r="AX347" s="281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01"/>
      <c r="E348" s="35">
        <f t="shared" si="206"/>
        <v>0</v>
      </c>
      <c r="F348" s="36"/>
      <c r="G348" s="33">
        <f t="shared" si="181"/>
        <v>0</v>
      </c>
      <c r="H348" s="20">
        <f t="shared" si="182"/>
        <v>0</v>
      </c>
      <c r="I348" s="2097"/>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02"/>
      <c r="AV348" s="2811">
        <f t="shared" si="207"/>
        <v>0</v>
      </c>
      <c r="AW348" s="2811">
        <f t="shared" si="208"/>
        <v>0</v>
      </c>
      <c r="AX348" s="281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01"/>
      <c r="E349" s="35">
        <f t="shared" si="206"/>
        <v>0</v>
      </c>
      <c r="F349" s="36"/>
      <c r="G349" s="33">
        <f t="shared" si="181"/>
        <v>0</v>
      </c>
      <c r="H349" s="20">
        <f t="shared" si="182"/>
        <v>0</v>
      </c>
      <c r="I349" s="2097"/>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02"/>
      <c r="AV349" s="2811">
        <f t="shared" si="207"/>
        <v>0</v>
      </c>
      <c r="AW349" s="2811">
        <f t="shared" si="208"/>
        <v>0</v>
      </c>
      <c r="AX349" s="281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01"/>
      <c r="E350" s="35">
        <f t="shared" si="206"/>
        <v>0</v>
      </c>
      <c r="F350" s="36"/>
      <c r="G350" s="33">
        <f t="shared" si="181"/>
        <v>0</v>
      </c>
      <c r="H350" s="20">
        <f t="shared" si="182"/>
        <v>0</v>
      </c>
      <c r="I350" s="2097"/>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02"/>
      <c r="AV350" s="2811">
        <f t="shared" si="207"/>
        <v>0</v>
      </c>
      <c r="AW350" s="2811">
        <f t="shared" si="208"/>
        <v>0</v>
      </c>
      <c r="AX350" s="281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01"/>
      <c r="E351" s="35">
        <f t="shared" si="206"/>
        <v>0</v>
      </c>
      <c r="F351" s="36"/>
      <c r="G351" s="33">
        <f t="shared" si="181"/>
        <v>0</v>
      </c>
      <c r="H351" s="20">
        <f t="shared" si="182"/>
        <v>0</v>
      </c>
      <c r="I351" s="2097"/>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02"/>
      <c r="AV351" s="2811">
        <f t="shared" si="207"/>
        <v>0</v>
      </c>
      <c r="AW351" s="2811">
        <f t="shared" si="208"/>
        <v>0</v>
      </c>
      <c r="AX351" s="281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01"/>
      <c r="E352" s="35">
        <f t="shared" si="206"/>
        <v>0</v>
      </c>
      <c r="F352" s="36"/>
      <c r="G352" s="33">
        <f t="shared" si="181"/>
        <v>0</v>
      </c>
      <c r="H352" s="20">
        <f t="shared" si="182"/>
        <v>0</v>
      </c>
      <c r="I352" s="2097"/>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02"/>
      <c r="AV352" s="2811">
        <f t="shared" si="207"/>
        <v>0</v>
      </c>
      <c r="AW352" s="2811">
        <f t="shared" si="208"/>
        <v>0</v>
      </c>
      <c r="AX352" s="281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01"/>
      <c r="E353" s="35">
        <f t="shared" si="206"/>
        <v>0</v>
      </c>
      <c r="F353" s="36"/>
      <c r="G353" s="33">
        <f t="shared" si="181"/>
        <v>0</v>
      </c>
      <c r="H353" s="20">
        <f t="shared" si="182"/>
        <v>0</v>
      </c>
      <c r="I353" s="2097"/>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02"/>
      <c r="AV353" s="2811">
        <f t="shared" si="207"/>
        <v>0</v>
      </c>
      <c r="AW353" s="2811">
        <f t="shared" si="208"/>
        <v>0</v>
      </c>
      <c r="AX353" s="281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01"/>
      <c r="E354" s="35">
        <f t="shared" si="206"/>
        <v>0</v>
      </c>
      <c r="F354" s="36"/>
      <c r="G354" s="33">
        <f t="shared" si="181"/>
        <v>0</v>
      </c>
      <c r="H354" s="20">
        <f t="shared" si="182"/>
        <v>0</v>
      </c>
      <c r="I354" s="2097"/>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02"/>
      <c r="AV354" s="2811">
        <f t="shared" si="207"/>
        <v>0</v>
      </c>
      <c r="AW354" s="2811">
        <f t="shared" si="208"/>
        <v>0</v>
      </c>
      <c r="AX354" s="281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01"/>
      <c r="E355" s="35">
        <f t="shared" si="206"/>
        <v>0</v>
      </c>
      <c r="F355" s="36"/>
      <c r="G355" s="33">
        <f t="shared" si="181"/>
        <v>0</v>
      </c>
      <c r="H355" s="20">
        <f t="shared" si="182"/>
        <v>0</v>
      </c>
      <c r="I355" s="2097"/>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02"/>
      <c r="AV355" s="2811">
        <f t="shared" si="207"/>
        <v>0</v>
      </c>
      <c r="AW355" s="2811">
        <f t="shared" si="208"/>
        <v>0</v>
      </c>
      <c r="AX355" s="281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01"/>
      <c r="E356" s="35">
        <f t="shared" si="206"/>
        <v>0</v>
      </c>
      <c r="F356" s="36"/>
      <c r="G356" s="33">
        <f t="shared" si="181"/>
        <v>0</v>
      </c>
      <c r="H356" s="20">
        <f t="shared" si="182"/>
        <v>0</v>
      </c>
      <c r="I356" s="2097"/>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02"/>
      <c r="AV356" s="2811">
        <f t="shared" si="207"/>
        <v>0</v>
      </c>
      <c r="AW356" s="2811">
        <f t="shared" si="208"/>
        <v>0</v>
      </c>
      <c r="AX356" s="281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01"/>
      <c r="E357" s="35">
        <f t="shared" si="206"/>
        <v>0</v>
      </c>
      <c r="F357" s="36"/>
      <c r="G357" s="33">
        <f t="shared" si="181"/>
        <v>0</v>
      </c>
      <c r="H357" s="20">
        <f t="shared" si="182"/>
        <v>0</v>
      </c>
      <c r="I357" s="2097"/>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02"/>
      <c r="AV357" s="2811">
        <f t="shared" si="207"/>
        <v>0</v>
      </c>
      <c r="AW357" s="2811">
        <f t="shared" si="208"/>
        <v>0</v>
      </c>
      <c r="AX357" s="281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01"/>
      <c r="E358" s="35">
        <f t="shared" si="206"/>
        <v>0</v>
      </c>
      <c r="F358" s="36"/>
      <c r="G358" s="33">
        <f t="shared" si="181"/>
        <v>0</v>
      </c>
      <c r="H358" s="20">
        <f t="shared" si="182"/>
        <v>0</v>
      </c>
      <c r="I358" s="2097"/>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02"/>
      <c r="AV358" s="2811">
        <f t="shared" si="207"/>
        <v>0</v>
      </c>
      <c r="AW358" s="2811">
        <f t="shared" si="208"/>
        <v>0</v>
      </c>
      <c r="AX358" s="281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01"/>
      <c r="E359" s="35">
        <f t="shared" si="206"/>
        <v>0</v>
      </c>
      <c r="F359" s="36"/>
      <c r="G359" s="33">
        <f t="shared" si="181"/>
        <v>0</v>
      </c>
      <c r="H359" s="20">
        <f t="shared" si="182"/>
        <v>0</v>
      </c>
      <c r="I359" s="2097"/>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02"/>
      <c r="AV359" s="2811">
        <f t="shared" si="207"/>
        <v>0</v>
      </c>
      <c r="AW359" s="2811">
        <f t="shared" si="208"/>
        <v>0</v>
      </c>
      <c r="AX359" s="281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01"/>
      <c r="E360" s="35">
        <f t="shared" si="206"/>
        <v>0</v>
      </c>
      <c r="F360" s="36"/>
      <c r="G360" s="33">
        <f t="shared" si="181"/>
        <v>0</v>
      </c>
      <c r="H360" s="20">
        <f t="shared" si="182"/>
        <v>0</v>
      </c>
      <c r="I360" s="2097"/>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02"/>
      <c r="AV360" s="2811">
        <f t="shared" si="207"/>
        <v>0</v>
      </c>
      <c r="AW360" s="2811">
        <f t="shared" si="208"/>
        <v>0</v>
      </c>
      <c r="AX360" s="281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01"/>
      <c r="E361" s="35">
        <f t="shared" si="206"/>
        <v>0</v>
      </c>
      <c r="F361" s="36"/>
      <c r="G361" s="33">
        <f t="shared" si="181"/>
        <v>0</v>
      </c>
      <c r="H361" s="20">
        <f t="shared" si="182"/>
        <v>0</v>
      </c>
      <c r="I361" s="2097"/>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02"/>
      <c r="AV361" s="2811">
        <f t="shared" si="207"/>
        <v>0</v>
      </c>
      <c r="AW361" s="2811">
        <f t="shared" si="208"/>
        <v>0</v>
      </c>
      <c r="AX361" s="281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01"/>
      <c r="E362" s="35">
        <f t="shared" si="206"/>
        <v>0</v>
      </c>
      <c r="F362" s="36"/>
      <c r="G362" s="33">
        <f t="shared" si="181"/>
        <v>0</v>
      </c>
      <c r="H362" s="20">
        <f t="shared" si="182"/>
        <v>0</v>
      </c>
      <c r="I362" s="2097"/>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02"/>
      <c r="AV362" s="2811">
        <f t="shared" si="207"/>
        <v>0</v>
      </c>
      <c r="AW362" s="2811">
        <f t="shared" si="208"/>
        <v>0</v>
      </c>
      <c r="AX362" s="281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01"/>
      <c r="E363" s="35">
        <f t="shared" si="206"/>
        <v>0</v>
      </c>
      <c r="F363" s="36"/>
      <c r="G363" s="33">
        <f t="shared" si="181"/>
        <v>0</v>
      </c>
      <c r="H363" s="20">
        <f t="shared" si="182"/>
        <v>0</v>
      </c>
      <c r="I363" s="2097"/>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02"/>
      <c r="AV363" s="2811">
        <f t="shared" si="207"/>
        <v>0</v>
      </c>
      <c r="AW363" s="2811">
        <f t="shared" si="208"/>
        <v>0</v>
      </c>
      <c r="AX363" s="281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01"/>
      <c r="E364" s="35">
        <f t="shared" si="206"/>
        <v>0</v>
      </c>
      <c r="F364" s="36"/>
      <c r="G364" s="33">
        <f t="shared" ref="G364:G395" si="210">H364+AC364+AT364</f>
        <v>0</v>
      </c>
      <c r="H364" s="20">
        <f t="shared" ref="H364:H395" si="211">SUMIF(I$12:AB$12,"总值",I364:AB364)</f>
        <v>0</v>
      </c>
      <c r="I364" s="2097"/>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02"/>
      <c r="AV364" s="2811">
        <f t="shared" si="207"/>
        <v>0</v>
      </c>
      <c r="AW364" s="2811">
        <f t="shared" si="208"/>
        <v>0</v>
      </c>
      <c r="AX364" s="281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0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02"/>
      <c r="AV365" s="2811">
        <f t="shared" si="207"/>
        <v>0</v>
      </c>
      <c r="AW365" s="2811">
        <f t="shared" si="208"/>
        <v>0</v>
      </c>
      <c r="AX365" s="281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0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02"/>
      <c r="AV366" s="2811">
        <f t="shared" si="207"/>
        <v>0</v>
      </c>
      <c r="AW366" s="2811">
        <f t="shared" si="208"/>
        <v>0</v>
      </c>
      <c r="AX366" s="281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0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02"/>
      <c r="AV367" s="2811">
        <f t="shared" ref="AV367:AV397" si="236">A367</f>
        <v>0</v>
      </c>
      <c r="AW367" s="2811">
        <f t="shared" ref="AW367:AW397" si="237">B367</f>
        <v>0</v>
      </c>
      <c r="AX367" s="281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0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02"/>
      <c r="AV368" s="2811">
        <f t="shared" si="236"/>
        <v>0</v>
      </c>
      <c r="AW368" s="2811">
        <f t="shared" si="237"/>
        <v>0</v>
      </c>
      <c r="AX368" s="281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0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02"/>
      <c r="AV369" s="2811">
        <f t="shared" si="236"/>
        <v>0</v>
      </c>
      <c r="AW369" s="2811">
        <f t="shared" si="237"/>
        <v>0</v>
      </c>
      <c r="AX369" s="281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0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02"/>
      <c r="AV370" s="2811">
        <f t="shared" si="236"/>
        <v>0</v>
      </c>
      <c r="AW370" s="2811">
        <f t="shared" si="237"/>
        <v>0</v>
      </c>
      <c r="AX370" s="281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0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02"/>
      <c r="AV371" s="2811">
        <f t="shared" si="236"/>
        <v>0</v>
      </c>
      <c r="AW371" s="2811">
        <f t="shared" si="237"/>
        <v>0</v>
      </c>
      <c r="AX371" s="281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0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02"/>
      <c r="AV372" s="2811">
        <f t="shared" si="236"/>
        <v>0</v>
      </c>
      <c r="AW372" s="2811">
        <f t="shared" si="237"/>
        <v>0</v>
      </c>
      <c r="AX372" s="281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0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02"/>
      <c r="AV373" s="2811">
        <f t="shared" si="236"/>
        <v>0</v>
      </c>
      <c r="AW373" s="2811">
        <f t="shared" si="237"/>
        <v>0</v>
      </c>
      <c r="AX373" s="281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0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02"/>
      <c r="AV374" s="2811">
        <f t="shared" si="236"/>
        <v>0</v>
      </c>
      <c r="AW374" s="2811">
        <f t="shared" si="237"/>
        <v>0</v>
      </c>
      <c r="AX374" s="281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0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02"/>
      <c r="AV375" s="2811">
        <f t="shared" si="236"/>
        <v>0</v>
      </c>
      <c r="AW375" s="2811">
        <f t="shared" si="237"/>
        <v>0</v>
      </c>
      <c r="AX375" s="281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0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02"/>
      <c r="AV376" s="2811">
        <f t="shared" si="236"/>
        <v>0</v>
      </c>
      <c r="AW376" s="2811">
        <f t="shared" si="237"/>
        <v>0</v>
      </c>
      <c r="AX376" s="281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0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02"/>
      <c r="AV377" s="2811">
        <f t="shared" si="236"/>
        <v>0</v>
      </c>
      <c r="AW377" s="2811">
        <f t="shared" si="237"/>
        <v>0</v>
      </c>
      <c r="AX377" s="281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0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02"/>
      <c r="AV378" s="2811">
        <f t="shared" si="236"/>
        <v>0</v>
      </c>
      <c r="AW378" s="2811">
        <f t="shared" si="237"/>
        <v>0</v>
      </c>
      <c r="AX378" s="281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0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02"/>
      <c r="AV379" s="2811">
        <f t="shared" si="236"/>
        <v>0</v>
      </c>
      <c r="AW379" s="2811">
        <f t="shared" si="237"/>
        <v>0</v>
      </c>
      <c r="AX379" s="281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0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02"/>
      <c r="AV380" s="2811">
        <f t="shared" si="236"/>
        <v>0</v>
      </c>
      <c r="AW380" s="2811">
        <f t="shared" si="237"/>
        <v>0</v>
      </c>
      <c r="AX380" s="281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0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02"/>
      <c r="AV381" s="2811">
        <f t="shared" si="236"/>
        <v>0</v>
      </c>
      <c r="AW381" s="2811">
        <f t="shared" si="237"/>
        <v>0</v>
      </c>
      <c r="AX381" s="281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0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02"/>
      <c r="AV382" s="2811">
        <f t="shared" si="236"/>
        <v>0</v>
      </c>
      <c r="AW382" s="2811">
        <f t="shared" si="237"/>
        <v>0</v>
      </c>
      <c r="AX382" s="281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0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02"/>
      <c r="AV383" s="2811">
        <f t="shared" si="236"/>
        <v>0</v>
      </c>
      <c r="AW383" s="2811">
        <f t="shared" si="237"/>
        <v>0</v>
      </c>
      <c r="AX383" s="281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0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02"/>
      <c r="AV384" s="2811">
        <f t="shared" si="236"/>
        <v>0</v>
      </c>
      <c r="AW384" s="2811">
        <f t="shared" si="237"/>
        <v>0</v>
      </c>
      <c r="AX384" s="281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0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02"/>
      <c r="AV385" s="2811">
        <f t="shared" si="236"/>
        <v>0</v>
      </c>
      <c r="AW385" s="2811">
        <f t="shared" si="237"/>
        <v>0</v>
      </c>
      <c r="AX385" s="281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0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02"/>
      <c r="AV386" s="2811">
        <f t="shared" si="236"/>
        <v>0</v>
      </c>
      <c r="AW386" s="2811">
        <f t="shared" si="237"/>
        <v>0</v>
      </c>
      <c r="AX386" s="281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0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02"/>
      <c r="AV387" s="2811">
        <f t="shared" si="236"/>
        <v>0</v>
      </c>
      <c r="AW387" s="2811">
        <f t="shared" si="237"/>
        <v>0</v>
      </c>
      <c r="AX387" s="281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0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02"/>
      <c r="AV388" s="2811">
        <f t="shared" si="236"/>
        <v>0</v>
      </c>
      <c r="AW388" s="2811">
        <f t="shared" si="237"/>
        <v>0</v>
      </c>
      <c r="AX388" s="281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0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02"/>
      <c r="AV389" s="2811">
        <f t="shared" si="236"/>
        <v>0</v>
      </c>
      <c r="AW389" s="2811">
        <f t="shared" si="237"/>
        <v>0</v>
      </c>
      <c r="AX389" s="281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0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02"/>
      <c r="AV390" s="2811">
        <f t="shared" si="236"/>
        <v>0</v>
      </c>
      <c r="AW390" s="2811">
        <f t="shared" si="237"/>
        <v>0</v>
      </c>
      <c r="AX390" s="281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0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02"/>
      <c r="AV391" s="2811">
        <f t="shared" si="236"/>
        <v>0</v>
      </c>
      <c r="AW391" s="2811">
        <f t="shared" si="237"/>
        <v>0</v>
      </c>
      <c r="AX391" s="281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0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02"/>
      <c r="AV392" s="2811">
        <f t="shared" si="236"/>
        <v>0</v>
      </c>
      <c r="AW392" s="2811">
        <f t="shared" si="237"/>
        <v>0</v>
      </c>
      <c r="AX392" s="281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0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02"/>
      <c r="AV393" s="2811">
        <f t="shared" si="236"/>
        <v>0</v>
      </c>
      <c r="AW393" s="2811">
        <f t="shared" si="237"/>
        <v>0</v>
      </c>
      <c r="AX393" s="281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0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02"/>
      <c r="AV394" s="2811">
        <f t="shared" si="236"/>
        <v>0</v>
      </c>
      <c r="AW394" s="2811">
        <f t="shared" si="237"/>
        <v>0</v>
      </c>
      <c r="AX394" s="281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0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42"/>
      <c r="AV395" s="2811">
        <f t="shared" si="236"/>
        <v>0</v>
      </c>
      <c r="AW395" s="2811">
        <f t="shared" si="237"/>
        <v>0</v>
      </c>
      <c r="AX395" s="281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0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42"/>
      <c r="AV396" s="2811">
        <f t="shared" si="236"/>
        <v>0</v>
      </c>
      <c r="AW396" s="2811">
        <f t="shared" si="237"/>
        <v>0</v>
      </c>
      <c r="AX396" s="281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0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42"/>
      <c r="AV397" s="2811">
        <f t="shared" si="236"/>
        <v>0</v>
      </c>
      <c r="AW397" s="2811">
        <f t="shared" si="237"/>
        <v>0</v>
      </c>
      <c r="AX397" s="281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0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02"/>
      <c r="AV398" s="2811">
        <f t="shared" ref="AV398:AV492" si="243">A398</f>
        <v>0</v>
      </c>
      <c r="AW398" s="2811">
        <f t="shared" ref="AW398:AW492" si="244">B398</f>
        <v>0</v>
      </c>
      <c r="AX398" s="281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0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02"/>
      <c r="AV399" s="2811">
        <f t="shared" si="243"/>
        <v>0</v>
      </c>
      <c r="AW399" s="2811">
        <f t="shared" si="244"/>
        <v>0</v>
      </c>
      <c r="AX399" s="281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0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02"/>
      <c r="AV400" s="2811">
        <f t="shared" si="243"/>
        <v>0</v>
      </c>
      <c r="AW400" s="2811">
        <f t="shared" si="244"/>
        <v>0</v>
      </c>
      <c r="AX400" s="281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0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02"/>
      <c r="AV401" s="2811">
        <f t="shared" si="243"/>
        <v>0</v>
      </c>
      <c r="AW401" s="2811">
        <f t="shared" si="244"/>
        <v>0</v>
      </c>
      <c r="AX401" s="281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0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02"/>
      <c r="AV402" s="2811">
        <f t="shared" si="243"/>
        <v>0</v>
      </c>
      <c r="AW402" s="2811">
        <f t="shared" si="244"/>
        <v>0</v>
      </c>
      <c r="AX402" s="281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0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02"/>
      <c r="AV403" s="2811">
        <f t="shared" si="243"/>
        <v>0</v>
      </c>
      <c r="AW403" s="2811">
        <f t="shared" si="244"/>
        <v>0</v>
      </c>
      <c r="AX403" s="281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0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02"/>
      <c r="AV404" s="2811">
        <f t="shared" si="243"/>
        <v>0</v>
      </c>
      <c r="AW404" s="2811">
        <f t="shared" si="244"/>
        <v>0</v>
      </c>
      <c r="AX404" s="281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0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02"/>
      <c r="AV405" s="2811">
        <f t="shared" si="243"/>
        <v>0</v>
      </c>
      <c r="AW405" s="2811">
        <f t="shared" si="244"/>
        <v>0</v>
      </c>
      <c r="AX405" s="281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0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02"/>
      <c r="AV406" s="2811">
        <f t="shared" si="243"/>
        <v>0</v>
      </c>
      <c r="AW406" s="2811">
        <f t="shared" si="244"/>
        <v>0</v>
      </c>
      <c r="AX406" s="281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0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02"/>
      <c r="AV407" s="2811">
        <f t="shared" si="243"/>
        <v>0</v>
      </c>
      <c r="AW407" s="2811">
        <f t="shared" si="244"/>
        <v>0</v>
      </c>
      <c r="AX407" s="281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0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02"/>
      <c r="AV408" s="2811">
        <f t="shared" si="243"/>
        <v>0</v>
      </c>
      <c r="AW408" s="2811">
        <f t="shared" si="244"/>
        <v>0</v>
      </c>
      <c r="AX408" s="281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0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02"/>
      <c r="AV409" s="2811">
        <f t="shared" si="243"/>
        <v>0</v>
      </c>
      <c r="AW409" s="2811">
        <f t="shared" si="244"/>
        <v>0</v>
      </c>
      <c r="AX409" s="281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0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02"/>
      <c r="AV410" s="2811">
        <f t="shared" si="243"/>
        <v>0</v>
      </c>
      <c r="AW410" s="2811">
        <f t="shared" si="244"/>
        <v>0</v>
      </c>
      <c r="AX410" s="281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0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02"/>
      <c r="AV411" s="2811">
        <f t="shared" si="243"/>
        <v>0</v>
      </c>
      <c r="AW411" s="2811">
        <f t="shared" si="244"/>
        <v>0</v>
      </c>
      <c r="AX411" s="281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0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02"/>
      <c r="AV412" s="2811">
        <f t="shared" si="243"/>
        <v>0</v>
      </c>
      <c r="AW412" s="2811">
        <f t="shared" si="244"/>
        <v>0</v>
      </c>
      <c r="AX412" s="281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0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02"/>
      <c r="AV413" s="2811">
        <f t="shared" si="243"/>
        <v>0</v>
      </c>
      <c r="AW413" s="2811">
        <f t="shared" si="244"/>
        <v>0</v>
      </c>
      <c r="AX413" s="281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0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02"/>
      <c r="AV414" s="2811">
        <f t="shared" si="243"/>
        <v>0</v>
      </c>
      <c r="AW414" s="2811">
        <f t="shared" si="244"/>
        <v>0</v>
      </c>
      <c r="AX414" s="281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0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02"/>
      <c r="AV415" s="2811">
        <f t="shared" si="243"/>
        <v>0</v>
      </c>
      <c r="AW415" s="2811">
        <f t="shared" si="244"/>
        <v>0</v>
      </c>
      <c r="AX415" s="281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0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02"/>
      <c r="AV416" s="2811">
        <f t="shared" si="243"/>
        <v>0</v>
      </c>
      <c r="AW416" s="2811">
        <f t="shared" si="244"/>
        <v>0</v>
      </c>
      <c r="AX416" s="281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0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02"/>
      <c r="AV417" s="2811">
        <f t="shared" si="243"/>
        <v>0</v>
      </c>
      <c r="AW417" s="2811">
        <f t="shared" si="244"/>
        <v>0</v>
      </c>
      <c r="AX417" s="281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0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02"/>
      <c r="AV418" s="2811">
        <f t="shared" si="243"/>
        <v>0</v>
      </c>
      <c r="AW418" s="2811">
        <f t="shared" si="244"/>
        <v>0</v>
      </c>
      <c r="AX418" s="281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0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02"/>
      <c r="AV419" s="2811">
        <f t="shared" si="243"/>
        <v>0</v>
      </c>
      <c r="AW419" s="2811">
        <f t="shared" si="244"/>
        <v>0</v>
      </c>
      <c r="AX419" s="281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0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02"/>
      <c r="AV420" s="2811">
        <f t="shared" si="243"/>
        <v>0</v>
      </c>
      <c r="AW420" s="2811">
        <f t="shared" si="244"/>
        <v>0</v>
      </c>
      <c r="AX420" s="281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0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02"/>
      <c r="AV421" s="2811">
        <f t="shared" si="243"/>
        <v>0</v>
      </c>
      <c r="AW421" s="2811">
        <f t="shared" si="244"/>
        <v>0</v>
      </c>
      <c r="AX421" s="281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0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02"/>
      <c r="AV422" s="2811">
        <f t="shared" si="243"/>
        <v>0</v>
      </c>
      <c r="AW422" s="2811">
        <f t="shared" si="244"/>
        <v>0</v>
      </c>
      <c r="AX422" s="281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0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02"/>
      <c r="AV423" s="2811">
        <f t="shared" si="243"/>
        <v>0</v>
      </c>
      <c r="AW423" s="2811">
        <f t="shared" si="244"/>
        <v>0</v>
      </c>
      <c r="AX423" s="281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0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02"/>
      <c r="AV424" s="2811">
        <f t="shared" si="243"/>
        <v>0</v>
      </c>
      <c r="AW424" s="2811">
        <f t="shared" si="244"/>
        <v>0</v>
      </c>
      <c r="AX424" s="281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0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02"/>
      <c r="AV425" s="2811">
        <f t="shared" si="243"/>
        <v>0</v>
      </c>
      <c r="AW425" s="2811">
        <f t="shared" si="244"/>
        <v>0</v>
      </c>
      <c r="AX425" s="281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0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02"/>
      <c r="AV426" s="2811">
        <f t="shared" si="243"/>
        <v>0</v>
      </c>
      <c r="AW426" s="2811">
        <f t="shared" si="244"/>
        <v>0</v>
      </c>
      <c r="AX426" s="281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0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02"/>
      <c r="AV427" s="2811">
        <f t="shared" si="243"/>
        <v>0</v>
      </c>
      <c r="AW427" s="2811">
        <f t="shared" si="244"/>
        <v>0</v>
      </c>
      <c r="AX427" s="281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0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02"/>
      <c r="AV428" s="2811">
        <f t="shared" si="243"/>
        <v>0</v>
      </c>
      <c r="AW428" s="2811">
        <f t="shared" si="244"/>
        <v>0</v>
      </c>
      <c r="AX428" s="281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0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02"/>
      <c r="AV429" s="2811">
        <f t="shared" si="243"/>
        <v>0</v>
      </c>
      <c r="AW429" s="2811">
        <f t="shared" si="244"/>
        <v>0</v>
      </c>
      <c r="AX429" s="281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0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02"/>
      <c r="AV430" s="2811">
        <f t="shared" si="243"/>
        <v>0</v>
      </c>
      <c r="AW430" s="2811">
        <f t="shared" si="244"/>
        <v>0</v>
      </c>
      <c r="AX430" s="281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0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02"/>
      <c r="AV431" s="2811">
        <f t="shared" si="243"/>
        <v>0</v>
      </c>
      <c r="AW431" s="2811">
        <f t="shared" si="244"/>
        <v>0</v>
      </c>
      <c r="AX431" s="281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0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02"/>
      <c r="AV432" s="2811">
        <f t="shared" si="243"/>
        <v>0</v>
      </c>
      <c r="AW432" s="2811">
        <f t="shared" si="244"/>
        <v>0</v>
      </c>
      <c r="AX432" s="281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0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02"/>
      <c r="AV433" s="2811">
        <f t="shared" si="243"/>
        <v>0</v>
      </c>
      <c r="AW433" s="2811">
        <f t="shared" si="244"/>
        <v>0</v>
      </c>
      <c r="AX433" s="281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0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02"/>
      <c r="AV434" s="2811">
        <f t="shared" si="243"/>
        <v>0</v>
      </c>
      <c r="AW434" s="2811">
        <f t="shared" si="244"/>
        <v>0</v>
      </c>
      <c r="AX434" s="281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0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02"/>
      <c r="AV435" s="2811">
        <f t="shared" si="243"/>
        <v>0</v>
      </c>
      <c r="AW435" s="2811">
        <f t="shared" si="244"/>
        <v>0</v>
      </c>
      <c r="AX435" s="281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0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02"/>
      <c r="AV436" s="2811">
        <f t="shared" si="243"/>
        <v>0</v>
      </c>
      <c r="AW436" s="2811">
        <f t="shared" si="244"/>
        <v>0</v>
      </c>
      <c r="AX436" s="281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0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02"/>
      <c r="AV437" s="2811">
        <f t="shared" si="243"/>
        <v>0</v>
      </c>
      <c r="AW437" s="2811">
        <f t="shared" si="244"/>
        <v>0</v>
      </c>
      <c r="AX437" s="281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0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02"/>
      <c r="AV438" s="2811">
        <f t="shared" si="243"/>
        <v>0</v>
      </c>
      <c r="AW438" s="2811">
        <f t="shared" si="244"/>
        <v>0</v>
      </c>
      <c r="AX438" s="281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0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02"/>
      <c r="AV439" s="2811">
        <f t="shared" si="243"/>
        <v>0</v>
      </c>
      <c r="AW439" s="2811">
        <f t="shared" si="244"/>
        <v>0</v>
      </c>
      <c r="AX439" s="281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0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02"/>
      <c r="AV440" s="2811">
        <f t="shared" si="243"/>
        <v>0</v>
      </c>
      <c r="AW440" s="2811">
        <f t="shared" si="244"/>
        <v>0</v>
      </c>
      <c r="AX440" s="281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0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02"/>
      <c r="AV441" s="2811">
        <f t="shared" si="243"/>
        <v>0</v>
      </c>
      <c r="AW441" s="2811">
        <f t="shared" si="244"/>
        <v>0</v>
      </c>
      <c r="AX441" s="281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0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02"/>
      <c r="AV442" s="2811">
        <f t="shared" si="243"/>
        <v>0</v>
      </c>
      <c r="AW442" s="2811">
        <f t="shared" si="244"/>
        <v>0</v>
      </c>
      <c r="AX442" s="281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0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02"/>
      <c r="AV443" s="2811">
        <f t="shared" si="243"/>
        <v>0</v>
      </c>
      <c r="AW443" s="2811">
        <f t="shared" si="244"/>
        <v>0</v>
      </c>
      <c r="AX443" s="281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0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02"/>
      <c r="AV444" s="2811">
        <f t="shared" si="243"/>
        <v>0</v>
      </c>
      <c r="AW444" s="2811">
        <f t="shared" si="244"/>
        <v>0</v>
      </c>
      <c r="AX444" s="281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0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02"/>
      <c r="AV445" s="2811">
        <f t="shared" si="243"/>
        <v>0</v>
      </c>
      <c r="AW445" s="2811">
        <f t="shared" si="244"/>
        <v>0</v>
      </c>
      <c r="AX445" s="281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0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02"/>
      <c r="AV446" s="2811">
        <f t="shared" si="243"/>
        <v>0</v>
      </c>
      <c r="AW446" s="2811">
        <f t="shared" si="244"/>
        <v>0</v>
      </c>
      <c r="AX446" s="281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0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02"/>
      <c r="AV447" s="2811">
        <f t="shared" si="243"/>
        <v>0</v>
      </c>
      <c r="AW447" s="2811">
        <f t="shared" si="244"/>
        <v>0</v>
      </c>
      <c r="AX447" s="281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0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02"/>
      <c r="AV448" s="2811">
        <f t="shared" si="243"/>
        <v>0</v>
      </c>
      <c r="AW448" s="2811">
        <f t="shared" si="244"/>
        <v>0</v>
      </c>
      <c r="AX448" s="281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0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02"/>
      <c r="AV449" s="2811">
        <f t="shared" si="243"/>
        <v>0</v>
      </c>
      <c r="AW449" s="2811">
        <f t="shared" si="244"/>
        <v>0</v>
      </c>
      <c r="AX449" s="281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0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02"/>
      <c r="AV450" s="2811">
        <f t="shared" si="243"/>
        <v>0</v>
      </c>
      <c r="AW450" s="2811">
        <f t="shared" si="244"/>
        <v>0</v>
      </c>
      <c r="AX450" s="281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0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02"/>
      <c r="AV451" s="2811">
        <f t="shared" si="243"/>
        <v>0</v>
      </c>
      <c r="AW451" s="2811">
        <f t="shared" si="244"/>
        <v>0</v>
      </c>
      <c r="AX451" s="281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0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02"/>
      <c r="AV452" s="2811">
        <f t="shared" si="243"/>
        <v>0</v>
      </c>
      <c r="AW452" s="2811">
        <f t="shared" si="244"/>
        <v>0</v>
      </c>
      <c r="AX452" s="281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0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02"/>
      <c r="AV453" s="2811">
        <f t="shared" si="243"/>
        <v>0</v>
      </c>
      <c r="AW453" s="2811">
        <f t="shared" si="244"/>
        <v>0</v>
      </c>
      <c r="AX453" s="281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0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02"/>
      <c r="AV454" s="2811">
        <f t="shared" si="243"/>
        <v>0</v>
      </c>
      <c r="AW454" s="2811">
        <f t="shared" si="244"/>
        <v>0</v>
      </c>
      <c r="AX454" s="281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0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02"/>
      <c r="AV455" s="2811">
        <f t="shared" si="243"/>
        <v>0</v>
      </c>
      <c r="AW455" s="2811">
        <f t="shared" si="244"/>
        <v>0</v>
      </c>
      <c r="AX455" s="281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0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02"/>
      <c r="AV456" s="2811">
        <f t="shared" si="243"/>
        <v>0</v>
      </c>
      <c r="AW456" s="2811">
        <f t="shared" si="244"/>
        <v>0</v>
      </c>
      <c r="AX456" s="281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0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02"/>
      <c r="AV457" s="2811">
        <f t="shared" si="243"/>
        <v>0</v>
      </c>
      <c r="AW457" s="2811">
        <f t="shared" si="244"/>
        <v>0</v>
      </c>
      <c r="AX457" s="281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0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02"/>
      <c r="AV458" s="2811">
        <f t="shared" si="243"/>
        <v>0</v>
      </c>
      <c r="AW458" s="2811">
        <f t="shared" si="244"/>
        <v>0</v>
      </c>
      <c r="AX458" s="281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0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02"/>
      <c r="AV459" s="2811">
        <f t="shared" si="243"/>
        <v>0</v>
      </c>
      <c r="AW459" s="2811">
        <f t="shared" si="244"/>
        <v>0</v>
      </c>
      <c r="AX459" s="281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0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02"/>
      <c r="AV460" s="2811">
        <f t="shared" si="243"/>
        <v>0</v>
      </c>
      <c r="AW460" s="2811">
        <f t="shared" si="244"/>
        <v>0</v>
      </c>
      <c r="AX460" s="281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0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02"/>
      <c r="AV461" s="2811">
        <f t="shared" si="243"/>
        <v>0</v>
      </c>
      <c r="AW461" s="2811">
        <f t="shared" si="244"/>
        <v>0</v>
      </c>
      <c r="AX461" s="281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0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02"/>
      <c r="AV462" s="2811">
        <f t="shared" si="243"/>
        <v>0</v>
      </c>
      <c r="AW462" s="2811">
        <f t="shared" si="244"/>
        <v>0</v>
      </c>
      <c r="AX462" s="281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0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02"/>
      <c r="AV463" s="2811">
        <f t="shared" si="243"/>
        <v>0</v>
      </c>
      <c r="AW463" s="2811">
        <f t="shared" si="244"/>
        <v>0</v>
      </c>
      <c r="AX463" s="281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0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02"/>
      <c r="AV464" s="2811">
        <f t="shared" si="243"/>
        <v>0</v>
      </c>
      <c r="AW464" s="2811">
        <f t="shared" si="244"/>
        <v>0</v>
      </c>
      <c r="AX464" s="281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0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02"/>
      <c r="AV465" s="2811">
        <f t="shared" si="243"/>
        <v>0</v>
      </c>
      <c r="AW465" s="2811">
        <f t="shared" si="244"/>
        <v>0</v>
      </c>
      <c r="AX465" s="281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0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02"/>
      <c r="AV466" s="2811">
        <f t="shared" si="243"/>
        <v>0</v>
      </c>
      <c r="AW466" s="2811">
        <f t="shared" si="244"/>
        <v>0</v>
      </c>
      <c r="AX466" s="281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0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02"/>
      <c r="AV467" s="2811">
        <f t="shared" si="243"/>
        <v>0</v>
      </c>
      <c r="AW467" s="2811">
        <f t="shared" si="244"/>
        <v>0</v>
      </c>
      <c r="AX467" s="281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0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02"/>
      <c r="AV468" s="2811">
        <f t="shared" si="243"/>
        <v>0</v>
      </c>
      <c r="AW468" s="2811">
        <f t="shared" si="244"/>
        <v>0</v>
      </c>
      <c r="AX468" s="281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0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02"/>
      <c r="AV469" s="2811">
        <f t="shared" si="243"/>
        <v>0</v>
      </c>
      <c r="AW469" s="2811">
        <f t="shared" si="244"/>
        <v>0</v>
      </c>
      <c r="AX469" s="281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0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02"/>
      <c r="AV470" s="2811">
        <f t="shared" si="243"/>
        <v>0</v>
      </c>
      <c r="AW470" s="2811">
        <f t="shared" si="244"/>
        <v>0</v>
      </c>
      <c r="AX470" s="281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0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02"/>
      <c r="AV471" s="2811">
        <f t="shared" si="243"/>
        <v>0</v>
      </c>
      <c r="AW471" s="2811">
        <f t="shared" si="244"/>
        <v>0</v>
      </c>
      <c r="AX471" s="281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0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02"/>
      <c r="AV472" s="2811">
        <f t="shared" si="243"/>
        <v>0</v>
      </c>
      <c r="AW472" s="2811">
        <f t="shared" si="244"/>
        <v>0</v>
      </c>
      <c r="AX472" s="281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0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02"/>
      <c r="AV473" s="2811">
        <f t="shared" si="243"/>
        <v>0</v>
      </c>
      <c r="AW473" s="2811">
        <f t="shared" si="244"/>
        <v>0</v>
      </c>
      <c r="AX473" s="281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0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02"/>
      <c r="AV474" s="2811">
        <f t="shared" si="243"/>
        <v>0</v>
      </c>
      <c r="AW474" s="2811">
        <f t="shared" si="244"/>
        <v>0</v>
      </c>
      <c r="AX474" s="281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0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02"/>
      <c r="AV475" s="2811">
        <f t="shared" si="243"/>
        <v>0</v>
      </c>
      <c r="AW475" s="2811">
        <f t="shared" si="244"/>
        <v>0</v>
      </c>
      <c r="AX475" s="281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0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02"/>
      <c r="AV476" s="2811">
        <f t="shared" si="243"/>
        <v>0</v>
      </c>
      <c r="AW476" s="2811">
        <f t="shared" si="244"/>
        <v>0</v>
      </c>
      <c r="AX476" s="281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0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02"/>
      <c r="AV477" s="2811">
        <f t="shared" si="243"/>
        <v>0</v>
      </c>
      <c r="AW477" s="2811">
        <f t="shared" si="244"/>
        <v>0</v>
      </c>
      <c r="AX477" s="281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0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02"/>
      <c r="AV478" s="2811">
        <f t="shared" si="243"/>
        <v>0</v>
      </c>
      <c r="AW478" s="2811">
        <f t="shared" si="244"/>
        <v>0</v>
      </c>
      <c r="AX478" s="281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0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02"/>
      <c r="AV479" s="2811">
        <f t="shared" si="243"/>
        <v>0</v>
      </c>
      <c r="AW479" s="2811">
        <f t="shared" si="244"/>
        <v>0</v>
      </c>
      <c r="AX479" s="281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0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02"/>
      <c r="AV480" s="2811">
        <f t="shared" si="243"/>
        <v>0</v>
      </c>
      <c r="AW480" s="2811">
        <f t="shared" si="244"/>
        <v>0</v>
      </c>
      <c r="AX480" s="281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0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02"/>
      <c r="AV481" s="2811">
        <f t="shared" si="243"/>
        <v>0</v>
      </c>
      <c r="AW481" s="2811">
        <f t="shared" si="244"/>
        <v>0</v>
      </c>
      <c r="AX481" s="281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0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02"/>
      <c r="AV482" s="2811">
        <f t="shared" si="243"/>
        <v>0</v>
      </c>
      <c r="AW482" s="2811">
        <f t="shared" si="244"/>
        <v>0</v>
      </c>
      <c r="AX482" s="281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0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02"/>
      <c r="AV483" s="2811">
        <f t="shared" si="243"/>
        <v>0</v>
      </c>
      <c r="AW483" s="2811">
        <f t="shared" si="244"/>
        <v>0</v>
      </c>
      <c r="AX483" s="281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0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02"/>
      <c r="AV484" s="2811">
        <f t="shared" si="243"/>
        <v>0</v>
      </c>
      <c r="AW484" s="2811">
        <f t="shared" si="244"/>
        <v>0</v>
      </c>
      <c r="AX484" s="281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0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02"/>
      <c r="AV485" s="2811">
        <f t="shared" si="243"/>
        <v>0</v>
      </c>
      <c r="AW485" s="2811">
        <f t="shared" si="244"/>
        <v>0</v>
      </c>
      <c r="AX485" s="281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0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02"/>
      <c r="AV486" s="2811">
        <f t="shared" si="243"/>
        <v>0</v>
      </c>
      <c r="AW486" s="2811">
        <f t="shared" si="244"/>
        <v>0</v>
      </c>
      <c r="AX486" s="281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0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02"/>
      <c r="AV487" s="2811">
        <f t="shared" si="243"/>
        <v>0</v>
      </c>
      <c r="AW487" s="2811">
        <f t="shared" si="244"/>
        <v>0</v>
      </c>
      <c r="AX487" s="281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0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02"/>
      <c r="AV488" s="2811">
        <f t="shared" si="243"/>
        <v>0</v>
      </c>
      <c r="AW488" s="2811">
        <f t="shared" si="244"/>
        <v>0</v>
      </c>
      <c r="AX488" s="281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0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02"/>
      <c r="AV489" s="2811">
        <f t="shared" si="243"/>
        <v>0</v>
      </c>
      <c r="AW489" s="2811">
        <f t="shared" si="244"/>
        <v>0</v>
      </c>
      <c r="AX489" s="281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0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42"/>
      <c r="AV490" s="2811">
        <f t="shared" si="243"/>
        <v>0</v>
      </c>
      <c r="AW490" s="2811">
        <f t="shared" si="244"/>
        <v>0</v>
      </c>
      <c r="AX490" s="281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0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42"/>
      <c r="AV491" s="2811">
        <f t="shared" si="243"/>
        <v>0</v>
      </c>
      <c r="AW491" s="2811">
        <f t="shared" si="244"/>
        <v>0</v>
      </c>
      <c r="AX491" s="281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0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42"/>
      <c r="AV492" s="2811">
        <f t="shared" si="243"/>
        <v>0</v>
      </c>
      <c r="AW492" s="2811">
        <f t="shared" si="244"/>
        <v>0</v>
      </c>
      <c r="AX492" s="281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0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02"/>
      <c r="AV493" s="2811">
        <f t="shared" ref="AV493:AV520" si="294">A493</f>
        <v>0</v>
      </c>
      <c r="AW493" s="2811">
        <f t="shared" ref="AW493:AW520" si="295">B493</f>
        <v>0</v>
      </c>
      <c r="AX493" s="281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0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02"/>
      <c r="AV494" s="2811">
        <f t="shared" si="294"/>
        <v>0</v>
      </c>
      <c r="AW494" s="2811">
        <f t="shared" si="295"/>
        <v>0</v>
      </c>
      <c r="AX494" s="281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0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02"/>
      <c r="AV495" s="2811">
        <f t="shared" si="294"/>
        <v>0</v>
      </c>
      <c r="AW495" s="2811">
        <f t="shared" si="295"/>
        <v>0</v>
      </c>
      <c r="AX495" s="281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0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02"/>
      <c r="AV496" s="2811">
        <f t="shared" si="294"/>
        <v>0</v>
      </c>
      <c r="AW496" s="2811">
        <f t="shared" si="295"/>
        <v>0</v>
      </c>
      <c r="AX496" s="281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0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02"/>
      <c r="AV497" s="2811">
        <f t="shared" si="294"/>
        <v>0</v>
      </c>
      <c r="AW497" s="2811">
        <f t="shared" si="295"/>
        <v>0</v>
      </c>
      <c r="AX497" s="281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0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02"/>
      <c r="AV498" s="2811">
        <f t="shared" si="294"/>
        <v>0</v>
      </c>
      <c r="AW498" s="2811">
        <f t="shared" si="295"/>
        <v>0</v>
      </c>
      <c r="AX498" s="281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0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02"/>
      <c r="AV499" s="2811">
        <f t="shared" si="294"/>
        <v>0</v>
      </c>
      <c r="AW499" s="2811">
        <f t="shared" si="295"/>
        <v>0</v>
      </c>
      <c r="AX499" s="281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0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02"/>
      <c r="AV500" s="2811">
        <f t="shared" si="294"/>
        <v>0</v>
      </c>
      <c r="AW500" s="2811">
        <f t="shared" si="295"/>
        <v>0</v>
      </c>
      <c r="AX500" s="281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0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02"/>
      <c r="AV501" s="2811">
        <f t="shared" si="294"/>
        <v>0</v>
      </c>
      <c r="AW501" s="2811">
        <f t="shared" si="295"/>
        <v>0</v>
      </c>
      <c r="AX501" s="281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0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02"/>
      <c r="AV502" s="2811">
        <f t="shared" si="294"/>
        <v>0</v>
      </c>
      <c r="AW502" s="2811">
        <f t="shared" si="295"/>
        <v>0</v>
      </c>
      <c r="AX502" s="281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0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02"/>
      <c r="AV503" s="2811">
        <f t="shared" si="294"/>
        <v>0</v>
      </c>
      <c r="AW503" s="2811">
        <f t="shared" si="295"/>
        <v>0</v>
      </c>
      <c r="AX503" s="281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0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02"/>
      <c r="AV504" s="2811">
        <f t="shared" si="294"/>
        <v>0</v>
      </c>
      <c r="AW504" s="2811">
        <f t="shared" si="295"/>
        <v>0</v>
      </c>
      <c r="AX504" s="281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0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02"/>
      <c r="AV505" s="2811">
        <f t="shared" si="294"/>
        <v>0</v>
      </c>
      <c r="AW505" s="2811">
        <f t="shared" si="295"/>
        <v>0</v>
      </c>
      <c r="AX505" s="281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0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02"/>
      <c r="AV506" s="2811">
        <f t="shared" si="294"/>
        <v>0</v>
      </c>
      <c r="AW506" s="2811">
        <f t="shared" si="295"/>
        <v>0</v>
      </c>
      <c r="AX506" s="281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0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02"/>
      <c r="AV507" s="2811">
        <f t="shared" si="294"/>
        <v>0</v>
      </c>
      <c r="AW507" s="2811">
        <f t="shared" si="295"/>
        <v>0</v>
      </c>
      <c r="AX507" s="281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0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02"/>
      <c r="AV508" s="2811">
        <f t="shared" si="294"/>
        <v>0</v>
      </c>
      <c r="AW508" s="2811">
        <f t="shared" si="295"/>
        <v>0</v>
      </c>
      <c r="AX508" s="281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0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02"/>
      <c r="AV509" s="2811">
        <f t="shared" si="294"/>
        <v>0</v>
      </c>
      <c r="AW509" s="2811">
        <f t="shared" si="295"/>
        <v>0</v>
      </c>
      <c r="AX509" s="281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0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02"/>
      <c r="AV510" s="2811">
        <f t="shared" si="294"/>
        <v>0</v>
      </c>
      <c r="AW510" s="2811">
        <f t="shared" si="295"/>
        <v>0</v>
      </c>
      <c r="AX510" s="281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0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02"/>
      <c r="AV511" s="2811">
        <f t="shared" si="294"/>
        <v>0</v>
      </c>
      <c r="AW511" s="2811">
        <f t="shared" si="295"/>
        <v>0</v>
      </c>
      <c r="AX511" s="281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0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02"/>
      <c r="AV512" s="2811">
        <f t="shared" si="294"/>
        <v>0</v>
      </c>
      <c r="AW512" s="2811">
        <f t="shared" si="295"/>
        <v>0</v>
      </c>
      <c r="AX512" s="281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0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02"/>
      <c r="AV513" s="2811">
        <f t="shared" si="294"/>
        <v>0</v>
      </c>
      <c r="AW513" s="2811">
        <f t="shared" si="295"/>
        <v>0</v>
      </c>
      <c r="AX513" s="281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0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02"/>
      <c r="AV514" s="2811">
        <f t="shared" si="294"/>
        <v>0</v>
      </c>
      <c r="AW514" s="2811">
        <f t="shared" si="295"/>
        <v>0</v>
      </c>
      <c r="AX514" s="281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0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02"/>
      <c r="AV515" s="2811">
        <f t="shared" si="294"/>
        <v>0</v>
      </c>
      <c r="AW515" s="2811">
        <f t="shared" si="295"/>
        <v>0</v>
      </c>
      <c r="AX515" s="281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0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02"/>
      <c r="AV516" s="2811">
        <f t="shared" si="294"/>
        <v>0</v>
      </c>
      <c r="AW516" s="2811">
        <f t="shared" si="295"/>
        <v>0</v>
      </c>
      <c r="AX516" s="281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0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02"/>
      <c r="AV517" s="2811">
        <f t="shared" si="294"/>
        <v>0</v>
      </c>
      <c r="AW517" s="2811">
        <f t="shared" si="295"/>
        <v>0</v>
      </c>
      <c r="AX517" s="281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0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02"/>
      <c r="AV518" s="2811">
        <f t="shared" si="294"/>
        <v>0</v>
      </c>
      <c r="AW518" s="2811">
        <f t="shared" si="295"/>
        <v>0</v>
      </c>
      <c r="AX518" s="281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0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02"/>
      <c r="AV519" s="2811">
        <f t="shared" si="294"/>
        <v>0</v>
      </c>
      <c r="AW519" s="2811">
        <f t="shared" si="295"/>
        <v>0</v>
      </c>
      <c r="AX519" s="281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0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02"/>
      <c r="AV520" s="2811">
        <f t="shared" si="294"/>
        <v>0</v>
      </c>
      <c r="AW520" s="2811">
        <f t="shared" si="295"/>
        <v>0</v>
      </c>
      <c r="AX520" s="281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0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02"/>
      <c r="AV521" s="2811">
        <f t="shared" ref="AV521:AV552" si="298">A521</f>
        <v>0</v>
      </c>
      <c r="AW521" s="2811">
        <f t="shared" ref="AW521:AW552" si="299">B521</f>
        <v>0</v>
      </c>
      <c r="AX521" s="281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0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02"/>
      <c r="AV522" s="2811">
        <f t="shared" si="298"/>
        <v>0</v>
      </c>
      <c r="AW522" s="2811">
        <f t="shared" si="299"/>
        <v>0</v>
      </c>
      <c r="AX522" s="281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0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02"/>
      <c r="AV523" s="2811">
        <f t="shared" si="298"/>
        <v>0</v>
      </c>
      <c r="AW523" s="2811">
        <f t="shared" si="299"/>
        <v>0</v>
      </c>
      <c r="AX523" s="281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0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02"/>
      <c r="AV524" s="2811">
        <f t="shared" si="298"/>
        <v>0</v>
      </c>
      <c r="AW524" s="2811">
        <f t="shared" si="299"/>
        <v>0</v>
      </c>
      <c r="AX524" s="281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0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02"/>
      <c r="AV525" s="2811">
        <f t="shared" si="298"/>
        <v>0</v>
      </c>
      <c r="AW525" s="2811">
        <f t="shared" si="299"/>
        <v>0</v>
      </c>
      <c r="AX525" s="281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0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02"/>
      <c r="AV526" s="2811">
        <f t="shared" si="298"/>
        <v>0</v>
      </c>
      <c r="AW526" s="2811">
        <f t="shared" si="299"/>
        <v>0</v>
      </c>
      <c r="AX526" s="281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0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02"/>
      <c r="AV527" s="2811">
        <f t="shared" si="298"/>
        <v>0</v>
      </c>
      <c r="AW527" s="2811">
        <f t="shared" si="299"/>
        <v>0</v>
      </c>
      <c r="AX527" s="281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0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02"/>
      <c r="AV528" s="2811">
        <f t="shared" si="298"/>
        <v>0</v>
      </c>
      <c r="AW528" s="2811">
        <f t="shared" si="299"/>
        <v>0</v>
      </c>
      <c r="AX528" s="281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0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02"/>
      <c r="AV529" s="2811">
        <f t="shared" si="298"/>
        <v>0</v>
      </c>
      <c r="AW529" s="2811">
        <f t="shared" si="299"/>
        <v>0</v>
      </c>
      <c r="AX529" s="281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0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02"/>
      <c r="AV530" s="2811">
        <f t="shared" si="298"/>
        <v>0</v>
      </c>
      <c r="AW530" s="2811">
        <f t="shared" si="299"/>
        <v>0</v>
      </c>
      <c r="AX530" s="281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0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02"/>
      <c r="AV531" s="2811">
        <f t="shared" si="298"/>
        <v>0</v>
      </c>
      <c r="AW531" s="2811">
        <f t="shared" si="299"/>
        <v>0</v>
      </c>
      <c r="AX531" s="281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0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02"/>
      <c r="AV532" s="2811">
        <f t="shared" si="298"/>
        <v>0</v>
      </c>
      <c r="AW532" s="2811">
        <f t="shared" si="299"/>
        <v>0</v>
      </c>
      <c r="AX532" s="281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0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02"/>
      <c r="AV533" s="2811">
        <f t="shared" si="298"/>
        <v>0</v>
      </c>
      <c r="AW533" s="2811">
        <f t="shared" si="299"/>
        <v>0</v>
      </c>
      <c r="AX533" s="281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0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02"/>
      <c r="AV534" s="2811">
        <f t="shared" si="298"/>
        <v>0</v>
      </c>
      <c r="AW534" s="2811">
        <f t="shared" si="299"/>
        <v>0</v>
      </c>
      <c r="AX534" s="281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0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02"/>
      <c r="AV535" s="2811">
        <f t="shared" si="298"/>
        <v>0</v>
      </c>
      <c r="AW535" s="2811">
        <f t="shared" si="299"/>
        <v>0</v>
      </c>
      <c r="AX535" s="281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0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02"/>
      <c r="AV536" s="2811">
        <f t="shared" si="298"/>
        <v>0</v>
      </c>
      <c r="AW536" s="2811">
        <f t="shared" si="299"/>
        <v>0</v>
      </c>
      <c r="AX536" s="281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0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02"/>
      <c r="AV537" s="2811">
        <f t="shared" si="298"/>
        <v>0</v>
      </c>
      <c r="AW537" s="2811">
        <f t="shared" si="299"/>
        <v>0</v>
      </c>
      <c r="AX537" s="281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0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02"/>
      <c r="AV538" s="2811">
        <f t="shared" si="298"/>
        <v>0</v>
      </c>
      <c r="AW538" s="2811">
        <f t="shared" si="299"/>
        <v>0</v>
      </c>
      <c r="AX538" s="281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0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02"/>
      <c r="AV539" s="2811">
        <f t="shared" si="298"/>
        <v>0</v>
      </c>
      <c r="AW539" s="2811">
        <f t="shared" si="299"/>
        <v>0</v>
      </c>
      <c r="AX539" s="281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0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02"/>
      <c r="AV540" s="2811">
        <f t="shared" si="298"/>
        <v>0</v>
      </c>
      <c r="AW540" s="2811">
        <f t="shared" si="299"/>
        <v>0</v>
      </c>
      <c r="AX540" s="281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0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02"/>
      <c r="AV541" s="2811">
        <f t="shared" si="298"/>
        <v>0</v>
      </c>
      <c r="AW541" s="2811">
        <f t="shared" si="299"/>
        <v>0</v>
      </c>
      <c r="AX541" s="281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0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02"/>
      <c r="AV542" s="2811">
        <f t="shared" si="298"/>
        <v>0</v>
      </c>
      <c r="AW542" s="2811">
        <f t="shared" si="299"/>
        <v>0</v>
      </c>
      <c r="AX542" s="281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0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02"/>
      <c r="AV543" s="2811">
        <f t="shared" si="298"/>
        <v>0</v>
      </c>
      <c r="AW543" s="2811">
        <f t="shared" si="299"/>
        <v>0</v>
      </c>
      <c r="AX543" s="281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0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02"/>
      <c r="AV544" s="2811">
        <f t="shared" si="298"/>
        <v>0</v>
      </c>
      <c r="AW544" s="2811">
        <f t="shared" si="299"/>
        <v>0</v>
      </c>
      <c r="AX544" s="281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0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02"/>
      <c r="AV545" s="2811">
        <f t="shared" si="298"/>
        <v>0</v>
      </c>
      <c r="AW545" s="2811">
        <f t="shared" si="299"/>
        <v>0</v>
      </c>
      <c r="AX545" s="281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0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02"/>
      <c r="AV546" s="2811">
        <f t="shared" si="298"/>
        <v>0</v>
      </c>
      <c r="AW546" s="2811">
        <f t="shared" si="299"/>
        <v>0</v>
      </c>
      <c r="AX546" s="281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0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02"/>
      <c r="AV547" s="2811">
        <f t="shared" si="298"/>
        <v>0</v>
      </c>
      <c r="AW547" s="2811">
        <f t="shared" si="299"/>
        <v>0</v>
      </c>
      <c r="AX547" s="281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0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02"/>
      <c r="AV548" s="2811">
        <f t="shared" si="298"/>
        <v>0</v>
      </c>
      <c r="AW548" s="2811">
        <f t="shared" si="299"/>
        <v>0</v>
      </c>
      <c r="AX548" s="281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0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02"/>
      <c r="AV549" s="2811">
        <f t="shared" si="298"/>
        <v>0</v>
      </c>
      <c r="AW549" s="2811">
        <f t="shared" si="299"/>
        <v>0</v>
      </c>
      <c r="AX549" s="281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0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02"/>
      <c r="AV550" s="2811">
        <f t="shared" si="298"/>
        <v>0</v>
      </c>
      <c r="AW550" s="2811">
        <f t="shared" si="299"/>
        <v>0</v>
      </c>
      <c r="AX550" s="281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0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02"/>
      <c r="AV551" s="2811">
        <f t="shared" si="298"/>
        <v>0</v>
      </c>
      <c r="AW551" s="2811">
        <f t="shared" si="299"/>
        <v>0</v>
      </c>
      <c r="AX551" s="281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0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02"/>
      <c r="AV552" s="2811">
        <f t="shared" si="298"/>
        <v>0</v>
      </c>
      <c r="AW552" s="2811">
        <f t="shared" si="299"/>
        <v>0</v>
      </c>
      <c r="AX552" s="281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0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02"/>
      <c r="AV553" s="2811">
        <f t="shared" ref="AV553:AV587" si="330">A553</f>
        <v>0</v>
      </c>
      <c r="AW553" s="2811">
        <f t="shared" ref="AW553:AW587" si="331">B553</f>
        <v>0</v>
      </c>
      <c r="AX553" s="281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0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02"/>
      <c r="AV554" s="2811">
        <f t="shared" si="330"/>
        <v>0</v>
      </c>
      <c r="AW554" s="2811">
        <f t="shared" si="331"/>
        <v>0</v>
      </c>
      <c r="AX554" s="281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0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02"/>
      <c r="AV555" s="2811">
        <f t="shared" si="330"/>
        <v>0</v>
      </c>
      <c r="AW555" s="2811">
        <f t="shared" si="331"/>
        <v>0</v>
      </c>
      <c r="AX555" s="281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0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02"/>
      <c r="AV556" s="2811">
        <f t="shared" si="330"/>
        <v>0</v>
      </c>
      <c r="AW556" s="2811">
        <f t="shared" si="331"/>
        <v>0</v>
      </c>
      <c r="AX556" s="281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0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02"/>
      <c r="AV557" s="2811">
        <f t="shared" si="330"/>
        <v>0</v>
      </c>
      <c r="AW557" s="2811">
        <f t="shared" si="331"/>
        <v>0</v>
      </c>
      <c r="AX557" s="281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0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02"/>
      <c r="AV558" s="2811">
        <f t="shared" si="330"/>
        <v>0</v>
      </c>
      <c r="AW558" s="2811">
        <f t="shared" si="331"/>
        <v>0</v>
      </c>
      <c r="AX558" s="281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0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02"/>
      <c r="AV559" s="2811">
        <f t="shared" si="330"/>
        <v>0</v>
      </c>
      <c r="AW559" s="2811">
        <f t="shared" si="331"/>
        <v>0</v>
      </c>
      <c r="AX559" s="281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0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02"/>
      <c r="AV560" s="2811">
        <f t="shared" si="330"/>
        <v>0</v>
      </c>
      <c r="AW560" s="2811">
        <f t="shared" si="331"/>
        <v>0</v>
      </c>
      <c r="AX560" s="281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0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02"/>
      <c r="AV561" s="2811">
        <f t="shared" si="330"/>
        <v>0</v>
      </c>
      <c r="AW561" s="2811">
        <f t="shared" si="331"/>
        <v>0</v>
      </c>
      <c r="AX561" s="281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0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02"/>
      <c r="AV562" s="2811">
        <f t="shared" si="330"/>
        <v>0</v>
      </c>
      <c r="AW562" s="2811">
        <f t="shared" si="331"/>
        <v>0</v>
      </c>
      <c r="AX562" s="281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0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02"/>
      <c r="AV563" s="2811">
        <f t="shared" si="330"/>
        <v>0</v>
      </c>
      <c r="AW563" s="2811">
        <f t="shared" si="331"/>
        <v>0</v>
      </c>
      <c r="AX563" s="281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0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02"/>
      <c r="AV564" s="2811">
        <f t="shared" si="330"/>
        <v>0</v>
      </c>
      <c r="AW564" s="2811">
        <f t="shared" si="331"/>
        <v>0</v>
      </c>
      <c r="AX564" s="281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0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02"/>
      <c r="AV565" s="2811">
        <f t="shared" si="330"/>
        <v>0</v>
      </c>
      <c r="AW565" s="2811">
        <f t="shared" si="331"/>
        <v>0</v>
      </c>
      <c r="AX565" s="281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0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02"/>
      <c r="AV566" s="2811">
        <f t="shared" si="330"/>
        <v>0</v>
      </c>
      <c r="AW566" s="2811">
        <f t="shared" si="331"/>
        <v>0</v>
      </c>
      <c r="AX566" s="281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0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02"/>
      <c r="AV567" s="2811">
        <f t="shared" si="330"/>
        <v>0</v>
      </c>
      <c r="AW567" s="2811">
        <f t="shared" si="331"/>
        <v>0</v>
      </c>
      <c r="AX567" s="281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0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02"/>
      <c r="AV568" s="2811">
        <f t="shared" si="330"/>
        <v>0</v>
      </c>
      <c r="AW568" s="2811">
        <f t="shared" si="331"/>
        <v>0</v>
      </c>
      <c r="AX568" s="281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0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02"/>
      <c r="AV569" s="2811">
        <f t="shared" si="330"/>
        <v>0</v>
      </c>
      <c r="AW569" s="2811">
        <f t="shared" si="331"/>
        <v>0</v>
      </c>
      <c r="AX569" s="281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0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02"/>
      <c r="AV570" s="2811">
        <f t="shared" si="330"/>
        <v>0</v>
      </c>
      <c r="AW570" s="2811">
        <f t="shared" si="331"/>
        <v>0</v>
      </c>
      <c r="AX570" s="281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0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02"/>
      <c r="AV571" s="2811">
        <f t="shared" si="330"/>
        <v>0</v>
      </c>
      <c r="AW571" s="2811">
        <f t="shared" si="331"/>
        <v>0</v>
      </c>
      <c r="AX571" s="281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0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02"/>
      <c r="AV572" s="2811">
        <f t="shared" si="330"/>
        <v>0</v>
      </c>
      <c r="AW572" s="2811">
        <f t="shared" si="331"/>
        <v>0</v>
      </c>
      <c r="AX572" s="281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0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02"/>
      <c r="AV573" s="2811">
        <f t="shared" si="330"/>
        <v>0</v>
      </c>
      <c r="AW573" s="2811">
        <f t="shared" si="331"/>
        <v>0</v>
      </c>
      <c r="AX573" s="281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0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02"/>
      <c r="AV574" s="2811">
        <f t="shared" si="330"/>
        <v>0</v>
      </c>
      <c r="AW574" s="2811">
        <f t="shared" si="331"/>
        <v>0</v>
      </c>
      <c r="AX574" s="281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0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02"/>
      <c r="AV575" s="2811">
        <f t="shared" si="330"/>
        <v>0</v>
      </c>
      <c r="AW575" s="2811">
        <f t="shared" si="331"/>
        <v>0</v>
      </c>
      <c r="AX575" s="281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0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02"/>
      <c r="AV576" s="2811">
        <f t="shared" si="330"/>
        <v>0</v>
      </c>
      <c r="AW576" s="2811">
        <f t="shared" si="331"/>
        <v>0</v>
      </c>
      <c r="AX576" s="281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0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02"/>
      <c r="AV577" s="2811">
        <f t="shared" si="330"/>
        <v>0</v>
      </c>
      <c r="AW577" s="2811">
        <f t="shared" si="331"/>
        <v>0</v>
      </c>
      <c r="AX577" s="281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0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02"/>
      <c r="AV578" s="2811">
        <f t="shared" si="330"/>
        <v>0</v>
      </c>
      <c r="AW578" s="2811">
        <f t="shared" si="331"/>
        <v>0</v>
      </c>
      <c r="AX578" s="281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0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02"/>
      <c r="AV579" s="2811">
        <f t="shared" si="330"/>
        <v>0</v>
      </c>
      <c r="AW579" s="2811">
        <f t="shared" si="331"/>
        <v>0</v>
      </c>
      <c r="AX579" s="281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0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02"/>
      <c r="AV580" s="2811">
        <f t="shared" si="330"/>
        <v>0</v>
      </c>
      <c r="AW580" s="2811">
        <f t="shared" si="331"/>
        <v>0</v>
      </c>
      <c r="AX580" s="281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0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02"/>
      <c r="AV581" s="2811">
        <f t="shared" si="330"/>
        <v>0</v>
      </c>
      <c r="AW581" s="2811">
        <f t="shared" si="331"/>
        <v>0</v>
      </c>
      <c r="AX581" s="281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0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02"/>
      <c r="AV582" s="2811">
        <f t="shared" si="330"/>
        <v>0</v>
      </c>
      <c r="AW582" s="2811">
        <f t="shared" si="331"/>
        <v>0</v>
      </c>
      <c r="AX582" s="281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0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02"/>
      <c r="AV583" s="2811">
        <f t="shared" si="330"/>
        <v>0</v>
      </c>
      <c r="AW583" s="2811">
        <f t="shared" si="331"/>
        <v>0</v>
      </c>
      <c r="AX583" s="281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0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02"/>
      <c r="AV584" s="2811">
        <f t="shared" si="330"/>
        <v>0</v>
      </c>
      <c r="AW584" s="2811">
        <f t="shared" si="331"/>
        <v>0</v>
      </c>
      <c r="AX584" s="281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0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42"/>
      <c r="AV585" s="2811">
        <f t="shared" si="330"/>
        <v>0</v>
      </c>
      <c r="AW585" s="2811">
        <f t="shared" si="331"/>
        <v>0</v>
      </c>
      <c r="AX585" s="281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0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42"/>
      <c r="AV586" s="2811">
        <f t="shared" si="330"/>
        <v>0</v>
      </c>
      <c r="AW586" s="2811">
        <f t="shared" si="331"/>
        <v>0</v>
      </c>
      <c r="AX586" s="281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0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42"/>
      <c r="AV587" s="2811">
        <f t="shared" si="330"/>
        <v>0</v>
      </c>
      <c r="AW587" s="2811">
        <f t="shared" si="331"/>
        <v>0</v>
      </c>
      <c r="AX587" s="281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05" customFormat="1">
      <c r="A588" s="2103"/>
      <c r="B588" s="2103"/>
      <c r="C588" s="2103"/>
      <c r="D588" s="2103"/>
      <c r="E588" s="2104"/>
      <c r="F588" s="2104"/>
      <c r="G588" s="2103"/>
      <c r="H588" s="2104"/>
      <c r="I588" s="2104"/>
      <c r="J588" s="2104"/>
      <c r="K588" s="2104"/>
      <c r="L588" s="2104"/>
      <c r="M588" s="2104"/>
      <c r="N588" s="2104"/>
      <c r="O588" s="2104"/>
      <c r="P588" s="2104"/>
      <c r="Q588" s="2104"/>
      <c r="R588" s="2104"/>
      <c r="S588" s="2104"/>
      <c r="T588" s="2104"/>
      <c r="U588" s="2104"/>
      <c r="V588" s="2104"/>
      <c r="W588" s="2104"/>
      <c r="X588" s="2104"/>
      <c r="Y588" s="2104"/>
      <c r="Z588" s="2104"/>
      <c r="AA588" s="2104"/>
      <c r="AB588" s="2104"/>
      <c r="AC588" s="2104"/>
      <c r="AD588" s="2104"/>
      <c r="AE588" s="2104"/>
      <c r="AF588" s="2104"/>
      <c r="AG588" s="2104"/>
      <c r="AH588" s="2104"/>
      <c r="AI588" s="2104"/>
      <c r="AJ588" s="2104"/>
      <c r="AK588" s="2104"/>
      <c r="AL588" s="2104"/>
      <c r="AM588" s="2104"/>
      <c r="AN588" s="2104"/>
      <c r="AO588" s="2104"/>
      <c r="AP588" s="2104"/>
      <c r="AQ588" s="2104"/>
      <c r="AR588" s="2104"/>
      <c r="AS588" s="2104"/>
      <c r="AT588" s="2104"/>
      <c r="AU588" s="2103"/>
      <c r="AV588" s="2867"/>
      <c r="AW588" s="2867"/>
      <c r="AX588" s="2867"/>
    </row>
    <row r="589" spans="1:72" s="2106" customFormat="1">
      <c r="C589" s="2107"/>
      <c r="D589" s="2107"/>
      <c r="AV589" s="2107"/>
      <c r="AW589" s="2107"/>
      <c r="AX589" s="2107"/>
    </row>
    <row r="590" spans="1:72" s="2106" customFormat="1">
      <c r="C590" s="2107"/>
      <c r="D590" s="2107"/>
      <c r="AV590" s="2107"/>
      <c r="AW590" s="2107"/>
      <c r="AX590" s="2107"/>
    </row>
    <row r="593" spans="2:2">
      <c r="B593" s="2107"/>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41"/>
  <sheetViews>
    <sheetView workbookViewId="0">
      <selection activeCell="M295" sqref="M295"/>
    </sheetView>
  </sheetViews>
  <sheetFormatPr defaultRowHeight="12.75"/>
  <cols>
    <col min="1" max="1" width="5" style="2835" customWidth="1"/>
    <col min="2" max="2" width="27.75" style="2835" bestFit="1" customWidth="1"/>
    <col min="3" max="3" width="9" style="2835" bestFit="1" customWidth="1"/>
    <col min="4" max="4" width="6.875" style="2835" customWidth="1"/>
    <col min="5" max="5" width="5.375" style="2835" customWidth="1"/>
    <col min="6" max="6" width="4.5" style="2835" customWidth="1"/>
    <col min="7" max="8" width="7.75" style="2835" customWidth="1"/>
    <col min="9" max="9" width="13" style="2835" customWidth="1"/>
    <col min="10" max="10" width="14.375" style="2835" customWidth="1"/>
    <col min="11" max="11" width="8.625" style="2835" customWidth="1"/>
    <col min="12" max="12" width="5" style="2835" customWidth="1"/>
    <col min="13" max="13" width="9.125" style="2835" customWidth="1"/>
    <col min="14" max="14" width="6.625" style="2835" customWidth="1"/>
    <col min="15" max="15" width="7.75" style="2835" customWidth="1"/>
    <col min="16" max="16" width="7.5" style="2835" customWidth="1"/>
    <col min="17" max="16384" width="9" style="2835"/>
  </cols>
  <sheetData>
    <row r="1" spans="1:16" s="2834" customFormat="1" ht="30" customHeight="1">
      <c r="A1" s="3103" t="s">
        <v>2947</v>
      </c>
      <c r="B1" s="3103"/>
      <c r="C1" s="3103"/>
      <c r="D1" s="3103"/>
      <c r="E1" s="3103"/>
      <c r="F1" s="3103"/>
      <c r="G1" s="3103"/>
      <c r="H1" s="3103"/>
      <c r="I1" s="3103"/>
      <c r="J1" s="3103"/>
      <c r="K1" s="3103"/>
      <c r="L1" s="3103"/>
      <c r="M1" s="3103"/>
      <c r="N1" s="3103"/>
      <c r="O1" s="3103"/>
      <c r="P1" s="2833"/>
    </row>
    <row r="2" spans="1:16" ht="14.1" customHeight="1">
      <c r="A2" s="3104" t="str">
        <f>'[1]4-6固定资产汇总'!A2:J2</f>
        <v>评估基准日：2017年10月31日</v>
      </c>
      <c r="B2" s="3105"/>
      <c r="C2" s="3105"/>
      <c r="D2" s="3105"/>
      <c r="E2" s="3105"/>
      <c r="F2" s="3105"/>
      <c r="G2" s="3105"/>
      <c r="H2" s="3105"/>
      <c r="I2" s="3105"/>
      <c r="J2" s="3105"/>
      <c r="K2" s="3105"/>
      <c r="L2" s="3105"/>
      <c r="M2" s="3105"/>
      <c r="N2" s="3105"/>
      <c r="O2" s="3105"/>
      <c r="P2" s="3105"/>
    </row>
    <row r="3" spans="1:16" ht="14.1" customHeight="1">
      <c r="A3" s="2836"/>
      <c r="B3" s="2836"/>
      <c r="C3" s="2836"/>
      <c r="D3" s="2836"/>
      <c r="E3" s="2836"/>
      <c r="F3" s="2836"/>
      <c r="G3" s="2836"/>
      <c r="H3" s="2836"/>
      <c r="I3" s="2836"/>
      <c r="J3" s="2836"/>
      <c r="K3" s="2836"/>
      <c r="L3" s="2836"/>
      <c r="M3" s="2836"/>
      <c r="N3" s="2836"/>
      <c r="O3" s="3106" t="s">
        <v>2948</v>
      </c>
      <c r="P3" s="3106"/>
    </row>
    <row r="4" spans="1:16" ht="15.75" customHeight="1">
      <c r="A4" s="2837" t="str">
        <f>'[1]4-6固定资产汇总'!A4</f>
        <v>被评估单位：福州泰禾锦兴置业有限公司</v>
      </c>
      <c r="P4" s="2838" t="s">
        <v>2949</v>
      </c>
    </row>
    <row r="5" spans="1:16" s="2839" customFormat="1" ht="15.75" customHeight="1">
      <c r="A5" s="3107" t="s">
        <v>2950</v>
      </c>
      <c r="B5" s="3107" t="s">
        <v>2951</v>
      </c>
      <c r="C5" s="3107" t="s">
        <v>2952</v>
      </c>
      <c r="D5" s="3108" t="s">
        <v>2953</v>
      </c>
      <c r="E5" s="3101" t="s">
        <v>2954</v>
      </c>
      <c r="F5" s="3110" t="s">
        <v>2955</v>
      </c>
      <c r="G5" s="3101" t="s">
        <v>2956</v>
      </c>
      <c r="H5" s="3101" t="s">
        <v>2957</v>
      </c>
      <c r="I5" s="3107" t="s">
        <v>2958</v>
      </c>
      <c r="J5" s="3102"/>
      <c r="K5" s="3107" t="s">
        <v>2959</v>
      </c>
      <c r="L5" s="3102"/>
      <c r="M5" s="3102"/>
      <c r="N5" s="3101" t="s">
        <v>2960</v>
      </c>
      <c r="O5" s="3112" t="s">
        <v>2961</v>
      </c>
      <c r="P5" s="3101" t="s">
        <v>2962</v>
      </c>
    </row>
    <row r="6" spans="1:16" s="2839" customFormat="1" ht="24.75" customHeight="1">
      <c r="A6" s="3102"/>
      <c r="B6" s="3102"/>
      <c r="C6" s="3102"/>
      <c r="D6" s="3109"/>
      <c r="E6" s="3102"/>
      <c r="F6" s="3111"/>
      <c r="G6" s="3102"/>
      <c r="H6" s="3102"/>
      <c r="I6" s="2840" t="s">
        <v>2963</v>
      </c>
      <c r="J6" s="2841" t="s">
        <v>2964</v>
      </c>
      <c r="K6" s="2841" t="s">
        <v>2963</v>
      </c>
      <c r="L6" s="2842" t="s">
        <v>2965</v>
      </c>
      <c r="M6" s="2841" t="s">
        <v>2964</v>
      </c>
      <c r="N6" s="3102"/>
      <c r="O6" s="3113"/>
      <c r="P6" s="3102"/>
    </row>
    <row r="7" spans="1:16" ht="15.75" customHeight="1">
      <c r="A7" s="2843">
        <v>1</v>
      </c>
      <c r="B7" s="2844" t="s">
        <v>2966</v>
      </c>
      <c r="C7" s="2845" t="s">
        <v>2967</v>
      </c>
      <c r="D7" s="2846" t="s">
        <v>2968</v>
      </c>
      <c r="E7" s="2847">
        <v>39034</v>
      </c>
      <c r="F7" s="2848" t="s">
        <v>2969</v>
      </c>
      <c r="G7" s="2849">
        <v>1595.68</v>
      </c>
      <c r="H7" s="2850">
        <f>I7/G7</f>
        <v>42750.008266068384</v>
      </c>
      <c r="I7" s="2851">
        <f>70030420-1815086.81</f>
        <v>68215333.189999998</v>
      </c>
      <c r="J7" s="2850">
        <f>I7</f>
        <v>68215333.189999998</v>
      </c>
      <c r="K7" s="2850"/>
      <c r="L7" s="2852"/>
      <c r="M7" s="2850"/>
      <c r="N7" s="2853">
        <f>IF(J7=0,"",(M7-J7)/J7)</f>
        <v>-1</v>
      </c>
      <c r="O7" s="2850"/>
      <c r="P7" s="2844"/>
    </row>
    <row r="8" spans="1:16" ht="15.75" customHeight="1">
      <c r="A8" s="2843">
        <f>A7+1</f>
        <v>2</v>
      </c>
      <c r="B8" s="2844" t="s">
        <v>2970</v>
      </c>
      <c r="C8" s="2854" t="s">
        <v>2971</v>
      </c>
      <c r="D8" s="2846" t="s">
        <v>2972</v>
      </c>
      <c r="E8" s="2847">
        <v>39034</v>
      </c>
      <c r="F8" s="2848" t="s">
        <v>2973</v>
      </c>
      <c r="G8" s="2855">
        <v>88.04</v>
      </c>
      <c r="H8" s="2850">
        <f>I8/G8</f>
        <v>43887.448886869599</v>
      </c>
      <c r="I8" s="2851">
        <v>3863851</v>
      </c>
      <c r="J8" s="2850">
        <f t="shared" ref="J8:J71" si="0">I8</f>
        <v>3863851</v>
      </c>
      <c r="K8" s="2850"/>
      <c r="L8" s="2852"/>
      <c r="M8" s="2850"/>
      <c r="N8" s="2853">
        <f>IF(J8=0,"",(M8-J8)/J8)</f>
        <v>-1</v>
      </c>
      <c r="O8" s="2850"/>
      <c r="P8" s="2844"/>
    </row>
    <row r="9" spans="1:16" ht="15.75" customHeight="1">
      <c r="A9" s="2843">
        <f t="shared" ref="A9:A72" si="1">A8+1</f>
        <v>3</v>
      </c>
      <c r="B9" s="2844" t="s">
        <v>2974</v>
      </c>
      <c r="C9" s="2854" t="s">
        <v>2975</v>
      </c>
      <c r="D9" s="2846" t="s">
        <v>2972</v>
      </c>
      <c r="E9" s="2847">
        <v>39034</v>
      </c>
      <c r="F9" s="2848" t="s">
        <v>2973</v>
      </c>
      <c r="G9" s="2855">
        <v>80.06</v>
      </c>
      <c r="H9" s="2850">
        <f t="shared" ref="H9:H72" si="2">I9/G9</f>
        <v>43887.459405445916</v>
      </c>
      <c r="I9" s="2851">
        <v>3513630</v>
      </c>
      <c r="J9" s="2850">
        <f t="shared" si="0"/>
        <v>3513630</v>
      </c>
      <c r="K9" s="2850"/>
      <c r="L9" s="2852"/>
      <c r="M9" s="2850"/>
      <c r="N9" s="2853"/>
      <c r="O9" s="2850"/>
      <c r="P9" s="2844"/>
    </row>
    <row r="10" spans="1:16" ht="15.75" customHeight="1">
      <c r="A10" s="2843">
        <f t="shared" si="1"/>
        <v>4</v>
      </c>
      <c r="B10" s="2844" t="s">
        <v>2976</v>
      </c>
      <c r="C10" s="2854" t="s">
        <v>2977</v>
      </c>
      <c r="D10" s="2846" t="s">
        <v>2972</v>
      </c>
      <c r="E10" s="2847">
        <v>39034</v>
      </c>
      <c r="F10" s="2848" t="s">
        <v>2973</v>
      </c>
      <c r="G10" s="2856">
        <v>80.06</v>
      </c>
      <c r="H10" s="2850">
        <f t="shared" si="2"/>
        <v>43887.459405445916</v>
      </c>
      <c r="I10" s="2851">
        <v>3513630</v>
      </c>
      <c r="J10" s="2850">
        <f t="shared" si="0"/>
        <v>3513630</v>
      </c>
      <c r="K10" s="2850"/>
      <c r="L10" s="2852"/>
      <c r="M10" s="2850"/>
      <c r="N10" s="2853"/>
      <c r="O10" s="2850"/>
      <c r="P10" s="2844"/>
    </row>
    <row r="11" spans="1:16" ht="15.75" customHeight="1">
      <c r="A11" s="2843">
        <f t="shared" si="1"/>
        <v>5</v>
      </c>
      <c r="B11" s="2844" t="s">
        <v>2978</v>
      </c>
      <c r="C11" s="2854" t="s">
        <v>2979</v>
      </c>
      <c r="D11" s="2846" t="s">
        <v>2972</v>
      </c>
      <c r="E11" s="2847">
        <v>39034</v>
      </c>
      <c r="F11" s="2848" t="s">
        <v>2973</v>
      </c>
      <c r="G11" s="2856">
        <v>80.06</v>
      </c>
      <c r="H11" s="2850">
        <f t="shared" si="2"/>
        <v>43887.459405445916</v>
      </c>
      <c r="I11" s="2851">
        <v>3513630</v>
      </c>
      <c r="J11" s="2850">
        <f t="shared" si="0"/>
        <v>3513630</v>
      </c>
      <c r="K11" s="2850"/>
      <c r="L11" s="2852"/>
      <c r="M11" s="2850"/>
      <c r="N11" s="2853"/>
      <c r="O11" s="2850"/>
      <c r="P11" s="2844"/>
    </row>
    <row r="12" spans="1:16" ht="15.75" customHeight="1">
      <c r="A12" s="2843">
        <f t="shared" si="1"/>
        <v>6</v>
      </c>
      <c r="B12" s="2844" t="s">
        <v>2980</v>
      </c>
      <c r="C12" s="2854" t="s">
        <v>2981</v>
      </c>
      <c r="D12" s="2846" t="s">
        <v>2982</v>
      </c>
      <c r="E12" s="2847">
        <v>39034</v>
      </c>
      <c r="F12" s="2848" t="s">
        <v>2983</v>
      </c>
      <c r="G12" s="2856">
        <v>99.81</v>
      </c>
      <c r="H12" s="2850">
        <f t="shared" si="2"/>
        <v>43887.456166716758</v>
      </c>
      <c r="I12" s="2851">
        <v>4380407</v>
      </c>
      <c r="J12" s="2850">
        <f t="shared" si="0"/>
        <v>4380407</v>
      </c>
      <c r="K12" s="2850"/>
      <c r="L12" s="2852"/>
      <c r="M12" s="2850"/>
      <c r="N12" s="2853"/>
      <c r="O12" s="2850"/>
      <c r="P12" s="2844"/>
    </row>
    <row r="13" spans="1:16" ht="15.75" customHeight="1">
      <c r="A13" s="2843">
        <f t="shared" si="1"/>
        <v>7</v>
      </c>
      <c r="B13" s="2844" t="s">
        <v>2984</v>
      </c>
      <c r="C13" s="2854" t="s">
        <v>2985</v>
      </c>
      <c r="D13" s="2846" t="s">
        <v>2968</v>
      </c>
      <c r="E13" s="2847">
        <v>39034</v>
      </c>
      <c r="F13" s="2848" t="s">
        <v>2969</v>
      </c>
      <c r="G13" s="2856">
        <v>83.28</v>
      </c>
      <c r="H13" s="2850">
        <f t="shared" si="2"/>
        <v>43887.451969260328</v>
      </c>
      <c r="I13" s="2851">
        <v>3654947</v>
      </c>
      <c r="J13" s="2850">
        <f t="shared" si="0"/>
        <v>3654947</v>
      </c>
      <c r="K13" s="2850"/>
      <c r="L13" s="2852"/>
      <c r="M13" s="2850"/>
      <c r="N13" s="2853"/>
      <c r="O13" s="2850"/>
      <c r="P13" s="2844"/>
    </row>
    <row r="14" spans="1:16" ht="15.75" customHeight="1">
      <c r="A14" s="2843">
        <f t="shared" si="1"/>
        <v>8</v>
      </c>
      <c r="B14" s="2844" t="s">
        <v>2986</v>
      </c>
      <c r="C14" s="2854" t="s">
        <v>2987</v>
      </c>
      <c r="D14" s="2846" t="s">
        <v>2968</v>
      </c>
      <c r="E14" s="2847">
        <v>39034</v>
      </c>
      <c r="F14" s="2848" t="s">
        <v>2969</v>
      </c>
      <c r="G14" s="2856">
        <v>107.74</v>
      </c>
      <c r="H14" s="2850">
        <f t="shared" si="2"/>
        <v>43887.451271579732</v>
      </c>
      <c r="I14" s="2851">
        <v>4728434</v>
      </c>
      <c r="J14" s="2850">
        <f t="shared" si="0"/>
        <v>4728434</v>
      </c>
      <c r="K14" s="2850"/>
      <c r="L14" s="2852"/>
      <c r="M14" s="2850"/>
      <c r="N14" s="2853"/>
      <c r="O14" s="2850"/>
      <c r="P14" s="2844"/>
    </row>
    <row r="15" spans="1:16" ht="15.75" customHeight="1">
      <c r="A15" s="2843">
        <f t="shared" si="1"/>
        <v>9</v>
      </c>
      <c r="B15" s="2844" t="s">
        <v>2988</v>
      </c>
      <c r="C15" s="2854" t="s">
        <v>2989</v>
      </c>
      <c r="D15" s="2846" t="s">
        <v>2968</v>
      </c>
      <c r="E15" s="2847">
        <v>39034</v>
      </c>
      <c r="F15" s="2848" t="s">
        <v>2969</v>
      </c>
      <c r="G15" s="2856">
        <v>87.64</v>
      </c>
      <c r="H15" s="2850">
        <f t="shared" si="2"/>
        <v>43887.44865358284</v>
      </c>
      <c r="I15" s="2851">
        <v>3846296</v>
      </c>
      <c r="J15" s="2850">
        <f t="shared" si="0"/>
        <v>3846296</v>
      </c>
      <c r="K15" s="2850"/>
      <c r="L15" s="2852"/>
      <c r="M15" s="2850"/>
      <c r="N15" s="2853"/>
      <c r="O15" s="2850"/>
      <c r="P15" s="2844"/>
    </row>
    <row r="16" spans="1:16" ht="15.75" customHeight="1">
      <c r="A16" s="2843">
        <f t="shared" si="1"/>
        <v>10</v>
      </c>
      <c r="B16" s="2844" t="s">
        <v>2990</v>
      </c>
      <c r="C16" s="2854" t="s">
        <v>2991</v>
      </c>
      <c r="D16" s="2846" t="s">
        <v>2968</v>
      </c>
      <c r="E16" s="2847">
        <v>39034</v>
      </c>
      <c r="F16" s="2848" t="s">
        <v>2969</v>
      </c>
      <c r="G16" s="2857">
        <v>80.06</v>
      </c>
      <c r="H16" s="2850">
        <f t="shared" si="2"/>
        <v>43887.459405445916</v>
      </c>
      <c r="I16" s="2851">
        <v>3513630</v>
      </c>
      <c r="J16" s="2850">
        <f t="shared" si="0"/>
        <v>3513630</v>
      </c>
      <c r="K16" s="2850"/>
      <c r="L16" s="2852"/>
      <c r="M16" s="2850"/>
      <c r="N16" s="2853"/>
      <c r="O16" s="2850"/>
      <c r="P16" s="2844"/>
    </row>
    <row r="17" spans="1:16" ht="15.75" customHeight="1">
      <c r="A17" s="2843">
        <f t="shared" si="1"/>
        <v>11</v>
      </c>
      <c r="B17" s="2844" t="s">
        <v>2992</v>
      </c>
      <c r="C17" s="2854" t="s">
        <v>2993</v>
      </c>
      <c r="D17" s="2846" t="s">
        <v>2968</v>
      </c>
      <c r="E17" s="2847">
        <v>39034</v>
      </c>
      <c r="F17" s="2848" t="s">
        <v>2969</v>
      </c>
      <c r="G17" s="2857">
        <v>80.06</v>
      </c>
      <c r="H17" s="2850">
        <f t="shared" si="2"/>
        <v>43887.459405445916</v>
      </c>
      <c r="I17" s="2851">
        <v>3513630</v>
      </c>
      <c r="J17" s="2850">
        <f t="shared" si="0"/>
        <v>3513630</v>
      </c>
      <c r="K17" s="2850"/>
      <c r="L17" s="2852"/>
      <c r="M17" s="2850"/>
      <c r="N17" s="2853"/>
      <c r="O17" s="2850"/>
      <c r="P17" s="2844"/>
    </row>
    <row r="18" spans="1:16" ht="15.75" customHeight="1">
      <c r="A18" s="2843">
        <f t="shared" si="1"/>
        <v>12</v>
      </c>
      <c r="B18" s="2844" t="s">
        <v>2994</v>
      </c>
      <c r="C18" s="2854" t="s">
        <v>2995</v>
      </c>
      <c r="D18" s="2846" t="s">
        <v>2968</v>
      </c>
      <c r="E18" s="2847">
        <v>39034</v>
      </c>
      <c r="F18" s="2848" t="s">
        <v>2969</v>
      </c>
      <c r="G18" s="2857">
        <v>80.06</v>
      </c>
      <c r="H18" s="2850">
        <f t="shared" si="2"/>
        <v>43887.459405445916</v>
      </c>
      <c r="I18" s="2851">
        <v>3513630</v>
      </c>
      <c r="J18" s="2850">
        <f t="shared" si="0"/>
        <v>3513630</v>
      </c>
      <c r="K18" s="2850"/>
      <c r="L18" s="2852"/>
      <c r="M18" s="2850"/>
      <c r="N18" s="2853"/>
      <c r="O18" s="2850"/>
      <c r="P18" s="2844"/>
    </row>
    <row r="19" spans="1:16" ht="15.75" customHeight="1">
      <c r="A19" s="2843">
        <f t="shared" si="1"/>
        <v>13</v>
      </c>
      <c r="B19" s="2844" t="s">
        <v>2996</v>
      </c>
      <c r="C19" s="2854" t="s">
        <v>2997</v>
      </c>
      <c r="D19" s="2846" t="s">
        <v>2968</v>
      </c>
      <c r="E19" s="2847">
        <v>39034</v>
      </c>
      <c r="F19" s="2848" t="s">
        <v>2969</v>
      </c>
      <c r="G19" s="2857">
        <v>99.64</v>
      </c>
      <c r="H19" s="2850">
        <f t="shared" si="2"/>
        <v>43887.454837414691</v>
      </c>
      <c r="I19" s="2851">
        <v>4372946</v>
      </c>
      <c r="J19" s="2850">
        <f t="shared" si="0"/>
        <v>4372946</v>
      </c>
      <c r="K19" s="2850"/>
      <c r="L19" s="2852"/>
      <c r="M19" s="2850"/>
      <c r="N19" s="2853"/>
      <c r="O19" s="2850"/>
      <c r="P19" s="2844"/>
    </row>
    <row r="20" spans="1:16" ht="15.75" customHeight="1">
      <c r="A20" s="2843">
        <f t="shared" si="1"/>
        <v>14</v>
      </c>
      <c r="B20" s="2844" t="s">
        <v>2998</v>
      </c>
      <c r="C20" s="2854" t="s">
        <v>2999</v>
      </c>
      <c r="D20" s="2846" t="s">
        <v>2982</v>
      </c>
      <c r="E20" s="2847">
        <v>39034</v>
      </c>
      <c r="F20" s="2848" t="s">
        <v>2983</v>
      </c>
      <c r="G20" s="2857">
        <v>82.89</v>
      </c>
      <c r="H20" s="2850">
        <f t="shared" si="2"/>
        <v>43887.453251296902</v>
      </c>
      <c r="I20" s="2851">
        <v>3637831</v>
      </c>
      <c r="J20" s="2850">
        <f t="shared" si="0"/>
        <v>3637831</v>
      </c>
      <c r="K20" s="2850"/>
      <c r="L20" s="2852"/>
      <c r="M20" s="2850"/>
      <c r="N20" s="2853"/>
      <c r="O20" s="2850"/>
      <c r="P20" s="2844"/>
    </row>
    <row r="21" spans="1:16" ht="15.75" customHeight="1">
      <c r="A21" s="2843">
        <f t="shared" si="1"/>
        <v>15</v>
      </c>
      <c r="B21" s="2844" t="s">
        <v>3000</v>
      </c>
      <c r="C21" s="2854" t="s">
        <v>3001</v>
      </c>
      <c r="D21" s="2846" t="s">
        <v>2982</v>
      </c>
      <c r="E21" s="2847">
        <v>39034</v>
      </c>
      <c r="F21" s="2848" t="s">
        <v>2983</v>
      </c>
      <c r="G21" s="2857">
        <v>75.83</v>
      </c>
      <c r="H21" s="2850">
        <f t="shared" si="2"/>
        <v>43887.458789397337</v>
      </c>
      <c r="I21" s="2851">
        <v>3327986</v>
      </c>
      <c r="J21" s="2850">
        <f t="shared" si="0"/>
        <v>3327986</v>
      </c>
      <c r="K21" s="2850"/>
      <c r="L21" s="2852"/>
      <c r="M21" s="2850"/>
      <c r="N21" s="2853"/>
      <c r="O21" s="2850"/>
      <c r="P21" s="2844"/>
    </row>
    <row r="22" spans="1:16" ht="15.75" customHeight="1">
      <c r="A22" s="2843">
        <f t="shared" si="1"/>
        <v>16</v>
      </c>
      <c r="B22" s="2844" t="s">
        <v>3002</v>
      </c>
      <c r="C22" s="2854" t="s">
        <v>3003</v>
      </c>
      <c r="D22" s="2846" t="s">
        <v>2982</v>
      </c>
      <c r="E22" s="2847">
        <v>39034</v>
      </c>
      <c r="F22" s="2848" t="s">
        <v>2983</v>
      </c>
      <c r="G22" s="2857">
        <v>88.04</v>
      </c>
      <c r="H22" s="2850">
        <f t="shared" si="2"/>
        <v>43887.448886869599</v>
      </c>
      <c r="I22" s="2851">
        <v>3863851</v>
      </c>
      <c r="J22" s="2850">
        <f t="shared" si="0"/>
        <v>3863851</v>
      </c>
      <c r="K22" s="2850"/>
      <c r="L22" s="2852"/>
      <c r="M22" s="2850"/>
      <c r="N22" s="2853"/>
      <c r="O22" s="2850"/>
      <c r="P22" s="2844"/>
    </row>
    <row r="23" spans="1:16" ht="15.75" customHeight="1">
      <c r="A23" s="2843">
        <f t="shared" si="1"/>
        <v>17</v>
      </c>
      <c r="B23" s="2844" t="s">
        <v>3004</v>
      </c>
      <c r="C23" s="2854" t="s">
        <v>3005</v>
      </c>
      <c r="D23" s="2846" t="s">
        <v>2982</v>
      </c>
      <c r="E23" s="2847">
        <v>39034</v>
      </c>
      <c r="F23" s="2848" t="s">
        <v>2983</v>
      </c>
      <c r="G23" s="2857">
        <v>80.06</v>
      </c>
      <c r="H23" s="2850">
        <f t="shared" si="2"/>
        <v>43887.459405445916</v>
      </c>
      <c r="I23" s="2851">
        <v>3513630</v>
      </c>
      <c r="J23" s="2850">
        <f t="shared" si="0"/>
        <v>3513630</v>
      </c>
      <c r="K23" s="2850"/>
      <c r="L23" s="2852"/>
      <c r="M23" s="2850"/>
      <c r="N23" s="2853"/>
      <c r="O23" s="2850"/>
      <c r="P23" s="2844"/>
    </row>
    <row r="24" spans="1:16" ht="15.75" customHeight="1">
      <c r="A24" s="2843">
        <f t="shared" si="1"/>
        <v>18</v>
      </c>
      <c r="B24" s="2844" t="s">
        <v>3006</v>
      </c>
      <c r="C24" s="2854" t="s">
        <v>3007</v>
      </c>
      <c r="D24" s="2846" t="s">
        <v>2982</v>
      </c>
      <c r="E24" s="2847">
        <v>39034</v>
      </c>
      <c r="F24" s="2848" t="s">
        <v>2983</v>
      </c>
      <c r="G24" s="2857">
        <v>80.06</v>
      </c>
      <c r="H24" s="2850">
        <f t="shared" si="2"/>
        <v>43887.459405445916</v>
      </c>
      <c r="I24" s="2851">
        <v>3513630</v>
      </c>
      <c r="J24" s="2850">
        <f t="shared" si="0"/>
        <v>3513630</v>
      </c>
      <c r="K24" s="2850"/>
      <c r="L24" s="2852"/>
      <c r="M24" s="2850"/>
      <c r="N24" s="2853"/>
      <c r="O24" s="2850"/>
      <c r="P24" s="2844"/>
    </row>
    <row r="25" spans="1:16" ht="15.75" customHeight="1">
      <c r="A25" s="2843">
        <f t="shared" si="1"/>
        <v>19</v>
      </c>
      <c r="B25" s="2844" t="s">
        <v>3008</v>
      </c>
      <c r="C25" s="2854" t="s">
        <v>3009</v>
      </c>
      <c r="D25" s="2846" t="s">
        <v>2982</v>
      </c>
      <c r="E25" s="2847">
        <v>39034</v>
      </c>
      <c r="F25" s="2848" t="s">
        <v>2983</v>
      </c>
      <c r="G25" s="2857">
        <v>80.06</v>
      </c>
      <c r="H25" s="2850">
        <f t="shared" si="2"/>
        <v>43887.459405445916</v>
      </c>
      <c r="I25" s="2851">
        <v>3513630</v>
      </c>
      <c r="J25" s="2850">
        <f t="shared" si="0"/>
        <v>3513630</v>
      </c>
      <c r="K25" s="2850"/>
      <c r="L25" s="2852"/>
      <c r="M25" s="2850"/>
      <c r="N25" s="2853"/>
      <c r="O25" s="2850"/>
      <c r="P25" s="2844"/>
    </row>
    <row r="26" spans="1:16" ht="15.75" customHeight="1">
      <c r="A26" s="2843">
        <f t="shared" si="1"/>
        <v>20</v>
      </c>
      <c r="B26" s="2844" t="s">
        <v>3010</v>
      </c>
      <c r="C26" s="2854" t="s">
        <v>3011</v>
      </c>
      <c r="D26" s="2846" t="s">
        <v>2968</v>
      </c>
      <c r="E26" s="2847">
        <v>39034</v>
      </c>
      <c r="F26" s="2848" t="s">
        <v>2969</v>
      </c>
      <c r="G26" s="2857">
        <v>99.81</v>
      </c>
      <c r="H26" s="2850">
        <f t="shared" si="2"/>
        <v>43887.456166716758</v>
      </c>
      <c r="I26" s="2851">
        <v>4380407</v>
      </c>
      <c r="J26" s="2850">
        <f t="shared" si="0"/>
        <v>4380407</v>
      </c>
      <c r="K26" s="2850"/>
      <c r="L26" s="2852"/>
      <c r="M26" s="2850"/>
      <c r="N26" s="2853"/>
      <c r="O26" s="2850"/>
      <c r="P26" s="2844"/>
    </row>
    <row r="27" spans="1:16" ht="15.75" customHeight="1">
      <c r="A27" s="2843">
        <f t="shared" si="1"/>
        <v>21</v>
      </c>
      <c r="B27" s="2844" t="s">
        <v>3012</v>
      </c>
      <c r="C27" s="2854" t="s">
        <v>3013</v>
      </c>
      <c r="D27" s="2846" t="s">
        <v>2968</v>
      </c>
      <c r="E27" s="2847">
        <v>39034</v>
      </c>
      <c r="F27" s="2848" t="s">
        <v>2969</v>
      </c>
      <c r="G27" s="2857">
        <v>83.28</v>
      </c>
      <c r="H27" s="2850">
        <f t="shared" si="2"/>
        <v>43887.451969260328</v>
      </c>
      <c r="I27" s="2851">
        <v>3654947</v>
      </c>
      <c r="J27" s="2850">
        <f t="shared" si="0"/>
        <v>3654947</v>
      </c>
      <c r="K27" s="2850"/>
      <c r="L27" s="2852"/>
      <c r="M27" s="2850"/>
      <c r="N27" s="2853"/>
      <c r="O27" s="2850"/>
      <c r="P27" s="2844"/>
    </row>
    <row r="28" spans="1:16" ht="15.75" customHeight="1">
      <c r="A28" s="2843">
        <f t="shared" si="1"/>
        <v>22</v>
      </c>
      <c r="B28" s="2844" t="s">
        <v>3014</v>
      </c>
      <c r="C28" s="2854" t="s">
        <v>3015</v>
      </c>
      <c r="D28" s="2846" t="s">
        <v>2968</v>
      </c>
      <c r="E28" s="2847">
        <v>39034</v>
      </c>
      <c r="F28" s="2848" t="s">
        <v>2969</v>
      </c>
      <c r="G28" s="2857">
        <v>107.74</v>
      </c>
      <c r="H28" s="2850">
        <f t="shared" si="2"/>
        <v>43887.451271579732</v>
      </c>
      <c r="I28" s="2851">
        <v>4728434</v>
      </c>
      <c r="J28" s="2850">
        <f t="shared" si="0"/>
        <v>4728434</v>
      </c>
      <c r="K28" s="2850"/>
      <c r="L28" s="2852"/>
      <c r="M28" s="2850"/>
      <c r="N28" s="2853"/>
      <c r="O28" s="2850"/>
      <c r="P28" s="2844"/>
    </row>
    <row r="29" spans="1:16" ht="15.75" customHeight="1">
      <c r="A29" s="2843">
        <f t="shared" si="1"/>
        <v>23</v>
      </c>
      <c r="B29" s="2844" t="s">
        <v>3016</v>
      </c>
      <c r="C29" s="2854" t="s">
        <v>3017</v>
      </c>
      <c r="D29" s="2846" t="s">
        <v>2968</v>
      </c>
      <c r="E29" s="2847">
        <v>39034</v>
      </c>
      <c r="F29" s="2848" t="s">
        <v>2969</v>
      </c>
      <c r="G29" s="2857">
        <v>87.64</v>
      </c>
      <c r="H29" s="2850">
        <f t="shared" si="2"/>
        <v>43887.44865358284</v>
      </c>
      <c r="I29" s="2851">
        <v>3846296</v>
      </c>
      <c r="J29" s="2850">
        <f t="shared" si="0"/>
        <v>3846296</v>
      </c>
      <c r="K29" s="2850"/>
      <c r="L29" s="2852"/>
      <c r="M29" s="2850"/>
      <c r="N29" s="2853"/>
      <c r="O29" s="2850"/>
      <c r="P29" s="2844"/>
    </row>
    <row r="30" spans="1:16" ht="15.75" customHeight="1">
      <c r="A30" s="2843">
        <f t="shared" si="1"/>
        <v>24</v>
      </c>
      <c r="B30" s="2844" t="s">
        <v>3018</v>
      </c>
      <c r="C30" s="2854" t="s">
        <v>3019</v>
      </c>
      <c r="D30" s="2846" t="s">
        <v>2968</v>
      </c>
      <c r="E30" s="2847">
        <v>39034</v>
      </c>
      <c r="F30" s="2848" t="s">
        <v>2969</v>
      </c>
      <c r="G30" s="2857">
        <v>80.06</v>
      </c>
      <c r="H30" s="2850">
        <f t="shared" si="2"/>
        <v>43887.459405445916</v>
      </c>
      <c r="I30" s="2851">
        <v>3513630</v>
      </c>
      <c r="J30" s="2850">
        <f t="shared" si="0"/>
        <v>3513630</v>
      </c>
      <c r="K30" s="2850"/>
      <c r="L30" s="2852"/>
      <c r="M30" s="2850"/>
      <c r="N30" s="2853"/>
      <c r="O30" s="2850"/>
      <c r="P30" s="2844"/>
    </row>
    <row r="31" spans="1:16" ht="15.75" customHeight="1">
      <c r="A31" s="2843">
        <f t="shared" si="1"/>
        <v>25</v>
      </c>
      <c r="B31" s="2844" t="s">
        <v>3020</v>
      </c>
      <c r="C31" s="2854" t="s">
        <v>3021</v>
      </c>
      <c r="D31" s="2846" t="s">
        <v>2968</v>
      </c>
      <c r="E31" s="2847">
        <v>39034</v>
      </c>
      <c r="F31" s="2848" t="s">
        <v>2969</v>
      </c>
      <c r="G31" s="2857">
        <v>80.06</v>
      </c>
      <c r="H31" s="2850">
        <f t="shared" si="2"/>
        <v>43887.459405445916</v>
      </c>
      <c r="I31" s="2851">
        <v>3513630</v>
      </c>
      <c r="J31" s="2850">
        <f t="shared" si="0"/>
        <v>3513630</v>
      </c>
      <c r="K31" s="2850"/>
      <c r="L31" s="2852"/>
      <c r="M31" s="2850"/>
      <c r="N31" s="2853"/>
      <c r="O31" s="2850"/>
      <c r="P31" s="2844"/>
    </row>
    <row r="32" spans="1:16" ht="15.75" customHeight="1">
      <c r="A32" s="2843">
        <f t="shared" si="1"/>
        <v>26</v>
      </c>
      <c r="B32" s="2844" t="s">
        <v>3022</v>
      </c>
      <c r="C32" s="2854" t="s">
        <v>3023</v>
      </c>
      <c r="D32" s="2846" t="s">
        <v>2968</v>
      </c>
      <c r="E32" s="2847">
        <v>39034</v>
      </c>
      <c r="F32" s="2848" t="s">
        <v>2969</v>
      </c>
      <c r="G32" s="2857">
        <v>80.06</v>
      </c>
      <c r="H32" s="2850">
        <f t="shared" si="2"/>
        <v>43887.459405445916</v>
      </c>
      <c r="I32" s="2851">
        <v>3513630</v>
      </c>
      <c r="J32" s="2850">
        <f t="shared" si="0"/>
        <v>3513630</v>
      </c>
      <c r="K32" s="2850"/>
      <c r="L32" s="2852"/>
      <c r="M32" s="2850"/>
      <c r="N32" s="2853"/>
      <c r="O32" s="2850"/>
      <c r="P32" s="2844"/>
    </row>
    <row r="33" spans="1:16" ht="15.75" customHeight="1">
      <c r="A33" s="2843">
        <f t="shared" si="1"/>
        <v>27</v>
      </c>
      <c r="B33" s="2844" t="s">
        <v>3024</v>
      </c>
      <c r="C33" s="2854" t="s">
        <v>3025</v>
      </c>
      <c r="D33" s="2846" t="s">
        <v>2968</v>
      </c>
      <c r="E33" s="2847">
        <v>39034</v>
      </c>
      <c r="F33" s="2848" t="s">
        <v>2969</v>
      </c>
      <c r="G33" s="2857">
        <v>99.64</v>
      </c>
      <c r="H33" s="2850">
        <f t="shared" si="2"/>
        <v>43887.454837414691</v>
      </c>
      <c r="I33" s="2851">
        <v>4372946</v>
      </c>
      <c r="J33" s="2850">
        <f t="shared" si="0"/>
        <v>4372946</v>
      </c>
      <c r="K33" s="2850"/>
      <c r="L33" s="2852"/>
      <c r="M33" s="2850"/>
      <c r="N33" s="2853"/>
      <c r="O33" s="2850"/>
      <c r="P33" s="2844"/>
    </row>
    <row r="34" spans="1:16" ht="15.75" customHeight="1">
      <c r="A34" s="2843">
        <f t="shared" si="1"/>
        <v>28</v>
      </c>
      <c r="B34" s="2844" t="s">
        <v>3026</v>
      </c>
      <c r="C34" s="2854" t="s">
        <v>3027</v>
      </c>
      <c r="D34" s="2846" t="s">
        <v>2968</v>
      </c>
      <c r="E34" s="2847">
        <v>39034</v>
      </c>
      <c r="F34" s="2848" t="s">
        <v>2969</v>
      </c>
      <c r="G34" s="2857">
        <v>82.89</v>
      </c>
      <c r="H34" s="2850">
        <f t="shared" si="2"/>
        <v>43887.453251296902</v>
      </c>
      <c r="I34" s="2851">
        <v>3637831</v>
      </c>
      <c r="J34" s="2850">
        <f t="shared" si="0"/>
        <v>3637831</v>
      </c>
      <c r="K34" s="2850"/>
      <c r="L34" s="2852"/>
      <c r="M34" s="2850"/>
      <c r="N34" s="2853"/>
      <c r="O34" s="2850"/>
      <c r="P34" s="2844"/>
    </row>
    <row r="35" spans="1:16" ht="15.75" customHeight="1">
      <c r="A35" s="2843">
        <f t="shared" si="1"/>
        <v>29</v>
      </c>
      <c r="B35" s="2844" t="s">
        <v>3028</v>
      </c>
      <c r="C35" s="2854" t="s">
        <v>3029</v>
      </c>
      <c r="D35" s="2846" t="s">
        <v>2968</v>
      </c>
      <c r="E35" s="2847">
        <v>39034</v>
      </c>
      <c r="F35" s="2848" t="s">
        <v>2969</v>
      </c>
      <c r="G35" s="2857">
        <v>75.83</v>
      </c>
      <c r="H35" s="2850">
        <f t="shared" si="2"/>
        <v>43887.458789397337</v>
      </c>
      <c r="I35" s="2851">
        <v>3327986</v>
      </c>
      <c r="J35" s="2850">
        <f t="shared" si="0"/>
        <v>3327986</v>
      </c>
      <c r="K35" s="2850"/>
      <c r="L35" s="2852"/>
      <c r="M35" s="2850"/>
      <c r="N35" s="2853"/>
      <c r="O35" s="2850"/>
      <c r="P35" s="2844"/>
    </row>
    <row r="36" spans="1:16" ht="15.75" customHeight="1">
      <c r="A36" s="2843">
        <f t="shared" si="1"/>
        <v>30</v>
      </c>
      <c r="B36" s="2844" t="s">
        <v>3030</v>
      </c>
      <c r="C36" s="2854" t="s">
        <v>3031</v>
      </c>
      <c r="D36" s="2846" t="s">
        <v>2968</v>
      </c>
      <c r="E36" s="2847">
        <v>39034</v>
      </c>
      <c r="F36" s="2848" t="s">
        <v>2969</v>
      </c>
      <c r="G36" s="2857">
        <v>88.04</v>
      </c>
      <c r="H36" s="2850">
        <f t="shared" si="2"/>
        <v>43887.448886869599</v>
      </c>
      <c r="I36" s="2851">
        <v>3863851</v>
      </c>
      <c r="J36" s="2850">
        <f t="shared" si="0"/>
        <v>3863851</v>
      </c>
      <c r="K36" s="2850"/>
      <c r="L36" s="2852"/>
      <c r="M36" s="2850"/>
      <c r="N36" s="2853"/>
      <c r="O36" s="2850"/>
      <c r="P36" s="2844"/>
    </row>
    <row r="37" spans="1:16" ht="15.75" customHeight="1">
      <c r="A37" s="2843">
        <f t="shared" si="1"/>
        <v>31</v>
      </c>
      <c r="B37" s="2844" t="s">
        <v>3032</v>
      </c>
      <c r="C37" s="2854" t="s">
        <v>3033</v>
      </c>
      <c r="D37" s="2846" t="s">
        <v>2968</v>
      </c>
      <c r="E37" s="2847">
        <v>39034</v>
      </c>
      <c r="F37" s="2848" t="s">
        <v>2969</v>
      </c>
      <c r="G37" s="2857">
        <v>80.06</v>
      </c>
      <c r="H37" s="2850">
        <f t="shared" si="2"/>
        <v>43887.459405445916</v>
      </c>
      <c r="I37" s="2851">
        <v>3513630</v>
      </c>
      <c r="J37" s="2850">
        <f t="shared" si="0"/>
        <v>3513630</v>
      </c>
      <c r="K37" s="2850"/>
      <c r="L37" s="2852"/>
      <c r="M37" s="2850"/>
      <c r="N37" s="2853"/>
      <c r="O37" s="2850"/>
      <c r="P37" s="2844"/>
    </row>
    <row r="38" spans="1:16" ht="15.75" customHeight="1">
      <c r="A38" s="2843">
        <f t="shared" si="1"/>
        <v>32</v>
      </c>
      <c r="B38" s="2844" t="s">
        <v>3034</v>
      </c>
      <c r="C38" s="2854" t="s">
        <v>3035</v>
      </c>
      <c r="D38" s="2846" t="s">
        <v>2968</v>
      </c>
      <c r="E38" s="2847">
        <v>39034</v>
      </c>
      <c r="F38" s="2848" t="s">
        <v>2969</v>
      </c>
      <c r="G38" s="2857">
        <v>80.06</v>
      </c>
      <c r="H38" s="2850">
        <f t="shared" si="2"/>
        <v>43887.459405445916</v>
      </c>
      <c r="I38" s="2851">
        <v>3513630</v>
      </c>
      <c r="J38" s="2850">
        <f t="shared" si="0"/>
        <v>3513630</v>
      </c>
      <c r="K38" s="2850"/>
      <c r="L38" s="2852"/>
      <c r="M38" s="2850"/>
      <c r="N38" s="2853"/>
      <c r="O38" s="2850"/>
      <c r="P38" s="2844"/>
    </row>
    <row r="39" spans="1:16" ht="15.75" customHeight="1">
      <c r="A39" s="2843">
        <f t="shared" si="1"/>
        <v>33</v>
      </c>
      <c r="B39" s="2844" t="s">
        <v>3036</v>
      </c>
      <c r="C39" s="2854" t="s">
        <v>3037</v>
      </c>
      <c r="D39" s="2846" t="s">
        <v>2968</v>
      </c>
      <c r="E39" s="2847">
        <v>39034</v>
      </c>
      <c r="F39" s="2848" t="s">
        <v>2969</v>
      </c>
      <c r="G39" s="2857">
        <v>80.06</v>
      </c>
      <c r="H39" s="2850">
        <f t="shared" si="2"/>
        <v>43887.459405445916</v>
      </c>
      <c r="I39" s="2851">
        <v>3513630</v>
      </c>
      <c r="J39" s="2850">
        <f t="shared" si="0"/>
        <v>3513630</v>
      </c>
      <c r="K39" s="2850"/>
      <c r="L39" s="2852"/>
      <c r="M39" s="2850"/>
      <c r="N39" s="2853"/>
      <c r="O39" s="2850"/>
      <c r="P39" s="2844"/>
    </row>
    <row r="40" spans="1:16" ht="15.75" customHeight="1">
      <c r="A40" s="2843">
        <f t="shared" si="1"/>
        <v>34</v>
      </c>
      <c r="B40" s="2844" t="s">
        <v>3038</v>
      </c>
      <c r="C40" s="2854" t="s">
        <v>3039</v>
      </c>
      <c r="D40" s="2846" t="s">
        <v>2968</v>
      </c>
      <c r="E40" s="2847">
        <v>39034</v>
      </c>
      <c r="F40" s="2848" t="s">
        <v>2969</v>
      </c>
      <c r="G40" s="2857">
        <v>99.81</v>
      </c>
      <c r="H40" s="2850">
        <f t="shared" si="2"/>
        <v>43887.456166716758</v>
      </c>
      <c r="I40" s="2851">
        <v>4380407</v>
      </c>
      <c r="J40" s="2850">
        <f t="shared" si="0"/>
        <v>4380407</v>
      </c>
      <c r="K40" s="2850"/>
      <c r="L40" s="2852"/>
      <c r="M40" s="2850"/>
      <c r="N40" s="2853"/>
      <c r="O40" s="2850"/>
      <c r="P40" s="2844"/>
    </row>
    <row r="41" spans="1:16" ht="15.75" customHeight="1">
      <c r="A41" s="2843">
        <f t="shared" si="1"/>
        <v>35</v>
      </c>
      <c r="B41" s="2844" t="s">
        <v>3040</v>
      </c>
      <c r="C41" s="2854" t="s">
        <v>3041</v>
      </c>
      <c r="D41" s="2846" t="s">
        <v>2968</v>
      </c>
      <c r="E41" s="2847">
        <v>39034</v>
      </c>
      <c r="F41" s="2848" t="s">
        <v>2969</v>
      </c>
      <c r="G41" s="2857">
        <v>83.28</v>
      </c>
      <c r="H41" s="2850">
        <f t="shared" si="2"/>
        <v>43887.451969260328</v>
      </c>
      <c r="I41" s="2851">
        <v>3654947</v>
      </c>
      <c r="J41" s="2850">
        <f t="shared" si="0"/>
        <v>3654947</v>
      </c>
      <c r="K41" s="2850"/>
      <c r="L41" s="2852"/>
      <c r="M41" s="2850"/>
      <c r="N41" s="2853"/>
      <c r="O41" s="2850"/>
      <c r="P41" s="2844"/>
    </row>
    <row r="42" spans="1:16" ht="15.75" customHeight="1">
      <c r="A42" s="2843">
        <f t="shared" si="1"/>
        <v>36</v>
      </c>
      <c r="B42" s="2844" t="s">
        <v>3042</v>
      </c>
      <c r="C42" s="2854" t="s">
        <v>3043</v>
      </c>
      <c r="D42" s="2846" t="s">
        <v>2968</v>
      </c>
      <c r="E42" s="2847">
        <v>39034</v>
      </c>
      <c r="F42" s="2848" t="s">
        <v>2969</v>
      </c>
      <c r="G42" s="2857">
        <v>107.74</v>
      </c>
      <c r="H42" s="2850">
        <f t="shared" si="2"/>
        <v>43887.451271579732</v>
      </c>
      <c r="I42" s="2851">
        <v>4728434</v>
      </c>
      <c r="J42" s="2850">
        <f t="shared" si="0"/>
        <v>4728434</v>
      </c>
      <c r="K42" s="2850"/>
      <c r="L42" s="2852"/>
      <c r="M42" s="2850"/>
      <c r="N42" s="2853"/>
      <c r="O42" s="2850"/>
      <c r="P42" s="2844"/>
    </row>
    <row r="43" spans="1:16" ht="15.75" customHeight="1">
      <c r="A43" s="2843">
        <f t="shared" si="1"/>
        <v>37</v>
      </c>
      <c r="B43" s="2844" t="s">
        <v>3044</v>
      </c>
      <c r="C43" s="2854" t="s">
        <v>3045</v>
      </c>
      <c r="D43" s="2846" t="s">
        <v>2968</v>
      </c>
      <c r="E43" s="2847">
        <v>39034</v>
      </c>
      <c r="F43" s="2848" t="s">
        <v>2969</v>
      </c>
      <c r="G43" s="2857">
        <v>87.64</v>
      </c>
      <c r="H43" s="2850">
        <f t="shared" si="2"/>
        <v>43887.44865358284</v>
      </c>
      <c r="I43" s="2851">
        <v>3846296</v>
      </c>
      <c r="J43" s="2850">
        <f t="shared" si="0"/>
        <v>3846296</v>
      </c>
      <c r="K43" s="2850"/>
      <c r="L43" s="2852"/>
      <c r="M43" s="2850"/>
      <c r="N43" s="2853"/>
      <c r="O43" s="2850"/>
      <c r="P43" s="2844"/>
    </row>
    <row r="44" spans="1:16" ht="15.75" customHeight="1">
      <c r="A44" s="2843">
        <f t="shared" si="1"/>
        <v>38</v>
      </c>
      <c r="B44" s="2844" t="s">
        <v>3046</v>
      </c>
      <c r="C44" s="2854" t="s">
        <v>3047</v>
      </c>
      <c r="D44" s="2846" t="s">
        <v>2968</v>
      </c>
      <c r="E44" s="2847">
        <v>39034</v>
      </c>
      <c r="F44" s="2848" t="s">
        <v>2969</v>
      </c>
      <c r="G44" s="2857">
        <v>80.06</v>
      </c>
      <c r="H44" s="2850">
        <f t="shared" si="2"/>
        <v>43887.459405445916</v>
      </c>
      <c r="I44" s="2851">
        <v>3513630</v>
      </c>
      <c r="J44" s="2850">
        <f t="shared" si="0"/>
        <v>3513630</v>
      </c>
      <c r="K44" s="2850"/>
      <c r="L44" s="2852"/>
      <c r="M44" s="2850"/>
      <c r="N44" s="2853"/>
      <c r="O44" s="2850"/>
      <c r="P44" s="2844"/>
    </row>
    <row r="45" spans="1:16" ht="15.75" customHeight="1">
      <c r="A45" s="2843">
        <f t="shared" si="1"/>
        <v>39</v>
      </c>
      <c r="B45" s="2844" t="s">
        <v>3048</v>
      </c>
      <c r="C45" s="2854" t="s">
        <v>3049</v>
      </c>
      <c r="D45" s="2846" t="s">
        <v>2968</v>
      </c>
      <c r="E45" s="2847">
        <v>39034</v>
      </c>
      <c r="F45" s="2848" t="s">
        <v>2969</v>
      </c>
      <c r="G45" s="2857">
        <v>80.06</v>
      </c>
      <c r="H45" s="2850">
        <f t="shared" si="2"/>
        <v>43887.459405445916</v>
      </c>
      <c r="I45" s="2851">
        <v>3513630</v>
      </c>
      <c r="J45" s="2850">
        <f t="shared" si="0"/>
        <v>3513630</v>
      </c>
      <c r="K45" s="2850"/>
      <c r="L45" s="2852"/>
      <c r="M45" s="2850"/>
      <c r="N45" s="2853"/>
      <c r="O45" s="2850"/>
      <c r="P45" s="2844"/>
    </row>
    <row r="46" spans="1:16" ht="15.75" customHeight="1">
      <c r="A46" s="2843">
        <f t="shared" si="1"/>
        <v>40</v>
      </c>
      <c r="B46" s="2844" t="s">
        <v>3050</v>
      </c>
      <c r="C46" s="2854" t="s">
        <v>3051</v>
      </c>
      <c r="D46" s="2846" t="s">
        <v>2968</v>
      </c>
      <c r="E46" s="2847">
        <v>39034</v>
      </c>
      <c r="F46" s="2848" t="s">
        <v>2969</v>
      </c>
      <c r="G46" s="2857">
        <v>80.06</v>
      </c>
      <c r="H46" s="2850">
        <f t="shared" si="2"/>
        <v>43887.459405445916</v>
      </c>
      <c r="I46" s="2851">
        <v>3513630</v>
      </c>
      <c r="J46" s="2850">
        <f t="shared" si="0"/>
        <v>3513630</v>
      </c>
      <c r="K46" s="2850"/>
      <c r="L46" s="2852"/>
      <c r="M46" s="2850"/>
      <c r="N46" s="2853"/>
      <c r="O46" s="2850"/>
      <c r="P46" s="2844"/>
    </row>
    <row r="47" spans="1:16" ht="15.75" customHeight="1">
      <c r="A47" s="2843">
        <f t="shared" si="1"/>
        <v>41</v>
      </c>
      <c r="B47" s="2844" t="s">
        <v>3052</v>
      </c>
      <c r="C47" s="2854" t="s">
        <v>3053</v>
      </c>
      <c r="D47" s="2846" t="s">
        <v>2968</v>
      </c>
      <c r="E47" s="2847">
        <v>39034</v>
      </c>
      <c r="F47" s="2848" t="s">
        <v>2969</v>
      </c>
      <c r="G47" s="2857">
        <v>99.64</v>
      </c>
      <c r="H47" s="2850">
        <f t="shared" si="2"/>
        <v>43887.454837414691</v>
      </c>
      <c r="I47" s="2851">
        <v>4372946</v>
      </c>
      <c r="J47" s="2850">
        <f t="shared" si="0"/>
        <v>4372946</v>
      </c>
      <c r="K47" s="2850"/>
      <c r="L47" s="2852"/>
      <c r="M47" s="2850"/>
      <c r="N47" s="2853"/>
      <c r="O47" s="2850"/>
      <c r="P47" s="2844"/>
    </row>
    <row r="48" spans="1:16" ht="15.75" customHeight="1">
      <c r="A48" s="2843">
        <f t="shared" si="1"/>
        <v>42</v>
      </c>
      <c r="B48" s="2844" t="s">
        <v>3054</v>
      </c>
      <c r="C48" s="2854" t="s">
        <v>3055</v>
      </c>
      <c r="D48" s="2846" t="s">
        <v>2968</v>
      </c>
      <c r="E48" s="2847">
        <v>39034</v>
      </c>
      <c r="F48" s="2848" t="s">
        <v>2969</v>
      </c>
      <c r="G48" s="2857">
        <v>82.89</v>
      </c>
      <c r="H48" s="2850">
        <f t="shared" si="2"/>
        <v>43887.453251296902</v>
      </c>
      <c r="I48" s="2851">
        <v>3637831</v>
      </c>
      <c r="J48" s="2850">
        <f t="shared" si="0"/>
        <v>3637831</v>
      </c>
      <c r="K48" s="2850"/>
      <c r="L48" s="2852"/>
      <c r="M48" s="2850"/>
      <c r="N48" s="2853"/>
      <c r="O48" s="2850"/>
      <c r="P48" s="2844"/>
    </row>
    <row r="49" spans="1:16" ht="15.75" customHeight="1">
      <c r="A49" s="2843">
        <f t="shared" si="1"/>
        <v>43</v>
      </c>
      <c r="B49" s="2844" t="s">
        <v>3056</v>
      </c>
      <c r="C49" s="2854" t="s">
        <v>3057</v>
      </c>
      <c r="D49" s="2846" t="s">
        <v>2968</v>
      </c>
      <c r="E49" s="2847">
        <v>39034</v>
      </c>
      <c r="F49" s="2848" t="s">
        <v>2969</v>
      </c>
      <c r="G49" s="2857">
        <v>75.83</v>
      </c>
      <c r="H49" s="2850">
        <f t="shared" si="2"/>
        <v>43887.458789397337</v>
      </c>
      <c r="I49" s="2851">
        <v>3327986</v>
      </c>
      <c r="J49" s="2850">
        <f t="shared" si="0"/>
        <v>3327986</v>
      </c>
      <c r="K49" s="2850"/>
      <c r="L49" s="2852"/>
      <c r="M49" s="2850"/>
      <c r="N49" s="2853"/>
      <c r="O49" s="2850"/>
      <c r="P49" s="2844"/>
    </row>
    <row r="50" spans="1:16" ht="15.75" customHeight="1">
      <c r="A50" s="2843">
        <f t="shared" si="1"/>
        <v>44</v>
      </c>
      <c r="B50" s="2844" t="s">
        <v>3058</v>
      </c>
      <c r="C50" s="2854" t="s">
        <v>3059</v>
      </c>
      <c r="D50" s="2846" t="s">
        <v>2968</v>
      </c>
      <c r="E50" s="2847">
        <v>39034</v>
      </c>
      <c r="F50" s="2848" t="s">
        <v>2969</v>
      </c>
      <c r="G50" s="2857">
        <v>88.04</v>
      </c>
      <c r="H50" s="2850">
        <f t="shared" si="2"/>
        <v>43887.448886869599</v>
      </c>
      <c r="I50" s="2851">
        <v>3863851</v>
      </c>
      <c r="J50" s="2850">
        <f t="shared" si="0"/>
        <v>3863851</v>
      </c>
      <c r="K50" s="2850"/>
      <c r="L50" s="2852"/>
      <c r="M50" s="2850"/>
      <c r="N50" s="2853"/>
      <c r="O50" s="2850"/>
      <c r="P50" s="2844"/>
    </row>
    <row r="51" spans="1:16" ht="15.75" customHeight="1">
      <c r="A51" s="2843">
        <f t="shared" si="1"/>
        <v>45</v>
      </c>
      <c r="B51" s="2844" t="s">
        <v>3060</v>
      </c>
      <c r="C51" s="2854" t="s">
        <v>3061</v>
      </c>
      <c r="D51" s="2846" t="s">
        <v>2968</v>
      </c>
      <c r="E51" s="2847">
        <v>39034</v>
      </c>
      <c r="F51" s="2848" t="s">
        <v>2969</v>
      </c>
      <c r="G51" s="2857">
        <v>80.06</v>
      </c>
      <c r="H51" s="2850">
        <f t="shared" si="2"/>
        <v>43887.459405445916</v>
      </c>
      <c r="I51" s="2851">
        <v>3513630</v>
      </c>
      <c r="J51" s="2850">
        <f t="shared" si="0"/>
        <v>3513630</v>
      </c>
      <c r="K51" s="2850"/>
      <c r="L51" s="2852"/>
      <c r="M51" s="2850"/>
      <c r="N51" s="2853"/>
      <c r="O51" s="2850"/>
      <c r="P51" s="2844"/>
    </row>
    <row r="52" spans="1:16" ht="15.75" customHeight="1">
      <c r="A52" s="2843">
        <f t="shared" si="1"/>
        <v>46</v>
      </c>
      <c r="B52" s="2844" t="s">
        <v>3062</v>
      </c>
      <c r="C52" s="2854" t="s">
        <v>3063</v>
      </c>
      <c r="D52" s="2846" t="s">
        <v>2968</v>
      </c>
      <c r="E52" s="2847">
        <v>39034</v>
      </c>
      <c r="F52" s="2848" t="s">
        <v>2969</v>
      </c>
      <c r="G52" s="2857">
        <v>80.06</v>
      </c>
      <c r="H52" s="2850">
        <f t="shared" si="2"/>
        <v>43887.459405445916</v>
      </c>
      <c r="I52" s="2851">
        <v>3513630</v>
      </c>
      <c r="J52" s="2850">
        <f t="shared" si="0"/>
        <v>3513630</v>
      </c>
      <c r="K52" s="2850"/>
      <c r="L52" s="2852"/>
      <c r="M52" s="2850"/>
      <c r="N52" s="2853"/>
      <c r="O52" s="2850"/>
      <c r="P52" s="2844"/>
    </row>
    <row r="53" spans="1:16" ht="15.75" customHeight="1">
      <c r="A53" s="2843">
        <f t="shared" si="1"/>
        <v>47</v>
      </c>
      <c r="B53" s="2844" t="s">
        <v>3064</v>
      </c>
      <c r="C53" s="2854" t="s">
        <v>3065</v>
      </c>
      <c r="D53" s="2846" t="s">
        <v>2968</v>
      </c>
      <c r="E53" s="2847">
        <v>39034</v>
      </c>
      <c r="F53" s="2848" t="s">
        <v>2969</v>
      </c>
      <c r="G53" s="2857">
        <v>80.06</v>
      </c>
      <c r="H53" s="2850">
        <f t="shared" si="2"/>
        <v>43887.459405445916</v>
      </c>
      <c r="I53" s="2851">
        <v>3513630</v>
      </c>
      <c r="J53" s="2850">
        <f t="shared" si="0"/>
        <v>3513630</v>
      </c>
      <c r="K53" s="2850"/>
      <c r="L53" s="2852"/>
      <c r="M53" s="2850"/>
      <c r="N53" s="2853"/>
      <c r="O53" s="2850"/>
      <c r="P53" s="2844"/>
    </row>
    <row r="54" spans="1:16" ht="15.75" customHeight="1">
      <c r="A54" s="2843">
        <f t="shared" si="1"/>
        <v>48</v>
      </c>
      <c r="B54" s="2844" t="s">
        <v>3066</v>
      </c>
      <c r="C54" s="2854" t="s">
        <v>3067</v>
      </c>
      <c r="D54" s="2846" t="s">
        <v>2968</v>
      </c>
      <c r="E54" s="2847">
        <v>39034</v>
      </c>
      <c r="F54" s="2848" t="s">
        <v>2969</v>
      </c>
      <c r="G54" s="2857">
        <v>99.81</v>
      </c>
      <c r="H54" s="2850">
        <f t="shared" si="2"/>
        <v>43887.456166716758</v>
      </c>
      <c r="I54" s="2851">
        <v>4380407</v>
      </c>
      <c r="J54" s="2850">
        <f t="shared" si="0"/>
        <v>4380407</v>
      </c>
      <c r="K54" s="2850"/>
      <c r="L54" s="2852"/>
      <c r="M54" s="2850"/>
      <c r="N54" s="2853"/>
      <c r="O54" s="2850"/>
      <c r="P54" s="2844"/>
    </row>
    <row r="55" spans="1:16" ht="15.75" customHeight="1">
      <c r="A55" s="2843">
        <f t="shared" si="1"/>
        <v>49</v>
      </c>
      <c r="B55" s="2844" t="s">
        <v>3068</v>
      </c>
      <c r="C55" s="2854" t="s">
        <v>3069</v>
      </c>
      <c r="D55" s="2846" t="s">
        <v>2968</v>
      </c>
      <c r="E55" s="2847">
        <v>39034</v>
      </c>
      <c r="F55" s="2848" t="s">
        <v>2969</v>
      </c>
      <c r="G55" s="2857">
        <v>83.28</v>
      </c>
      <c r="H55" s="2850">
        <f t="shared" si="2"/>
        <v>43887.451969260328</v>
      </c>
      <c r="I55" s="2851">
        <v>3654947</v>
      </c>
      <c r="J55" s="2850">
        <f t="shared" si="0"/>
        <v>3654947</v>
      </c>
      <c r="K55" s="2850"/>
      <c r="L55" s="2852"/>
      <c r="M55" s="2850"/>
      <c r="N55" s="2853"/>
      <c r="O55" s="2850"/>
      <c r="P55" s="2844"/>
    </row>
    <row r="56" spans="1:16" ht="15.75" customHeight="1">
      <c r="A56" s="2843">
        <f t="shared" si="1"/>
        <v>50</v>
      </c>
      <c r="B56" s="2844" t="s">
        <v>3070</v>
      </c>
      <c r="C56" s="2854" t="s">
        <v>3071</v>
      </c>
      <c r="D56" s="2846" t="s">
        <v>2968</v>
      </c>
      <c r="E56" s="2847">
        <v>39034</v>
      </c>
      <c r="F56" s="2848" t="s">
        <v>2969</v>
      </c>
      <c r="G56" s="2857">
        <v>107.74</v>
      </c>
      <c r="H56" s="2850">
        <f t="shared" si="2"/>
        <v>43887.451271579732</v>
      </c>
      <c r="I56" s="2851">
        <v>4728434</v>
      </c>
      <c r="J56" s="2850">
        <f t="shared" si="0"/>
        <v>4728434</v>
      </c>
      <c r="K56" s="2850"/>
      <c r="L56" s="2852"/>
      <c r="M56" s="2850"/>
      <c r="N56" s="2853"/>
      <c r="O56" s="2850"/>
      <c r="P56" s="2844"/>
    </row>
    <row r="57" spans="1:16" ht="15.75" customHeight="1">
      <c r="A57" s="2843">
        <f t="shared" si="1"/>
        <v>51</v>
      </c>
      <c r="B57" s="2844" t="s">
        <v>3072</v>
      </c>
      <c r="C57" s="2854" t="s">
        <v>3073</v>
      </c>
      <c r="D57" s="2846" t="s">
        <v>2968</v>
      </c>
      <c r="E57" s="2847">
        <v>39034</v>
      </c>
      <c r="F57" s="2848" t="s">
        <v>2969</v>
      </c>
      <c r="G57" s="2857">
        <v>87.64</v>
      </c>
      <c r="H57" s="2850">
        <f t="shared" si="2"/>
        <v>43887.44865358284</v>
      </c>
      <c r="I57" s="2851">
        <v>3846296</v>
      </c>
      <c r="J57" s="2850">
        <f t="shared" si="0"/>
        <v>3846296</v>
      </c>
      <c r="K57" s="2850"/>
      <c r="L57" s="2852"/>
      <c r="M57" s="2850"/>
      <c r="N57" s="2853"/>
      <c r="O57" s="2850"/>
      <c r="P57" s="2844"/>
    </row>
    <row r="58" spans="1:16" ht="15.75" customHeight="1">
      <c r="A58" s="2843">
        <f t="shared" si="1"/>
        <v>52</v>
      </c>
      <c r="B58" s="2844" t="s">
        <v>3074</v>
      </c>
      <c r="C58" s="2854" t="s">
        <v>3075</v>
      </c>
      <c r="D58" s="2846" t="s">
        <v>2968</v>
      </c>
      <c r="E58" s="2847">
        <v>39034</v>
      </c>
      <c r="F58" s="2848" t="s">
        <v>2969</v>
      </c>
      <c r="G58" s="2857">
        <v>80.06</v>
      </c>
      <c r="H58" s="2850">
        <f t="shared" si="2"/>
        <v>43887.459405445916</v>
      </c>
      <c r="I58" s="2851">
        <v>3513630</v>
      </c>
      <c r="J58" s="2850">
        <f t="shared" si="0"/>
        <v>3513630</v>
      </c>
      <c r="K58" s="2850"/>
      <c r="L58" s="2852"/>
      <c r="M58" s="2850"/>
      <c r="N58" s="2853"/>
      <c r="O58" s="2850"/>
      <c r="P58" s="2844"/>
    </row>
    <row r="59" spans="1:16" ht="15.75" customHeight="1">
      <c r="A59" s="2843">
        <f t="shared" si="1"/>
        <v>53</v>
      </c>
      <c r="B59" s="2844" t="s">
        <v>3076</v>
      </c>
      <c r="C59" s="2854" t="s">
        <v>3077</v>
      </c>
      <c r="D59" s="2846" t="s">
        <v>2968</v>
      </c>
      <c r="E59" s="2847">
        <v>39034</v>
      </c>
      <c r="F59" s="2848" t="s">
        <v>2969</v>
      </c>
      <c r="G59" s="2857">
        <v>80.06</v>
      </c>
      <c r="H59" s="2850">
        <f t="shared" si="2"/>
        <v>43887.459405445916</v>
      </c>
      <c r="I59" s="2851">
        <v>3513630</v>
      </c>
      <c r="J59" s="2850">
        <f t="shared" si="0"/>
        <v>3513630</v>
      </c>
      <c r="K59" s="2850"/>
      <c r="L59" s="2852"/>
      <c r="M59" s="2850"/>
      <c r="N59" s="2853"/>
      <c r="O59" s="2850"/>
      <c r="P59" s="2844"/>
    </row>
    <row r="60" spans="1:16" ht="15.75" customHeight="1">
      <c r="A60" s="2843">
        <f t="shared" si="1"/>
        <v>54</v>
      </c>
      <c r="B60" s="2844" t="s">
        <v>3078</v>
      </c>
      <c r="C60" s="2854" t="s">
        <v>3079</v>
      </c>
      <c r="D60" s="2846" t="s">
        <v>2968</v>
      </c>
      <c r="E60" s="2847">
        <v>39034</v>
      </c>
      <c r="F60" s="2848" t="s">
        <v>2969</v>
      </c>
      <c r="G60" s="2857">
        <v>80.06</v>
      </c>
      <c r="H60" s="2850">
        <f t="shared" si="2"/>
        <v>43887.459405445916</v>
      </c>
      <c r="I60" s="2851">
        <v>3513630</v>
      </c>
      <c r="J60" s="2850">
        <f t="shared" si="0"/>
        <v>3513630</v>
      </c>
      <c r="K60" s="2850"/>
      <c r="L60" s="2852"/>
      <c r="M60" s="2850"/>
      <c r="N60" s="2853"/>
      <c r="O60" s="2850"/>
      <c r="P60" s="2844"/>
    </row>
    <row r="61" spans="1:16" ht="15.75" customHeight="1">
      <c r="A61" s="2843">
        <f t="shared" si="1"/>
        <v>55</v>
      </c>
      <c r="B61" s="2844" t="s">
        <v>3080</v>
      </c>
      <c r="C61" s="2854" t="s">
        <v>3081</v>
      </c>
      <c r="D61" s="2846" t="s">
        <v>2968</v>
      </c>
      <c r="E61" s="2847">
        <v>39034</v>
      </c>
      <c r="F61" s="2848" t="s">
        <v>2969</v>
      </c>
      <c r="G61" s="2857">
        <v>99.64</v>
      </c>
      <c r="H61" s="2850">
        <f t="shared" si="2"/>
        <v>43887.454837414691</v>
      </c>
      <c r="I61" s="2851">
        <v>4372946</v>
      </c>
      <c r="J61" s="2850">
        <f t="shared" si="0"/>
        <v>4372946</v>
      </c>
      <c r="K61" s="2850"/>
      <c r="L61" s="2852"/>
      <c r="M61" s="2850"/>
      <c r="N61" s="2853"/>
      <c r="O61" s="2850"/>
      <c r="P61" s="2844"/>
    </row>
    <row r="62" spans="1:16" ht="15.75" customHeight="1">
      <c r="A62" s="2843">
        <f t="shared" si="1"/>
        <v>56</v>
      </c>
      <c r="B62" s="2844" t="s">
        <v>3082</v>
      </c>
      <c r="C62" s="2854" t="s">
        <v>3083</v>
      </c>
      <c r="D62" s="2846" t="s">
        <v>2968</v>
      </c>
      <c r="E62" s="2847">
        <v>39034</v>
      </c>
      <c r="F62" s="2848" t="s">
        <v>2969</v>
      </c>
      <c r="G62" s="2857">
        <v>82.89</v>
      </c>
      <c r="H62" s="2850">
        <f t="shared" si="2"/>
        <v>43887.453251296902</v>
      </c>
      <c r="I62" s="2851">
        <v>3637831</v>
      </c>
      <c r="J62" s="2850">
        <f t="shared" si="0"/>
        <v>3637831</v>
      </c>
      <c r="K62" s="2850"/>
      <c r="L62" s="2852"/>
      <c r="M62" s="2850"/>
      <c r="N62" s="2853"/>
      <c r="O62" s="2850"/>
      <c r="P62" s="2844"/>
    </row>
    <row r="63" spans="1:16" ht="15.75" customHeight="1">
      <c r="A63" s="2843">
        <f t="shared" si="1"/>
        <v>57</v>
      </c>
      <c r="B63" s="2844" t="s">
        <v>3084</v>
      </c>
      <c r="C63" s="2854" t="s">
        <v>3085</v>
      </c>
      <c r="D63" s="2846" t="s">
        <v>2968</v>
      </c>
      <c r="E63" s="2847">
        <v>39034</v>
      </c>
      <c r="F63" s="2848" t="s">
        <v>2969</v>
      </c>
      <c r="G63" s="2857">
        <v>75.83</v>
      </c>
      <c r="H63" s="2850">
        <f t="shared" si="2"/>
        <v>43887.458789397337</v>
      </c>
      <c r="I63" s="2851">
        <v>3327986</v>
      </c>
      <c r="J63" s="2850">
        <f t="shared" si="0"/>
        <v>3327986</v>
      </c>
      <c r="K63" s="2850"/>
      <c r="L63" s="2852"/>
      <c r="M63" s="2850"/>
      <c r="N63" s="2853"/>
      <c r="O63" s="2850"/>
      <c r="P63" s="2844"/>
    </row>
    <row r="64" spans="1:16" ht="15.75" customHeight="1">
      <c r="A64" s="2843">
        <f t="shared" si="1"/>
        <v>58</v>
      </c>
      <c r="B64" s="2844" t="s">
        <v>3086</v>
      </c>
      <c r="C64" s="2854" t="s">
        <v>3087</v>
      </c>
      <c r="D64" s="2846" t="s">
        <v>2968</v>
      </c>
      <c r="E64" s="2847">
        <v>39034</v>
      </c>
      <c r="F64" s="2848" t="s">
        <v>2969</v>
      </c>
      <c r="G64" s="2857">
        <v>88.04</v>
      </c>
      <c r="H64" s="2850">
        <f t="shared" si="2"/>
        <v>43887.448886869599</v>
      </c>
      <c r="I64" s="2851">
        <v>3863851</v>
      </c>
      <c r="J64" s="2850">
        <f t="shared" si="0"/>
        <v>3863851</v>
      </c>
      <c r="K64" s="2850"/>
      <c r="L64" s="2852"/>
      <c r="M64" s="2850"/>
      <c r="N64" s="2853"/>
      <c r="O64" s="2850"/>
      <c r="P64" s="2844"/>
    </row>
    <row r="65" spans="1:16" ht="15.75" customHeight="1">
      <c r="A65" s="2843">
        <f t="shared" si="1"/>
        <v>59</v>
      </c>
      <c r="B65" s="2844" t="s">
        <v>3088</v>
      </c>
      <c r="C65" s="2854" t="s">
        <v>3089</v>
      </c>
      <c r="D65" s="2846" t="s">
        <v>2968</v>
      </c>
      <c r="E65" s="2847">
        <v>39034</v>
      </c>
      <c r="F65" s="2848" t="s">
        <v>2969</v>
      </c>
      <c r="G65" s="2857">
        <v>80.06</v>
      </c>
      <c r="H65" s="2850">
        <f t="shared" si="2"/>
        <v>43887.459405445916</v>
      </c>
      <c r="I65" s="2851">
        <v>3513630</v>
      </c>
      <c r="J65" s="2850">
        <f t="shared" si="0"/>
        <v>3513630</v>
      </c>
      <c r="K65" s="2850"/>
      <c r="L65" s="2852"/>
      <c r="M65" s="2850"/>
      <c r="N65" s="2853"/>
      <c r="O65" s="2850"/>
      <c r="P65" s="2844"/>
    </row>
    <row r="66" spans="1:16" ht="15.75" customHeight="1">
      <c r="A66" s="2843">
        <f t="shared" si="1"/>
        <v>60</v>
      </c>
      <c r="B66" s="2844" t="s">
        <v>3090</v>
      </c>
      <c r="C66" s="2854" t="s">
        <v>3091</v>
      </c>
      <c r="D66" s="2846" t="s">
        <v>2968</v>
      </c>
      <c r="E66" s="2847">
        <v>39034</v>
      </c>
      <c r="F66" s="2848" t="s">
        <v>2969</v>
      </c>
      <c r="G66" s="2857">
        <v>80.06</v>
      </c>
      <c r="H66" s="2850">
        <f t="shared" si="2"/>
        <v>43887.459405445916</v>
      </c>
      <c r="I66" s="2851">
        <v>3513630</v>
      </c>
      <c r="J66" s="2850">
        <f t="shared" si="0"/>
        <v>3513630</v>
      </c>
      <c r="K66" s="2850"/>
      <c r="L66" s="2852"/>
      <c r="M66" s="2850"/>
      <c r="N66" s="2853"/>
      <c r="O66" s="2850"/>
      <c r="P66" s="2844"/>
    </row>
    <row r="67" spans="1:16" ht="15.75" customHeight="1">
      <c r="A67" s="2843">
        <f t="shared" si="1"/>
        <v>61</v>
      </c>
      <c r="B67" s="2844" t="s">
        <v>3092</v>
      </c>
      <c r="C67" s="2854" t="s">
        <v>3093</v>
      </c>
      <c r="D67" s="2846" t="s">
        <v>2968</v>
      </c>
      <c r="E67" s="2847">
        <v>39034</v>
      </c>
      <c r="F67" s="2848" t="s">
        <v>2969</v>
      </c>
      <c r="G67" s="2857">
        <v>80.06</v>
      </c>
      <c r="H67" s="2850">
        <f t="shared" si="2"/>
        <v>43887.459405445916</v>
      </c>
      <c r="I67" s="2851">
        <v>3513630</v>
      </c>
      <c r="J67" s="2850">
        <f t="shared" si="0"/>
        <v>3513630</v>
      </c>
      <c r="K67" s="2850"/>
      <c r="L67" s="2852"/>
      <c r="M67" s="2850"/>
      <c r="N67" s="2853"/>
      <c r="O67" s="2850"/>
      <c r="P67" s="2844"/>
    </row>
    <row r="68" spans="1:16" ht="15.75" customHeight="1">
      <c r="A68" s="2843">
        <f t="shared" si="1"/>
        <v>62</v>
      </c>
      <c r="B68" s="2844" t="s">
        <v>3094</v>
      </c>
      <c r="C68" s="2854" t="s">
        <v>3095</v>
      </c>
      <c r="D68" s="2846" t="s">
        <v>2968</v>
      </c>
      <c r="E68" s="2847">
        <v>39034</v>
      </c>
      <c r="F68" s="2848" t="s">
        <v>2969</v>
      </c>
      <c r="G68" s="2857">
        <v>99.81</v>
      </c>
      <c r="H68" s="2850">
        <f t="shared" si="2"/>
        <v>43887.456166716758</v>
      </c>
      <c r="I68" s="2851">
        <v>4380407</v>
      </c>
      <c r="J68" s="2850">
        <f t="shared" si="0"/>
        <v>4380407</v>
      </c>
      <c r="K68" s="2850"/>
      <c r="L68" s="2852"/>
      <c r="M68" s="2850"/>
      <c r="N68" s="2853"/>
      <c r="O68" s="2850"/>
      <c r="P68" s="2844"/>
    </row>
    <row r="69" spans="1:16" ht="15.75" customHeight="1">
      <c r="A69" s="2843">
        <f t="shared" si="1"/>
        <v>63</v>
      </c>
      <c r="B69" s="2844" t="s">
        <v>3096</v>
      </c>
      <c r="C69" s="2854" t="s">
        <v>3097</v>
      </c>
      <c r="D69" s="2846" t="s">
        <v>2968</v>
      </c>
      <c r="E69" s="2847">
        <v>39034</v>
      </c>
      <c r="F69" s="2848" t="s">
        <v>2969</v>
      </c>
      <c r="G69" s="2857">
        <v>83.28</v>
      </c>
      <c r="H69" s="2850">
        <f t="shared" si="2"/>
        <v>43887.451969260328</v>
      </c>
      <c r="I69" s="2851">
        <v>3654947</v>
      </c>
      <c r="J69" s="2850">
        <f t="shared" si="0"/>
        <v>3654947</v>
      </c>
      <c r="K69" s="2850"/>
      <c r="L69" s="2852"/>
      <c r="M69" s="2850"/>
      <c r="N69" s="2853"/>
      <c r="O69" s="2850"/>
      <c r="P69" s="2844"/>
    </row>
    <row r="70" spans="1:16" ht="15.75" customHeight="1">
      <c r="A70" s="2843">
        <f t="shared" si="1"/>
        <v>64</v>
      </c>
      <c r="B70" s="2844" t="s">
        <v>3098</v>
      </c>
      <c r="C70" s="2854" t="s">
        <v>3099</v>
      </c>
      <c r="D70" s="2846" t="s">
        <v>2968</v>
      </c>
      <c r="E70" s="2847">
        <v>39034</v>
      </c>
      <c r="F70" s="2848" t="s">
        <v>2969</v>
      </c>
      <c r="G70" s="2857">
        <v>107.74</v>
      </c>
      <c r="H70" s="2850">
        <f t="shared" si="2"/>
        <v>43887.451271579732</v>
      </c>
      <c r="I70" s="2851">
        <v>4728434</v>
      </c>
      <c r="J70" s="2850">
        <f t="shared" si="0"/>
        <v>4728434</v>
      </c>
      <c r="K70" s="2850"/>
      <c r="L70" s="2852"/>
      <c r="M70" s="2850"/>
      <c r="N70" s="2853"/>
      <c r="O70" s="2850"/>
      <c r="P70" s="2844"/>
    </row>
    <row r="71" spans="1:16" ht="15.75" customHeight="1">
      <c r="A71" s="2843">
        <f t="shared" si="1"/>
        <v>65</v>
      </c>
      <c r="B71" s="2844" t="s">
        <v>3100</v>
      </c>
      <c r="C71" s="2854" t="s">
        <v>3101</v>
      </c>
      <c r="D71" s="2846" t="s">
        <v>2968</v>
      </c>
      <c r="E71" s="2847">
        <v>39034</v>
      </c>
      <c r="F71" s="2848" t="s">
        <v>2969</v>
      </c>
      <c r="G71" s="2857">
        <v>87.64</v>
      </c>
      <c r="H71" s="2850">
        <f t="shared" si="2"/>
        <v>43887.44865358284</v>
      </c>
      <c r="I71" s="2851">
        <v>3846296</v>
      </c>
      <c r="J71" s="2850">
        <f t="shared" si="0"/>
        <v>3846296</v>
      </c>
      <c r="K71" s="2850"/>
      <c r="L71" s="2852"/>
      <c r="M71" s="2850"/>
      <c r="N71" s="2853"/>
      <c r="O71" s="2850"/>
      <c r="P71" s="2844"/>
    </row>
    <row r="72" spans="1:16" ht="15.75" customHeight="1">
      <c r="A72" s="2843">
        <f t="shared" si="1"/>
        <v>66</v>
      </c>
      <c r="B72" s="2844" t="s">
        <v>3102</v>
      </c>
      <c r="C72" s="2854" t="s">
        <v>3103</v>
      </c>
      <c r="D72" s="2846" t="s">
        <v>2968</v>
      </c>
      <c r="E72" s="2847">
        <v>39034</v>
      </c>
      <c r="F72" s="2848" t="s">
        <v>2969</v>
      </c>
      <c r="G72" s="2857">
        <v>80.06</v>
      </c>
      <c r="H72" s="2850">
        <f t="shared" si="2"/>
        <v>43887.459405445916</v>
      </c>
      <c r="I72" s="2851">
        <v>3513630</v>
      </c>
      <c r="J72" s="2850">
        <f t="shared" ref="J72:J135" si="3">I72</f>
        <v>3513630</v>
      </c>
      <c r="K72" s="2850"/>
      <c r="L72" s="2852"/>
      <c r="M72" s="2850"/>
      <c r="N72" s="2853"/>
      <c r="O72" s="2850"/>
      <c r="P72" s="2844"/>
    </row>
    <row r="73" spans="1:16" ht="15.75" customHeight="1">
      <c r="A73" s="2843">
        <f t="shared" ref="A73:A136" si="4">A72+1</f>
        <v>67</v>
      </c>
      <c r="B73" s="2844" t="s">
        <v>3104</v>
      </c>
      <c r="C73" s="2854" t="s">
        <v>3105</v>
      </c>
      <c r="D73" s="2846" t="s">
        <v>2968</v>
      </c>
      <c r="E73" s="2847">
        <v>39034</v>
      </c>
      <c r="F73" s="2848" t="s">
        <v>2969</v>
      </c>
      <c r="G73" s="2857">
        <v>80.06</v>
      </c>
      <c r="H73" s="2850">
        <f t="shared" ref="H73:H136" si="5">I73/G73</f>
        <v>43887.459405445916</v>
      </c>
      <c r="I73" s="2851">
        <v>3513630</v>
      </c>
      <c r="J73" s="2850">
        <f t="shared" si="3"/>
        <v>3513630</v>
      </c>
      <c r="K73" s="2850"/>
      <c r="L73" s="2852"/>
      <c r="M73" s="2850"/>
      <c r="N73" s="2853"/>
      <c r="O73" s="2850"/>
      <c r="P73" s="2844"/>
    </row>
    <row r="74" spans="1:16" ht="15.75" customHeight="1">
      <c r="A74" s="2843">
        <f t="shared" si="4"/>
        <v>68</v>
      </c>
      <c r="B74" s="2844" t="s">
        <v>3106</v>
      </c>
      <c r="C74" s="2854" t="s">
        <v>3107</v>
      </c>
      <c r="D74" s="2846" t="s">
        <v>2968</v>
      </c>
      <c r="E74" s="2847">
        <v>39034</v>
      </c>
      <c r="F74" s="2848" t="s">
        <v>2969</v>
      </c>
      <c r="G74" s="2857">
        <v>80.06</v>
      </c>
      <c r="H74" s="2850">
        <f t="shared" si="5"/>
        <v>43887.459405445916</v>
      </c>
      <c r="I74" s="2851">
        <v>3513630</v>
      </c>
      <c r="J74" s="2850">
        <f t="shared" si="3"/>
        <v>3513630</v>
      </c>
      <c r="K74" s="2850"/>
      <c r="L74" s="2852"/>
      <c r="M74" s="2850"/>
      <c r="N74" s="2853"/>
      <c r="O74" s="2850"/>
      <c r="P74" s="2844"/>
    </row>
    <row r="75" spans="1:16" ht="15.75" customHeight="1">
      <c r="A75" s="2843">
        <f t="shared" si="4"/>
        <v>69</v>
      </c>
      <c r="B75" s="2844" t="s">
        <v>3108</v>
      </c>
      <c r="C75" s="2854" t="s">
        <v>3109</v>
      </c>
      <c r="D75" s="2846" t="s">
        <v>2968</v>
      </c>
      <c r="E75" s="2847">
        <v>39034</v>
      </c>
      <c r="F75" s="2848" t="s">
        <v>2969</v>
      </c>
      <c r="G75" s="2857">
        <v>99.64</v>
      </c>
      <c r="H75" s="2850">
        <f t="shared" si="5"/>
        <v>43887.454837414691</v>
      </c>
      <c r="I75" s="2851">
        <v>4372946</v>
      </c>
      <c r="J75" s="2850">
        <f t="shared" si="3"/>
        <v>4372946</v>
      </c>
      <c r="K75" s="2850"/>
      <c r="L75" s="2852"/>
      <c r="M75" s="2850"/>
      <c r="N75" s="2853"/>
      <c r="O75" s="2850"/>
      <c r="P75" s="2844"/>
    </row>
    <row r="76" spans="1:16" ht="15.75" customHeight="1">
      <c r="A76" s="2843">
        <f t="shared" si="4"/>
        <v>70</v>
      </c>
      <c r="B76" s="2844" t="s">
        <v>3110</v>
      </c>
      <c r="C76" s="2854" t="s">
        <v>3111</v>
      </c>
      <c r="D76" s="2846" t="s">
        <v>2968</v>
      </c>
      <c r="E76" s="2847">
        <v>39034</v>
      </c>
      <c r="F76" s="2848" t="s">
        <v>2969</v>
      </c>
      <c r="G76" s="2857">
        <v>82.89</v>
      </c>
      <c r="H76" s="2850">
        <f t="shared" si="5"/>
        <v>43887.453251296902</v>
      </c>
      <c r="I76" s="2851">
        <v>3637831</v>
      </c>
      <c r="J76" s="2850">
        <f t="shared" si="3"/>
        <v>3637831</v>
      </c>
      <c r="K76" s="2850"/>
      <c r="L76" s="2852"/>
      <c r="M76" s="2850"/>
      <c r="N76" s="2853"/>
      <c r="O76" s="2850"/>
      <c r="P76" s="2844"/>
    </row>
    <row r="77" spans="1:16" ht="15.75" customHeight="1">
      <c r="A77" s="2843">
        <f t="shared" si="4"/>
        <v>71</v>
      </c>
      <c r="B77" s="2844" t="s">
        <v>3112</v>
      </c>
      <c r="C77" s="2854" t="s">
        <v>3113</v>
      </c>
      <c r="D77" s="2846" t="s">
        <v>2968</v>
      </c>
      <c r="E77" s="2847">
        <v>39034</v>
      </c>
      <c r="F77" s="2848" t="s">
        <v>2969</v>
      </c>
      <c r="G77" s="2857">
        <v>75.83</v>
      </c>
      <c r="H77" s="2850">
        <f t="shared" si="5"/>
        <v>43887.458789397337</v>
      </c>
      <c r="I77" s="2851">
        <v>3327986</v>
      </c>
      <c r="J77" s="2850">
        <f t="shared" si="3"/>
        <v>3327986</v>
      </c>
      <c r="K77" s="2850"/>
      <c r="L77" s="2852"/>
      <c r="M77" s="2850"/>
      <c r="N77" s="2853"/>
      <c r="O77" s="2850"/>
      <c r="P77" s="2844"/>
    </row>
    <row r="78" spans="1:16" ht="15.75" customHeight="1">
      <c r="A78" s="2843">
        <f t="shared" si="4"/>
        <v>72</v>
      </c>
      <c r="B78" s="2844" t="s">
        <v>3114</v>
      </c>
      <c r="C78" s="2854" t="s">
        <v>3115</v>
      </c>
      <c r="D78" s="2846" t="s">
        <v>2968</v>
      </c>
      <c r="E78" s="2847">
        <v>39034</v>
      </c>
      <c r="F78" s="2848" t="s">
        <v>2969</v>
      </c>
      <c r="G78" s="2857">
        <v>88.04</v>
      </c>
      <c r="H78" s="2850">
        <f t="shared" si="5"/>
        <v>43887.448886869599</v>
      </c>
      <c r="I78" s="2851">
        <v>3863851</v>
      </c>
      <c r="J78" s="2850">
        <f t="shared" si="3"/>
        <v>3863851</v>
      </c>
      <c r="K78" s="2850"/>
      <c r="L78" s="2852"/>
      <c r="M78" s="2850"/>
      <c r="N78" s="2853"/>
      <c r="O78" s="2850"/>
      <c r="P78" s="2844"/>
    </row>
    <row r="79" spans="1:16" ht="15.75" customHeight="1">
      <c r="A79" s="2843">
        <f t="shared" si="4"/>
        <v>73</v>
      </c>
      <c r="B79" s="2844" t="s">
        <v>3116</v>
      </c>
      <c r="C79" s="2854" t="s">
        <v>3117</v>
      </c>
      <c r="D79" s="2846" t="s">
        <v>2968</v>
      </c>
      <c r="E79" s="2847">
        <v>39034</v>
      </c>
      <c r="F79" s="2848" t="s">
        <v>2969</v>
      </c>
      <c r="G79" s="2857">
        <v>80.06</v>
      </c>
      <c r="H79" s="2850">
        <f t="shared" si="5"/>
        <v>43887.459405445916</v>
      </c>
      <c r="I79" s="2851">
        <v>3513630</v>
      </c>
      <c r="J79" s="2850">
        <f t="shared" si="3"/>
        <v>3513630</v>
      </c>
      <c r="K79" s="2850"/>
      <c r="L79" s="2852"/>
      <c r="M79" s="2850"/>
      <c r="N79" s="2853"/>
      <c r="O79" s="2850"/>
      <c r="P79" s="2844"/>
    </row>
    <row r="80" spans="1:16" ht="15.75" customHeight="1">
      <c r="A80" s="2843">
        <f t="shared" si="4"/>
        <v>74</v>
      </c>
      <c r="B80" s="2844" t="s">
        <v>3118</v>
      </c>
      <c r="C80" s="2854" t="s">
        <v>3119</v>
      </c>
      <c r="D80" s="2846" t="s">
        <v>2968</v>
      </c>
      <c r="E80" s="2847">
        <v>39034</v>
      </c>
      <c r="F80" s="2848" t="s">
        <v>2969</v>
      </c>
      <c r="G80" s="2857">
        <v>80.06</v>
      </c>
      <c r="H80" s="2850">
        <f t="shared" si="5"/>
        <v>43887.459405445916</v>
      </c>
      <c r="I80" s="2851">
        <v>3513630</v>
      </c>
      <c r="J80" s="2850">
        <f t="shared" si="3"/>
        <v>3513630</v>
      </c>
      <c r="K80" s="2850"/>
      <c r="L80" s="2852"/>
      <c r="M80" s="2850"/>
      <c r="N80" s="2853"/>
      <c r="O80" s="2850"/>
      <c r="P80" s="2844"/>
    </row>
    <row r="81" spans="1:16" ht="15.75" customHeight="1">
      <c r="A81" s="2843">
        <f t="shared" si="4"/>
        <v>75</v>
      </c>
      <c r="B81" s="2844" t="s">
        <v>3120</v>
      </c>
      <c r="C81" s="2854" t="s">
        <v>3121</v>
      </c>
      <c r="D81" s="2846" t="s">
        <v>2968</v>
      </c>
      <c r="E81" s="2847">
        <v>39034</v>
      </c>
      <c r="F81" s="2848" t="s">
        <v>2969</v>
      </c>
      <c r="G81" s="2857">
        <v>80.06</v>
      </c>
      <c r="H81" s="2850">
        <f t="shared" si="5"/>
        <v>43887.459405445916</v>
      </c>
      <c r="I81" s="2851">
        <v>3513630</v>
      </c>
      <c r="J81" s="2850">
        <f t="shared" si="3"/>
        <v>3513630</v>
      </c>
      <c r="K81" s="2850"/>
      <c r="L81" s="2852"/>
      <c r="M81" s="2850"/>
      <c r="N81" s="2853"/>
      <c r="O81" s="2850"/>
      <c r="P81" s="2844"/>
    </row>
    <row r="82" spans="1:16" ht="15.75" customHeight="1">
      <c r="A82" s="2843">
        <f t="shared" si="4"/>
        <v>76</v>
      </c>
      <c r="B82" s="2844" t="s">
        <v>3122</v>
      </c>
      <c r="C82" s="2854" t="s">
        <v>3123</v>
      </c>
      <c r="D82" s="2846" t="s">
        <v>2968</v>
      </c>
      <c r="E82" s="2847">
        <v>39034</v>
      </c>
      <c r="F82" s="2848" t="s">
        <v>2969</v>
      </c>
      <c r="G82" s="2857">
        <v>99.81</v>
      </c>
      <c r="H82" s="2850">
        <f t="shared" si="5"/>
        <v>43887.456166716758</v>
      </c>
      <c r="I82" s="2851">
        <v>4380407</v>
      </c>
      <c r="J82" s="2850">
        <f t="shared" si="3"/>
        <v>4380407</v>
      </c>
      <c r="K82" s="2850"/>
      <c r="L82" s="2852"/>
      <c r="M82" s="2850"/>
      <c r="N82" s="2853"/>
      <c r="O82" s="2850"/>
      <c r="P82" s="2844"/>
    </row>
    <row r="83" spans="1:16" ht="15.75" customHeight="1">
      <c r="A83" s="2843">
        <f t="shared" si="4"/>
        <v>77</v>
      </c>
      <c r="B83" s="2844" t="s">
        <v>3124</v>
      </c>
      <c r="C83" s="2854" t="s">
        <v>3125</v>
      </c>
      <c r="D83" s="2846" t="s">
        <v>2968</v>
      </c>
      <c r="E83" s="2847">
        <v>39034</v>
      </c>
      <c r="F83" s="2848" t="s">
        <v>2969</v>
      </c>
      <c r="G83" s="2857">
        <v>83.28</v>
      </c>
      <c r="H83" s="2850">
        <f t="shared" si="5"/>
        <v>43887.451969260328</v>
      </c>
      <c r="I83" s="2851">
        <v>3654947</v>
      </c>
      <c r="J83" s="2850">
        <f t="shared" si="3"/>
        <v>3654947</v>
      </c>
      <c r="K83" s="2850"/>
      <c r="L83" s="2852"/>
      <c r="M83" s="2850"/>
      <c r="N83" s="2853"/>
      <c r="O83" s="2850"/>
      <c r="P83" s="2844"/>
    </row>
    <row r="84" spans="1:16" ht="15.75" customHeight="1">
      <c r="A84" s="2843">
        <f t="shared" si="4"/>
        <v>78</v>
      </c>
      <c r="B84" s="2844" t="s">
        <v>3126</v>
      </c>
      <c r="C84" s="2854" t="s">
        <v>3127</v>
      </c>
      <c r="D84" s="2846" t="s">
        <v>2968</v>
      </c>
      <c r="E84" s="2847">
        <v>39034</v>
      </c>
      <c r="F84" s="2848" t="s">
        <v>2969</v>
      </c>
      <c r="G84" s="2857">
        <v>107.74</v>
      </c>
      <c r="H84" s="2850">
        <f t="shared" si="5"/>
        <v>43887.451271579732</v>
      </c>
      <c r="I84" s="2851">
        <v>4728434</v>
      </c>
      <c r="J84" s="2850">
        <f t="shared" si="3"/>
        <v>4728434</v>
      </c>
      <c r="K84" s="2850"/>
      <c r="L84" s="2852"/>
      <c r="M84" s="2850"/>
      <c r="N84" s="2853"/>
      <c r="O84" s="2850"/>
      <c r="P84" s="2844"/>
    </row>
    <row r="85" spans="1:16" ht="15.75" customHeight="1">
      <c r="A85" s="2843">
        <f t="shared" si="4"/>
        <v>79</v>
      </c>
      <c r="B85" s="2844" t="s">
        <v>3128</v>
      </c>
      <c r="C85" s="2854" t="s">
        <v>3129</v>
      </c>
      <c r="D85" s="2846" t="s">
        <v>2968</v>
      </c>
      <c r="E85" s="2847">
        <v>39034</v>
      </c>
      <c r="F85" s="2848" t="s">
        <v>2969</v>
      </c>
      <c r="G85" s="2857">
        <v>87.64</v>
      </c>
      <c r="H85" s="2850">
        <f t="shared" si="5"/>
        <v>43887.44865358284</v>
      </c>
      <c r="I85" s="2851">
        <v>3846296</v>
      </c>
      <c r="J85" s="2850">
        <f t="shared" si="3"/>
        <v>3846296</v>
      </c>
      <c r="K85" s="2850"/>
      <c r="L85" s="2852"/>
      <c r="M85" s="2850"/>
      <c r="N85" s="2853"/>
      <c r="O85" s="2850"/>
      <c r="P85" s="2844"/>
    </row>
    <row r="86" spans="1:16" ht="15.75" customHeight="1">
      <c r="A86" s="2843">
        <f t="shared" si="4"/>
        <v>80</v>
      </c>
      <c r="B86" s="2844" t="s">
        <v>3130</v>
      </c>
      <c r="C86" s="2854" t="s">
        <v>3131</v>
      </c>
      <c r="D86" s="2846" t="s">
        <v>2968</v>
      </c>
      <c r="E86" s="2847">
        <v>39034</v>
      </c>
      <c r="F86" s="2848" t="s">
        <v>2969</v>
      </c>
      <c r="G86" s="2857">
        <v>80.06</v>
      </c>
      <c r="H86" s="2850">
        <f t="shared" si="5"/>
        <v>43887.459405445916</v>
      </c>
      <c r="I86" s="2851">
        <v>3513630</v>
      </c>
      <c r="J86" s="2850">
        <f t="shared" si="3"/>
        <v>3513630</v>
      </c>
      <c r="K86" s="2850"/>
      <c r="L86" s="2852"/>
      <c r="M86" s="2850"/>
      <c r="N86" s="2853"/>
      <c r="O86" s="2850"/>
      <c r="P86" s="2844"/>
    </row>
    <row r="87" spans="1:16" ht="15.75" customHeight="1">
      <c r="A87" s="2843">
        <f t="shared" si="4"/>
        <v>81</v>
      </c>
      <c r="B87" s="2844" t="s">
        <v>3132</v>
      </c>
      <c r="C87" s="2854" t="s">
        <v>3133</v>
      </c>
      <c r="D87" s="2846" t="s">
        <v>2968</v>
      </c>
      <c r="E87" s="2847">
        <v>39034</v>
      </c>
      <c r="F87" s="2848" t="s">
        <v>2969</v>
      </c>
      <c r="G87" s="2857">
        <v>80.06</v>
      </c>
      <c r="H87" s="2850">
        <f t="shared" si="5"/>
        <v>43887.459405445916</v>
      </c>
      <c r="I87" s="2851">
        <v>3513630</v>
      </c>
      <c r="J87" s="2850">
        <f t="shared" si="3"/>
        <v>3513630</v>
      </c>
      <c r="K87" s="2850"/>
      <c r="L87" s="2852"/>
      <c r="M87" s="2850"/>
      <c r="N87" s="2853"/>
      <c r="O87" s="2850"/>
      <c r="P87" s="2844"/>
    </row>
    <row r="88" spans="1:16" ht="15.75" customHeight="1">
      <c r="A88" s="2843">
        <f t="shared" si="4"/>
        <v>82</v>
      </c>
      <c r="B88" s="2844" t="s">
        <v>3134</v>
      </c>
      <c r="C88" s="2854" t="s">
        <v>3135</v>
      </c>
      <c r="D88" s="2846" t="s">
        <v>2968</v>
      </c>
      <c r="E88" s="2847">
        <v>39034</v>
      </c>
      <c r="F88" s="2848" t="s">
        <v>2969</v>
      </c>
      <c r="G88" s="2857">
        <v>80.06</v>
      </c>
      <c r="H88" s="2850">
        <f t="shared" si="5"/>
        <v>43887.459405445916</v>
      </c>
      <c r="I88" s="2851">
        <v>3513630</v>
      </c>
      <c r="J88" s="2850">
        <f t="shared" si="3"/>
        <v>3513630</v>
      </c>
      <c r="K88" s="2850"/>
      <c r="L88" s="2852"/>
      <c r="M88" s="2850"/>
      <c r="N88" s="2853"/>
      <c r="O88" s="2850"/>
      <c r="P88" s="2844"/>
    </row>
    <row r="89" spans="1:16" ht="15.75" customHeight="1">
      <c r="A89" s="2843">
        <f t="shared" si="4"/>
        <v>83</v>
      </c>
      <c r="B89" s="2844" t="s">
        <v>3136</v>
      </c>
      <c r="C89" s="2854" t="s">
        <v>3137</v>
      </c>
      <c r="D89" s="2846" t="s">
        <v>2968</v>
      </c>
      <c r="E89" s="2847">
        <v>39034</v>
      </c>
      <c r="F89" s="2848" t="s">
        <v>2969</v>
      </c>
      <c r="G89" s="2857">
        <v>99.64</v>
      </c>
      <c r="H89" s="2850">
        <f t="shared" si="5"/>
        <v>43887.454837414691</v>
      </c>
      <c r="I89" s="2851">
        <v>4372946</v>
      </c>
      <c r="J89" s="2850">
        <f t="shared" si="3"/>
        <v>4372946</v>
      </c>
      <c r="K89" s="2850"/>
      <c r="L89" s="2852"/>
      <c r="M89" s="2850"/>
      <c r="N89" s="2853"/>
      <c r="O89" s="2850"/>
      <c r="P89" s="2844"/>
    </row>
    <row r="90" spans="1:16" ht="15.75" customHeight="1">
      <c r="A90" s="2843">
        <f t="shared" si="4"/>
        <v>84</v>
      </c>
      <c r="B90" s="2844" t="s">
        <v>3138</v>
      </c>
      <c r="C90" s="2854" t="s">
        <v>3139</v>
      </c>
      <c r="D90" s="2846" t="s">
        <v>2968</v>
      </c>
      <c r="E90" s="2847">
        <v>39034</v>
      </c>
      <c r="F90" s="2848" t="s">
        <v>2969</v>
      </c>
      <c r="G90" s="2857">
        <v>82.89</v>
      </c>
      <c r="H90" s="2850">
        <f t="shared" si="5"/>
        <v>43887.453251296902</v>
      </c>
      <c r="I90" s="2851">
        <v>3637831</v>
      </c>
      <c r="J90" s="2850">
        <f t="shared" si="3"/>
        <v>3637831</v>
      </c>
      <c r="K90" s="2850"/>
      <c r="L90" s="2852"/>
      <c r="M90" s="2850"/>
      <c r="N90" s="2853"/>
      <c r="O90" s="2850"/>
      <c r="P90" s="2844"/>
    </row>
    <row r="91" spans="1:16" ht="15.75" customHeight="1">
      <c r="A91" s="2843">
        <f t="shared" si="4"/>
        <v>85</v>
      </c>
      <c r="B91" s="2844" t="s">
        <v>3140</v>
      </c>
      <c r="C91" s="2854" t="s">
        <v>3141</v>
      </c>
      <c r="D91" s="2846" t="s">
        <v>2968</v>
      </c>
      <c r="E91" s="2847">
        <v>39034</v>
      </c>
      <c r="F91" s="2848" t="s">
        <v>2969</v>
      </c>
      <c r="G91" s="2857">
        <v>75.83</v>
      </c>
      <c r="H91" s="2850">
        <f t="shared" si="5"/>
        <v>43887.458789397337</v>
      </c>
      <c r="I91" s="2851">
        <v>3327986</v>
      </c>
      <c r="J91" s="2850">
        <f t="shared" si="3"/>
        <v>3327986</v>
      </c>
      <c r="K91" s="2850"/>
      <c r="L91" s="2852"/>
      <c r="M91" s="2850"/>
      <c r="N91" s="2853"/>
      <c r="O91" s="2850"/>
      <c r="P91" s="2844"/>
    </row>
    <row r="92" spans="1:16" ht="15.75" customHeight="1">
      <c r="A92" s="2843">
        <f t="shared" si="4"/>
        <v>86</v>
      </c>
      <c r="B92" s="2844" t="s">
        <v>3142</v>
      </c>
      <c r="C92" s="2854" t="s">
        <v>3143</v>
      </c>
      <c r="D92" s="2846" t="s">
        <v>2968</v>
      </c>
      <c r="E92" s="2847">
        <v>39034</v>
      </c>
      <c r="F92" s="2848" t="s">
        <v>2969</v>
      </c>
      <c r="G92" s="2857">
        <v>88.04</v>
      </c>
      <c r="H92" s="2850">
        <f t="shared" si="5"/>
        <v>43887.448886869599</v>
      </c>
      <c r="I92" s="2851">
        <v>3863851</v>
      </c>
      <c r="J92" s="2850">
        <f t="shared" si="3"/>
        <v>3863851</v>
      </c>
      <c r="K92" s="2850"/>
      <c r="L92" s="2852"/>
      <c r="M92" s="2850"/>
      <c r="N92" s="2853"/>
      <c r="O92" s="2850"/>
      <c r="P92" s="2844"/>
    </row>
    <row r="93" spans="1:16" ht="15.75" customHeight="1">
      <c r="A93" s="2843">
        <f t="shared" si="4"/>
        <v>87</v>
      </c>
      <c r="B93" s="2844" t="s">
        <v>3144</v>
      </c>
      <c r="C93" s="2854" t="s">
        <v>3145</v>
      </c>
      <c r="D93" s="2846" t="s">
        <v>2968</v>
      </c>
      <c r="E93" s="2847">
        <v>39034</v>
      </c>
      <c r="F93" s="2848" t="s">
        <v>2969</v>
      </c>
      <c r="G93" s="2857">
        <v>80.06</v>
      </c>
      <c r="H93" s="2850">
        <f t="shared" si="5"/>
        <v>43887.459405445916</v>
      </c>
      <c r="I93" s="2851">
        <v>3513630</v>
      </c>
      <c r="J93" s="2850">
        <f t="shared" si="3"/>
        <v>3513630</v>
      </c>
      <c r="K93" s="2850"/>
      <c r="L93" s="2852"/>
      <c r="M93" s="2850"/>
      <c r="N93" s="2853"/>
      <c r="O93" s="2850"/>
      <c r="P93" s="2844"/>
    </row>
    <row r="94" spans="1:16" ht="15.75" customHeight="1">
      <c r="A94" s="2843">
        <f t="shared" si="4"/>
        <v>88</v>
      </c>
      <c r="B94" s="2844" t="s">
        <v>3146</v>
      </c>
      <c r="C94" s="2854" t="s">
        <v>3147</v>
      </c>
      <c r="D94" s="2846" t="s">
        <v>2968</v>
      </c>
      <c r="E94" s="2847">
        <v>39034</v>
      </c>
      <c r="F94" s="2848" t="s">
        <v>2969</v>
      </c>
      <c r="G94" s="2857">
        <v>80.06</v>
      </c>
      <c r="H94" s="2850">
        <f t="shared" si="5"/>
        <v>43887.459405445916</v>
      </c>
      <c r="I94" s="2851">
        <v>3513630</v>
      </c>
      <c r="J94" s="2850">
        <f t="shared" si="3"/>
        <v>3513630</v>
      </c>
      <c r="K94" s="2850"/>
      <c r="L94" s="2852"/>
      <c r="M94" s="2850"/>
      <c r="N94" s="2853"/>
      <c r="O94" s="2850"/>
      <c r="P94" s="2844"/>
    </row>
    <row r="95" spans="1:16" ht="15.75" customHeight="1">
      <c r="A95" s="2843">
        <f t="shared" si="4"/>
        <v>89</v>
      </c>
      <c r="B95" s="2844" t="s">
        <v>3148</v>
      </c>
      <c r="C95" s="2854" t="s">
        <v>3149</v>
      </c>
      <c r="D95" s="2846" t="s">
        <v>2968</v>
      </c>
      <c r="E95" s="2847">
        <v>39034</v>
      </c>
      <c r="F95" s="2848" t="s">
        <v>2969</v>
      </c>
      <c r="G95" s="2857">
        <v>80.06</v>
      </c>
      <c r="H95" s="2850">
        <f t="shared" si="5"/>
        <v>43887.459405445916</v>
      </c>
      <c r="I95" s="2851">
        <v>3513630</v>
      </c>
      <c r="J95" s="2850">
        <f t="shared" si="3"/>
        <v>3513630</v>
      </c>
      <c r="K95" s="2850"/>
      <c r="L95" s="2852"/>
      <c r="M95" s="2850"/>
      <c r="N95" s="2853"/>
      <c r="O95" s="2850"/>
      <c r="P95" s="2844"/>
    </row>
    <row r="96" spans="1:16" ht="15.75" customHeight="1">
      <c r="A96" s="2843">
        <f t="shared" si="4"/>
        <v>90</v>
      </c>
      <c r="B96" s="2844" t="s">
        <v>3150</v>
      </c>
      <c r="C96" s="2854" t="s">
        <v>3151</v>
      </c>
      <c r="D96" s="2846" t="s">
        <v>2968</v>
      </c>
      <c r="E96" s="2847">
        <v>39034</v>
      </c>
      <c r="F96" s="2848" t="s">
        <v>2969</v>
      </c>
      <c r="G96" s="2857">
        <v>99.81</v>
      </c>
      <c r="H96" s="2850">
        <f t="shared" si="5"/>
        <v>43887.456166716758</v>
      </c>
      <c r="I96" s="2851">
        <v>4380407</v>
      </c>
      <c r="J96" s="2850">
        <f t="shared" si="3"/>
        <v>4380407</v>
      </c>
      <c r="K96" s="2850"/>
      <c r="L96" s="2852"/>
      <c r="M96" s="2850"/>
      <c r="N96" s="2853"/>
      <c r="O96" s="2850"/>
      <c r="P96" s="2844"/>
    </row>
    <row r="97" spans="1:16" ht="15.75" customHeight="1">
      <c r="A97" s="2843">
        <f t="shared" si="4"/>
        <v>91</v>
      </c>
      <c r="B97" s="2844" t="s">
        <v>3152</v>
      </c>
      <c r="C97" s="2854" t="s">
        <v>3153</v>
      </c>
      <c r="D97" s="2846" t="s">
        <v>2968</v>
      </c>
      <c r="E97" s="2847">
        <v>39034</v>
      </c>
      <c r="F97" s="2848" t="s">
        <v>2969</v>
      </c>
      <c r="G97" s="2857">
        <v>83.28</v>
      </c>
      <c r="H97" s="2850">
        <f t="shared" si="5"/>
        <v>43887.451969260328</v>
      </c>
      <c r="I97" s="2851">
        <v>3654947</v>
      </c>
      <c r="J97" s="2850">
        <f t="shared" si="3"/>
        <v>3654947</v>
      </c>
      <c r="K97" s="2850"/>
      <c r="L97" s="2852"/>
      <c r="M97" s="2850"/>
      <c r="N97" s="2853"/>
      <c r="O97" s="2850"/>
      <c r="P97" s="2844"/>
    </row>
    <row r="98" spans="1:16" ht="15.75" customHeight="1">
      <c r="A98" s="2843">
        <f t="shared" si="4"/>
        <v>92</v>
      </c>
      <c r="B98" s="2844" t="s">
        <v>3154</v>
      </c>
      <c r="C98" s="2854" t="s">
        <v>3155</v>
      </c>
      <c r="D98" s="2846" t="s">
        <v>2968</v>
      </c>
      <c r="E98" s="2847">
        <v>39034</v>
      </c>
      <c r="F98" s="2848" t="s">
        <v>2969</v>
      </c>
      <c r="G98" s="2857">
        <v>107.74</v>
      </c>
      <c r="H98" s="2850">
        <f t="shared" si="5"/>
        <v>43887.451271579732</v>
      </c>
      <c r="I98" s="2851">
        <v>4728434</v>
      </c>
      <c r="J98" s="2850">
        <f t="shared" si="3"/>
        <v>4728434</v>
      </c>
      <c r="K98" s="2850"/>
      <c r="L98" s="2852"/>
      <c r="M98" s="2850"/>
      <c r="N98" s="2853"/>
      <c r="O98" s="2850"/>
      <c r="P98" s="2844"/>
    </row>
    <row r="99" spans="1:16" ht="15.75" customHeight="1">
      <c r="A99" s="2843">
        <f t="shared" si="4"/>
        <v>93</v>
      </c>
      <c r="B99" s="2844" t="s">
        <v>3156</v>
      </c>
      <c r="C99" s="2854" t="s">
        <v>3157</v>
      </c>
      <c r="D99" s="2846" t="s">
        <v>2968</v>
      </c>
      <c r="E99" s="2847">
        <v>39034</v>
      </c>
      <c r="F99" s="2848" t="s">
        <v>2969</v>
      </c>
      <c r="G99" s="2857">
        <v>87.64</v>
      </c>
      <c r="H99" s="2850">
        <f t="shared" si="5"/>
        <v>43887.44865358284</v>
      </c>
      <c r="I99" s="2851">
        <v>3846296</v>
      </c>
      <c r="J99" s="2850">
        <f t="shared" si="3"/>
        <v>3846296</v>
      </c>
      <c r="K99" s="2850"/>
      <c r="L99" s="2852"/>
      <c r="M99" s="2850"/>
      <c r="N99" s="2853"/>
      <c r="O99" s="2850"/>
      <c r="P99" s="2844"/>
    </row>
    <row r="100" spans="1:16" ht="15.75" customHeight="1">
      <c r="A100" s="2843">
        <f t="shared" si="4"/>
        <v>94</v>
      </c>
      <c r="B100" s="2844" t="s">
        <v>3158</v>
      </c>
      <c r="C100" s="2854" t="s">
        <v>3159</v>
      </c>
      <c r="D100" s="2846" t="s">
        <v>2968</v>
      </c>
      <c r="E100" s="2847">
        <v>39034</v>
      </c>
      <c r="F100" s="2848" t="s">
        <v>2969</v>
      </c>
      <c r="G100" s="2857">
        <v>80.06</v>
      </c>
      <c r="H100" s="2850">
        <f t="shared" si="5"/>
        <v>43887.459405445916</v>
      </c>
      <c r="I100" s="2851">
        <v>3513630</v>
      </c>
      <c r="J100" s="2850">
        <f t="shared" si="3"/>
        <v>3513630</v>
      </c>
      <c r="K100" s="2850"/>
      <c r="L100" s="2852"/>
      <c r="M100" s="2850"/>
      <c r="N100" s="2853"/>
      <c r="O100" s="2850"/>
      <c r="P100" s="2844"/>
    </row>
    <row r="101" spans="1:16" ht="15.75" customHeight="1">
      <c r="A101" s="2843">
        <f t="shared" si="4"/>
        <v>95</v>
      </c>
      <c r="B101" s="2844" t="s">
        <v>3160</v>
      </c>
      <c r="C101" s="2854" t="s">
        <v>3161</v>
      </c>
      <c r="D101" s="2846" t="s">
        <v>2968</v>
      </c>
      <c r="E101" s="2847">
        <v>39034</v>
      </c>
      <c r="F101" s="2848" t="s">
        <v>2969</v>
      </c>
      <c r="G101" s="2857">
        <v>80.06</v>
      </c>
      <c r="H101" s="2850">
        <f t="shared" si="5"/>
        <v>43887.459405445916</v>
      </c>
      <c r="I101" s="2851">
        <v>3513630</v>
      </c>
      <c r="J101" s="2850">
        <f t="shared" si="3"/>
        <v>3513630</v>
      </c>
      <c r="K101" s="2850"/>
      <c r="L101" s="2852"/>
      <c r="M101" s="2850"/>
      <c r="N101" s="2853"/>
      <c r="O101" s="2850"/>
      <c r="P101" s="2844"/>
    </row>
    <row r="102" spans="1:16" ht="15.75" customHeight="1">
      <c r="A102" s="2843">
        <f t="shared" si="4"/>
        <v>96</v>
      </c>
      <c r="B102" s="2844" t="s">
        <v>3162</v>
      </c>
      <c r="C102" s="2854" t="s">
        <v>3163</v>
      </c>
      <c r="D102" s="2846" t="s">
        <v>2968</v>
      </c>
      <c r="E102" s="2847">
        <v>39034</v>
      </c>
      <c r="F102" s="2848" t="s">
        <v>2969</v>
      </c>
      <c r="G102" s="2857">
        <v>80.06</v>
      </c>
      <c r="H102" s="2850">
        <f t="shared" si="5"/>
        <v>43887.459405445916</v>
      </c>
      <c r="I102" s="2851">
        <v>3513630</v>
      </c>
      <c r="J102" s="2850">
        <f t="shared" si="3"/>
        <v>3513630</v>
      </c>
      <c r="K102" s="2850"/>
      <c r="L102" s="2852"/>
      <c r="M102" s="2850"/>
      <c r="N102" s="2853"/>
      <c r="O102" s="2850"/>
      <c r="P102" s="2844"/>
    </row>
    <row r="103" spans="1:16" ht="15.75" customHeight="1">
      <c r="A103" s="2843">
        <f t="shared" si="4"/>
        <v>97</v>
      </c>
      <c r="B103" s="2844" t="s">
        <v>3164</v>
      </c>
      <c r="C103" s="2854" t="s">
        <v>3165</v>
      </c>
      <c r="D103" s="2846" t="s">
        <v>2968</v>
      </c>
      <c r="E103" s="2847">
        <v>39034</v>
      </c>
      <c r="F103" s="2848" t="s">
        <v>2969</v>
      </c>
      <c r="G103" s="2857">
        <v>99.64</v>
      </c>
      <c r="H103" s="2850">
        <f t="shared" si="5"/>
        <v>43887.454837414691</v>
      </c>
      <c r="I103" s="2851">
        <v>4372946</v>
      </c>
      <c r="J103" s="2850">
        <f t="shared" si="3"/>
        <v>4372946</v>
      </c>
      <c r="K103" s="2850"/>
      <c r="L103" s="2852"/>
      <c r="M103" s="2850"/>
      <c r="N103" s="2853"/>
      <c r="O103" s="2850"/>
      <c r="P103" s="2844"/>
    </row>
    <row r="104" spans="1:16" ht="15.75" customHeight="1">
      <c r="A104" s="2843">
        <f t="shared" si="4"/>
        <v>98</v>
      </c>
      <c r="B104" s="2844" t="s">
        <v>3166</v>
      </c>
      <c r="C104" s="2854" t="s">
        <v>3167</v>
      </c>
      <c r="D104" s="2846" t="s">
        <v>2968</v>
      </c>
      <c r="E104" s="2847">
        <v>39034</v>
      </c>
      <c r="F104" s="2848" t="s">
        <v>2969</v>
      </c>
      <c r="G104" s="2857">
        <v>82.89</v>
      </c>
      <c r="H104" s="2850">
        <f t="shared" si="5"/>
        <v>43887.453251296902</v>
      </c>
      <c r="I104" s="2851">
        <v>3637831</v>
      </c>
      <c r="J104" s="2850">
        <f t="shared" si="3"/>
        <v>3637831</v>
      </c>
      <c r="K104" s="2850"/>
      <c r="L104" s="2852"/>
      <c r="M104" s="2850"/>
      <c r="N104" s="2853"/>
      <c r="O104" s="2850"/>
      <c r="P104" s="2844"/>
    </row>
    <row r="105" spans="1:16" ht="15.75" customHeight="1">
      <c r="A105" s="2843">
        <f t="shared" si="4"/>
        <v>99</v>
      </c>
      <c r="B105" s="2844" t="s">
        <v>3168</v>
      </c>
      <c r="C105" s="2854" t="s">
        <v>3169</v>
      </c>
      <c r="D105" s="2846" t="s">
        <v>2968</v>
      </c>
      <c r="E105" s="2847">
        <v>39034</v>
      </c>
      <c r="F105" s="2848" t="s">
        <v>2969</v>
      </c>
      <c r="G105" s="2857">
        <v>75.83</v>
      </c>
      <c r="H105" s="2850">
        <f t="shared" si="5"/>
        <v>43887.458789397337</v>
      </c>
      <c r="I105" s="2851">
        <v>3327986</v>
      </c>
      <c r="J105" s="2850">
        <f t="shared" si="3"/>
        <v>3327986</v>
      </c>
      <c r="K105" s="2850"/>
      <c r="L105" s="2852"/>
      <c r="M105" s="2850"/>
      <c r="N105" s="2853"/>
      <c r="O105" s="2850"/>
      <c r="P105" s="2844"/>
    </row>
    <row r="106" spans="1:16" ht="15.75" customHeight="1">
      <c r="A106" s="2843">
        <f t="shared" si="4"/>
        <v>100</v>
      </c>
      <c r="B106" s="2844" t="s">
        <v>3170</v>
      </c>
      <c r="C106" s="2854" t="s">
        <v>3171</v>
      </c>
      <c r="D106" s="2846" t="s">
        <v>2968</v>
      </c>
      <c r="E106" s="2847">
        <v>39034</v>
      </c>
      <c r="F106" s="2848" t="s">
        <v>2969</v>
      </c>
      <c r="G106" s="2857">
        <v>88.04</v>
      </c>
      <c r="H106" s="2850">
        <f t="shared" si="5"/>
        <v>43887.448886869599</v>
      </c>
      <c r="I106" s="2851">
        <v>3863851</v>
      </c>
      <c r="J106" s="2850">
        <f t="shared" si="3"/>
        <v>3863851</v>
      </c>
      <c r="K106" s="2850"/>
      <c r="L106" s="2852"/>
      <c r="M106" s="2850"/>
      <c r="N106" s="2853"/>
      <c r="O106" s="2850"/>
      <c r="P106" s="2844"/>
    </row>
    <row r="107" spans="1:16" ht="15.75" customHeight="1">
      <c r="A107" s="2843">
        <f t="shared" si="4"/>
        <v>101</v>
      </c>
      <c r="B107" s="2844" t="s">
        <v>3172</v>
      </c>
      <c r="C107" s="2854" t="s">
        <v>3173</v>
      </c>
      <c r="D107" s="2846" t="s">
        <v>2968</v>
      </c>
      <c r="E107" s="2847">
        <v>39034</v>
      </c>
      <c r="F107" s="2848" t="s">
        <v>2969</v>
      </c>
      <c r="G107" s="2857">
        <v>80.06</v>
      </c>
      <c r="H107" s="2850">
        <f t="shared" si="5"/>
        <v>43887.459405445916</v>
      </c>
      <c r="I107" s="2851">
        <v>3513630</v>
      </c>
      <c r="J107" s="2850">
        <f t="shared" si="3"/>
        <v>3513630</v>
      </c>
      <c r="K107" s="2850"/>
      <c r="L107" s="2852"/>
      <c r="M107" s="2850"/>
      <c r="N107" s="2853"/>
      <c r="O107" s="2850"/>
      <c r="P107" s="2844"/>
    </row>
    <row r="108" spans="1:16" ht="15.75" customHeight="1">
      <c r="A108" s="2843">
        <f t="shared" si="4"/>
        <v>102</v>
      </c>
      <c r="B108" s="2844" t="s">
        <v>3174</v>
      </c>
      <c r="C108" s="2854" t="s">
        <v>3175</v>
      </c>
      <c r="D108" s="2846" t="s">
        <v>2968</v>
      </c>
      <c r="E108" s="2847">
        <v>39034</v>
      </c>
      <c r="F108" s="2848" t="s">
        <v>2969</v>
      </c>
      <c r="G108" s="2857">
        <v>80.06</v>
      </c>
      <c r="H108" s="2850">
        <f t="shared" si="5"/>
        <v>43887.459405445916</v>
      </c>
      <c r="I108" s="2851">
        <v>3513630</v>
      </c>
      <c r="J108" s="2850">
        <f t="shared" si="3"/>
        <v>3513630</v>
      </c>
      <c r="K108" s="2850"/>
      <c r="L108" s="2852"/>
      <c r="M108" s="2850"/>
      <c r="N108" s="2853"/>
      <c r="O108" s="2850"/>
      <c r="P108" s="2844"/>
    </row>
    <row r="109" spans="1:16" ht="15.75" customHeight="1">
      <c r="A109" s="2843">
        <f t="shared" si="4"/>
        <v>103</v>
      </c>
      <c r="B109" s="2844" t="s">
        <v>3176</v>
      </c>
      <c r="C109" s="2854" t="s">
        <v>3177</v>
      </c>
      <c r="D109" s="2846" t="s">
        <v>2968</v>
      </c>
      <c r="E109" s="2847">
        <v>39034</v>
      </c>
      <c r="F109" s="2848" t="s">
        <v>2969</v>
      </c>
      <c r="G109" s="2857">
        <v>80.06</v>
      </c>
      <c r="H109" s="2850">
        <f t="shared" si="5"/>
        <v>43887.459405445916</v>
      </c>
      <c r="I109" s="2851">
        <v>3513630</v>
      </c>
      <c r="J109" s="2850">
        <f t="shared" si="3"/>
        <v>3513630</v>
      </c>
      <c r="K109" s="2850"/>
      <c r="L109" s="2852"/>
      <c r="M109" s="2850"/>
      <c r="N109" s="2853"/>
      <c r="O109" s="2850"/>
      <c r="P109" s="2844"/>
    </row>
    <row r="110" spans="1:16" ht="15.75" customHeight="1">
      <c r="A110" s="2843">
        <f t="shared" si="4"/>
        <v>104</v>
      </c>
      <c r="B110" s="2844" t="s">
        <v>3178</v>
      </c>
      <c r="C110" s="2854" t="s">
        <v>3179</v>
      </c>
      <c r="D110" s="2846" t="s">
        <v>2968</v>
      </c>
      <c r="E110" s="2847">
        <v>39034</v>
      </c>
      <c r="F110" s="2848" t="s">
        <v>2969</v>
      </c>
      <c r="G110" s="2857">
        <v>99.81</v>
      </c>
      <c r="H110" s="2850">
        <f t="shared" si="5"/>
        <v>43887.456166716758</v>
      </c>
      <c r="I110" s="2851">
        <v>4380407</v>
      </c>
      <c r="J110" s="2850">
        <f t="shared" si="3"/>
        <v>4380407</v>
      </c>
      <c r="K110" s="2850"/>
      <c r="L110" s="2852"/>
      <c r="M110" s="2850"/>
      <c r="N110" s="2853"/>
      <c r="O110" s="2850"/>
      <c r="P110" s="2844"/>
    </row>
    <row r="111" spans="1:16" ht="15.75" customHeight="1">
      <c r="A111" s="2843">
        <f t="shared" si="4"/>
        <v>105</v>
      </c>
      <c r="B111" s="2844" t="s">
        <v>3180</v>
      </c>
      <c r="C111" s="2854" t="s">
        <v>3181</v>
      </c>
      <c r="D111" s="2846" t="s">
        <v>2968</v>
      </c>
      <c r="E111" s="2847">
        <v>39034</v>
      </c>
      <c r="F111" s="2848" t="s">
        <v>2969</v>
      </c>
      <c r="G111" s="2857">
        <v>83.28</v>
      </c>
      <c r="H111" s="2850">
        <f t="shared" si="5"/>
        <v>43887.451969260328</v>
      </c>
      <c r="I111" s="2851">
        <v>3654947</v>
      </c>
      <c r="J111" s="2850">
        <f t="shared" si="3"/>
        <v>3654947</v>
      </c>
      <c r="K111" s="2850"/>
      <c r="L111" s="2852"/>
      <c r="M111" s="2850"/>
      <c r="N111" s="2853"/>
      <c r="O111" s="2850"/>
      <c r="P111" s="2844"/>
    </row>
    <row r="112" spans="1:16" ht="15.75" customHeight="1">
      <c r="A112" s="2843">
        <f t="shared" si="4"/>
        <v>106</v>
      </c>
      <c r="B112" s="2844" t="s">
        <v>3182</v>
      </c>
      <c r="C112" s="2854" t="s">
        <v>3183</v>
      </c>
      <c r="D112" s="2846" t="s">
        <v>2968</v>
      </c>
      <c r="E112" s="2847">
        <v>39034</v>
      </c>
      <c r="F112" s="2848" t="s">
        <v>2969</v>
      </c>
      <c r="G112" s="2857">
        <v>107.74</v>
      </c>
      <c r="H112" s="2850">
        <f t="shared" si="5"/>
        <v>43887.451271579732</v>
      </c>
      <c r="I112" s="2851">
        <v>4728434</v>
      </c>
      <c r="J112" s="2850">
        <f t="shared" si="3"/>
        <v>4728434</v>
      </c>
      <c r="K112" s="2850"/>
      <c r="L112" s="2852"/>
      <c r="M112" s="2850"/>
      <c r="N112" s="2853"/>
      <c r="O112" s="2850"/>
      <c r="P112" s="2844"/>
    </row>
    <row r="113" spans="1:16" ht="15.75" customHeight="1">
      <c r="A113" s="2843">
        <f t="shared" si="4"/>
        <v>107</v>
      </c>
      <c r="B113" s="2844" t="s">
        <v>3184</v>
      </c>
      <c r="C113" s="2854" t="s">
        <v>3185</v>
      </c>
      <c r="D113" s="2846" t="s">
        <v>2968</v>
      </c>
      <c r="E113" s="2847">
        <v>39034</v>
      </c>
      <c r="F113" s="2848" t="s">
        <v>2969</v>
      </c>
      <c r="G113" s="2857">
        <v>87.64</v>
      </c>
      <c r="H113" s="2850">
        <f t="shared" si="5"/>
        <v>43887.44865358284</v>
      </c>
      <c r="I113" s="2851">
        <v>3846296</v>
      </c>
      <c r="J113" s="2850">
        <f t="shared" si="3"/>
        <v>3846296</v>
      </c>
      <c r="K113" s="2850"/>
      <c r="L113" s="2852"/>
      <c r="M113" s="2850"/>
      <c r="N113" s="2853"/>
      <c r="O113" s="2850"/>
      <c r="P113" s="2844"/>
    </row>
    <row r="114" spans="1:16" ht="15.75" customHeight="1">
      <c r="A114" s="2843">
        <f t="shared" si="4"/>
        <v>108</v>
      </c>
      <c r="B114" s="2844" t="s">
        <v>3186</v>
      </c>
      <c r="C114" s="2854" t="s">
        <v>3187</v>
      </c>
      <c r="D114" s="2846" t="s">
        <v>2968</v>
      </c>
      <c r="E114" s="2847">
        <v>39034</v>
      </c>
      <c r="F114" s="2848" t="s">
        <v>2969</v>
      </c>
      <c r="G114" s="2857">
        <v>80.06</v>
      </c>
      <c r="H114" s="2850">
        <f t="shared" si="5"/>
        <v>43887.459405445916</v>
      </c>
      <c r="I114" s="2851">
        <v>3513630</v>
      </c>
      <c r="J114" s="2850">
        <f t="shared" si="3"/>
        <v>3513630</v>
      </c>
      <c r="K114" s="2850"/>
      <c r="L114" s="2852"/>
      <c r="M114" s="2850"/>
      <c r="N114" s="2853"/>
      <c r="O114" s="2850"/>
      <c r="P114" s="2844"/>
    </row>
    <row r="115" spans="1:16" ht="15.75" customHeight="1">
      <c r="A115" s="2843">
        <f t="shared" si="4"/>
        <v>109</v>
      </c>
      <c r="B115" s="2844" t="s">
        <v>3188</v>
      </c>
      <c r="C115" s="2854" t="s">
        <v>3189</v>
      </c>
      <c r="D115" s="2846" t="s">
        <v>2968</v>
      </c>
      <c r="E115" s="2847">
        <v>39034</v>
      </c>
      <c r="F115" s="2848" t="s">
        <v>2969</v>
      </c>
      <c r="G115" s="2857">
        <v>80.06</v>
      </c>
      <c r="H115" s="2850">
        <f t="shared" si="5"/>
        <v>43887.459405445916</v>
      </c>
      <c r="I115" s="2851">
        <v>3513630</v>
      </c>
      <c r="J115" s="2850">
        <f t="shared" si="3"/>
        <v>3513630</v>
      </c>
      <c r="K115" s="2850"/>
      <c r="L115" s="2852"/>
      <c r="M115" s="2850"/>
      <c r="N115" s="2853"/>
      <c r="O115" s="2850"/>
      <c r="P115" s="2844"/>
    </row>
    <row r="116" spans="1:16" ht="15.75" customHeight="1">
      <c r="A116" s="2843">
        <f t="shared" si="4"/>
        <v>110</v>
      </c>
      <c r="B116" s="2844" t="s">
        <v>3190</v>
      </c>
      <c r="C116" s="2854" t="s">
        <v>3191</v>
      </c>
      <c r="D116" s="2846" t="s">
        <v>2968</v>
      </c>
      <c r="E116" s="2847">
        <v>39034</v>
      </c>
      <c r="F116" s="2848" t="s">
        <v>2969</v>
      </c>
      <c r="G116" s="2857">
        <v>80.06</v>
      </c>
      <c r="H116" s="2850">
        <f t="shared" si="5"/>
        <v>43887.459405445916</v>
      </c>
      <c r="I116" s="2851">
        <v>3513630</v>
      </c>
      <c r="J116" s="2850">
        <f t="shared" si="3"/>
        <v>3513630</v>
      </c>
      <c r="K116" s="2850"/>
      <c r="L116" s="2852"/>
      <c r="M116" s="2850"/>
      <c r="N116" s="2853"/>
      <c r="O116" s="2850"/>
      <c r="P116" s="2844"/>
    </row>
    <row r="117" spans="1:16" ht="15.75" customHeight="1">
      <c r="A117" s="2843">
        <f t="shared" si="4"/>
        <v>111</v>
      </c>
      <c r="B117" s="2844" t="s">
        <v>3192</v>
      </c>
      <c r="C117" s="2854" t="s">
        <v>3193</v>
      </c>
      <c r="D117" s="2846" t="s">
        <v>2982</v>
      </c>
      <c r="E117" s="2847">
        <v>39034</v>
      </c>
      <c r="F117" s="2848" t="s">
        <v>2983</v>
      </c>
      <c r="G117" s="2857">
        <v>99.64</v>
      </c>
      <c r="H117" s="2850">
        <f t="shared" si="5"/>
        <v>43887.454837414691</v>
      </c>
      <c r="I117" s="2851">
        <v>4372946</v>
      </c>
      <c r="J117" s="2850">
        <f t="shared" si="3"/>
        <v>4372946</v>
      </c>
      <c r="K117" s="2850"/>
      <c r="L117" s="2852"/>
      <c r="M117" s="2850"/>
      <c r="N117" s="2853"/>
      <c r="O117" s="2850"/>
      <c r="P117" s="2844"/>
    </row>
    <row r="118" spans="1:16" ht="15.75" customHeight="1">
      <c r="A118" s="2843">
        <f t="shared" si="4"/>
        <v>112</v>
      </c>
      <c r="B118" s="2844" t="s">
        <v>3194</v>
      </c>
      <c r="C118" s="2854" t="s">
        <v>3195</v>
      </c>
      <c r="D118" s="2846" t="s">
        <v>2982</v>
      </c>
      <c r="E118" s="2847">
        <v>39034</v>
      </c>
      <c r="F118" s="2848" t="s">
        <v>2983</v>
      </c>
      <c r="G118" s="2857">
        <v>82.89</v>
      </c>
      <c r="H118" s="2850">
        <f t="shared" si="5"/>
        <v>43887.453251296902</v>
      </c>
      <c r="I118" s="2851">
        <v>3637831</v>
      </c>
      <c r="J118" s="2850">
        <f t="shared" si="3"/>
        <v>3637831</v>
      </c>
      <c r="K118" s="2850"/>
      <c r="L118" s="2852"/>
      <c r="M118" s="2850"/>
      <c r="N118" s="2853"/>
      <c r="O118" s="2850"/>
      <c r="P118" s="2844"/>
    </row>
    <row r="119" spans="1:16" ht="15.75" customHeight="1">
      <c r="A119" s="2843">
        <f t="shared" si="4"/>
        <v>113</v>
      </c>
      <c r="B119" s="2844" t="s">
        <v>3196</v>
      </c>
      <c r="C119" s="2854" t="s">
        <v>3197</v>
      </c>
      <c r="D119" s="2846" t="s">
        <v>2982</v>
      </c>
      <c r="E119" s="2847">
        <v>39034</v>
      </c>
      <c r="F119" s="2848" t="s">
        <v>2983</v>
      </c>
      <c r="G119" s="2857">
        <v>75.83</v>
      </c>
      <c r="H119" s="2850">
        <f t="shared" si="5"/>
        <v>43887.458789397337</v>
      </c>
      <c r="I119" s="2851">
        <v>3327986</v>
      </c>
      <c r="J119" s="2850">
        <f t="shared" si="3"/>
        <v>3327986</v>
      </c>
      <c r="K119" s="2850"/>
      <c r="L119" s="2852"/>
      <c r="M119" s="2850"/>
      <c r="N119" s="2853"/>
      <c r="O119" s="2850"/>
      <c r="P119" s="2844"/>
    </row>
    <row r="120" spans="1:16" ht="15.75" customHeight="1">
      <c r="A120" s="2843">
        <f t="shared" si="4"/>
        <v>114</v>
      </c>
      <c r="B120" s="2844" t="s">
        <v>3198</v>
      </c>
      <c r="C120" s="2854" t="s">
        <v>3199</v>
      </c>
      <c r="D120" s="2846" t="s">
        <v>2982</v>
      </c>
      <c r="E120" s="2847">
        <v>39034</v>
      </c>
      <c r="F120" s="2848" t="s">
        <v>2983</v>
      </c>
      <c r="G120" s="2857">
        <v>88.04</v>
      </c>
      <c r="H120" s="2850">
        <f t="shared" si="5"/>
        <v>43887.448886869599</v>
      </c>
      <c r="I120" s="2851">
        <v>3863851</v>
      </c>
      <c r="J120" s="2850">
        <f t="shared" si="3"/>
        <v>3863851</v>
      </c>
      <c r="K120" s="2850"/>
      <c r="L120" s="2852"/>
      <c r="M120" s="2850"/>
      <c r="N120" s="2853"/>
      <c r="O120" s="2850"/>
      <c r="P120" s="2844"/>
    </row>
    <row r="121" spans="1:16" ht="15.75" customHeight="1">
      <c r="A121" s="2843">
        <f t="shared" si="4"/>
        <v>115</v>
      </c>
      <c r="B121" s="2844" t="s">
        <v>3200</v>
      </c>
      <c r="C121" s="2854" t="s">
        <v>3201</v>
      </c>
      <c r="D121" s="2846" t="s">
        <v>2982</v>
      </c>
      <c r="E121" s="2847">
        <v>39034</v>
      </c>
      <c r="F121" s="2848" t="s">
        <v>2983</v>
      </c>
      <c r="G121" s="2857">
        <v>80.06</v>
      </c>
      <c r="H121" s="2850">
        <f t="shared" si="5"/>
        <v>43887.459405445916</v>
      </c>
      <c r="I121" s="2851">
        <v>3513630</v>
      </c>
      <c r="J121" s="2850">
        <f t="shared" si="3"/>
        <v>3513630</v>
      </c>
      <c r="K121" s="2850"/>
      <c r="L121" s="2852"/>
      <c r="M121" s="2850"/>
      <c r="N121" s="2853"/>
      <c r="O121" s="2850"/>
      <c r="P121" s="2844"/>
    </row>
    <row r="122" spans="1:16" ht="15.75" customHeight="1">
      <c r="A122" s="2843">
        <f t="shared" si="4"/>
        <v>116</v>
      </c>
      <c r="B122" s="2844" t="s">
        <v>3202</v>
      </c>
      <c r="C122" s="2854" t="s">
        <v>3203</v>
      </c>
      <c r="D122" s="2846" t="s">
        <v>2982</v>
      </c>
      <c r="E122" s="2847">
        <v>39034</v>
      </c>
      <c r="F122" s="2848" t="s">
        <v>2983</v>
      </c>
      <c r="G122" s="2857">
        <v>80.06</v>
      </c>
      <c r="H122" s="2850">
        <f t="shared" si="5"/>
        <v>43887.459405445916</v>
      </c>
      <c r="I122" s="2851">
        <v>3513630</v>
      </c>
      <c r="J122" s="2850">
        <f t="shared" si="3"/>
        <v>3513630</v>
      </c>
      <c r="K122" s="2850"/>
      <c r="L122" s="2852"/>
      <c r="M122" s="2850"/>
      <c r="N122" s="2853"/>
      <c r="O122" s="2850"/>
      <c r="P122" s="2844"/>
    </row>
    <row r="123" spans="1:16" ht="15.75" customHeight="1">
      <c r="A123" s="2843">
        <f t="shared" si="4"/>
        <v>117</v>
      </c>
      <c r="B123" s="2844" t="s">
        <v>3204</v>
      </c>
      <c r="C123" s="2854" t="s">
        <v>3205</v>
      </c>
      <c r="D123" s="2846" t="s">
        <v>2982</v>
      </c>
      <c r="E123" s="2847">
        <v>39034</v>
      </c>
      <c r="F123" s="2848" t="s">
        <v>2983</v>
      </c>
      <c r="G123" s="2857">
        <v>80.06</v>
      </c>
      <c r="H123" s="2850">
        <f t="shared" si="5"/>
        <v>43887.459405445916</v>
      </c>
      <c r="I123" s="2851">
        <v>3513630</v>
      </c>
      <c r="J123" s="2850">
        <f t="shared" si="3"/>
        <v>3513630</v>
      </c>
      <c r="K123" s="2850"/>
      <c r="L123" s="2852"/>
      <c r="M123" s="2850"/>
      <c r="N123" s="2853"/>
      <c r="O123" s="2850"/>
      <c r="P123" s="2844"/>
    </row>
    <row r="124" spans="1:16" ht="15.75" customHeight="1">
      <c r="A124" s="2843">
        <f t="shared" si="4"/>
        <v>118</v>
      </c>
      <c r="B124" s="2844" t="s">
        <v>3206</v>
      </c>
      <c r="C124" s="2854" t="s">
        <v>3207</v>
      </c>
      <c r="D124" s="2846" t="s">
        <v>2982</v>
      </c>
      <c r="E124" s="2847">
        <v>39034</v>
      </c>
      <c r="F124" s="2848" t="s">
        <v>2983</v>
      </c>
      <c r="G124" s="2857">
        <v>99.81</v>
      </c>
      <c r="H124" s="2850">
        <f t="shared" si="5"/>
        <v>43887.456166716758</v>
      </c>
      <c r="I124" s="2851">
        <v>4380407</v>
      </c>
      <c r="J124" s="2850">
        <f t="shared" si="3"/>
        <v>4380407</v>
      </c>
      <c r="K124" s="2850"/>
      <c r="L124" s="2852"/>
      <c r="M124" s="2850"/>
      <c r="N124" s="2853"/>
      <c r="O124" s="2850"/>
      <c r="P124" s="2844"/>
    </row>
    <row r="125" spans="1:16" ht="15.75" customHeight="1">
      <c r="A125" s="2843">
        <f t="shared" si="4"/>
        <v>119</v>
      </c>
      <c r="B125" s="2844" t="s">
        <v>3208</v>
      </c>
      <c r="C125" s="2854" t="s">
        <v>3209</v>
      </c>
      <c r="D125" s="2846" t="s">
        <v>2982</v>
      </c>
      <c r="E125" s="2847">
        <v>39034</v>
      </c>
      <c r="F125" s="2848" t="s">
        <v>2983</v>
      </c>
      <c r="G125" s="2857">
        <v>83.28</v>
      </c>
      <c r="H125" s="2850">
        <f t="shared" si="5"/>
        <v>43887.451969260328</v>
      </c>
      <c r="I125" s="2851">
        <v>3654947</v>
      </c>
      <c r="J125" s="2850">
        <f t="shared" si="3"/>
        <v>3654947</v>
      </c>
      <c r="K125" s="2850"/>
      <c r="L125" s="2852"/>
      <c r="M125" s="2850"/>
      <c r="N125" s="2853"/>
      <c r="O125" s="2850"/>
      <c r="P125" s="2844"/>
    </row>
    <row r="126" spans="1:16" ht="15.75" customHeight="1">
      <c r="A126" s="2843">
        <f t="shared" si="4"/>
        <v>120</v>
      </c>
      <c r="B126" s="2844" t="s">
        <v>3210</v>
      </c>
      <c r="C126" s="2854" t="s">
        <v>3211</v>
      </c>
      <c r="D126" s="2846" t="s">
        <v>2982</v>
      </c>
      <c r="E126" s="2847">
        <v>39034</v>
      </c>
      <c r="F126" s="2848" t="s">
        <v>2983</v>
      </c>
      <c r="G126" s="2857">
        <v>107.74</v>
      </c>
      <c r="H126" s="2850">
        <f t="shared" si="5"/>
        <v>43887.451271579732</v>
      </c>
      <c r="I126" s="2851">
        <v>4728434</v>
      </c>
      <c r="J126" s="2850">
        <f t="shared" si="3"/>
        <v>4728434</v>
      </c>
      <c r="K126" s="2850"/>
      <c r="L126" s="2852"/>
      <c r="M126" s="2850"/>
      <c r="N126" s="2853"/>
      <c r="O126" s="2850"/>
      <c r="P126" s="2844"/>
    </row>
    <row r="127" spans="1:16" ht="15.75" customHeight="1">
      <c r="A127" s="2843">
        <f t="shared" si="4"/>
        <v>121</v>
      </c>
      <c r="B127" s="2844" t="s">
        <v>3212</v>
      </c>
      <c r="C127" s="2854" t="s">
        <v>3213</v>
      </c>
      <c r="D127" s="2846" t="s">
        <v>2982</v>
      </c>
      <c r="E127" s="2847">
        <v>39034</v>
      </c>
      <c r="F127" s="2848" t="s">
        <v>2983</v>
      </c>
      <c r="G127" s="2857">
        <v>87.64</v>
      </c>
      <c r="H127" s="2850">
        <f t="shared" si="5"/>
        <v>43887.44865358284</v>
      </c>
      <c r="I127" s="2851">
        <v>3846296</v>
      </c>
      <c r="J127" s="2850">
        <f t="shared" si="3"/>
        <v>3846296</v>
      </c>
      <c r="K127" s="2850"/>
      <c r="L127" s="2852"/>
      <c r="M127" s="2850"/>
      <c r="N127" s="2853"/>
      <c r="O127" s="2850"/>
      <c r="P127" s="2844"/>
    </row>
    <row r="128" spans="1:16" ht="15.75" customHeight="1">
      <c r="A128" s="2843">
        <f t="shared" si="4"/>
        <v>122</v>
      </c>
      <c r="B128" s="2844" t="s">
        <v>3214</v>
      </c>
      <c r="C128" s="2854" t="s">
        <v>3215</v>
      </c>
      <c r="D128" s="2846" t="s">
        <v>2982</v>
      </c>
      <c r="E128" s="2847">
        <v>39034</v>
      </c>
      <c r="F128" s="2848" t="s">
        <v>2983</v>
      </c>
      <c r="G128" s="2857">
        <v>80.06</v>
      </c>
      <c r="H128" s="2850">
        <f t="shared" si="5"/>
        <v>43887.459405445916</v>
      </c>
      <c r="I128" s="2851">
        <v>3513630</v>
      </c>
      <c r="J128" s="2850">
        <f t="shared" si="3"/>
        <v>3513630</v>
      </c>
      <c r="K128" s="2850"/>
      <c r="L128" s="2852"/>
      <c r="M128" s="2850"/>
      <c r="N128" s="2853"/>
      <c r="O128" s="2850"/>
      <c r="P128" s="2844"/>
    </row>
    <row r="129" spans="1:16" ht="15.75" customHeight="1">
      <c r="A129" s="2843">
        <f t="shared" si="4"/>
        <v>123</v>
      </c>
      <c r="B129" s="2844" t="s">
        <v>3216</v>
      </c>
      <c r="C129" s="2854" t="s">
        <v>3217</v>
      </c>
      <c r="D129" s="2846" t="s">
        <v>2982</v>
      </c>
      <c r="E129" s="2847">
        <v>39034</v>
      </c>
      <c r="F129" s="2848" t="s">
        <v>2983</v>
      </c>
      <c r="G129" s="2857">
        <v>80.06</v>
      </c>
      <c r="H129" s="2850">
        <f t="shared" si="5"/>
        <v>43887.459405445916</v>
      </c>
      <c r="I129" s="2851">
        <v>3513630</v>
      </c>
      <c r="J129" s="2850">
        <f t="shared" si="3"/>
        <v>3513630</v>
      </c>
      <c r="K129" s="2850"/>
      <c r="L129" s="2852"/>
      <c r="M129" s="2850"/>
      <c r="N129" s="2853"/>
      <c r="O129" s="2850"/>
      <c r="P129" s="2844"/>
    </row>
    <row r="130" spans="1:16" ht="15.75" customHeight="1">
      <c r="A130" s="2843">
        <f t="shared" si="4"/>
        <v>124</v>
      </c>
      <c r="B130" s="2844" t="s">
        <v>3218</v>
      </c>
      <c r="C130" s="2854" t="s">
        <v>3219</v>
      </c>
      <c r="D130" s="2846" t="s">
        <v>2982</v>
      </c>
      <c r="E130" s="2847">
        <v>39034</v>
      </c>
      <c r="F130" s="2848" t="s">
        <v>2983</v>
      </c>
      <c r="G130" s="2857">
        <v>80.06</v>
      </c>
      <c r="H130" s="2850">
        <f t="shared" si="5"/>
        <v>43887.459405445916</v>
      </c>
      <c r="I130" s="2851">
        <v>3513630</v>
      </c>
      <c r="J130" s="2850">
        <f t="shared" si="3"/>
        <v>3513630</v>
      </c>
      <c r="K130" s="2850"/>
      <c r="L130" s="2852"/>
      <c r="M130" s="2850"/>
      <c r="N130" s="2853"/>
      <c r="O130" s="2850"/>
      <c r="P130" s="2844"/>
    </row>
    <row r="131" spans="1:16" ht="15.75" customHeight="1">
      <c r="A131" s="2843">
        <f t="shared" si="4"/>
        <v>125</v>
      </c>
      <c r="B131" s="2844" t="s">
        <v>3220</v>
      </c>
      <c r="C131" s="2854" t="s">
        <v>3221</v>
      </c>
      <c r="D131" s="2846" t="s">
        <v>2982</v>
      </c>
      <c r="E131" s="2847">
        <v>39034</v>
      </c>
      <c r="F131" s="2848" t="s">
        <v>2983</v>
      </c>
      <c r="G131" s="2857">
        <v>99.64</v>
      </c>
      <c r="H131" s="2850">
        <f t="shared" si="5"/>
        <v>43887.454837414691</v>
      </c>
      <c r="I131" s="2851">
        <v>4372946</v>
      </c>
      <c r="J131" s="2850">
        <f t="shared" si="3"/>
        <v>4372946</v>
      </c>
      <c r="K131" s="2850"/>
      <c r="L131" s="2852"/>
      <c r="M131" s="2850"/>
      <c r="N131" s="2853"/>
      <c r="O131" s="2850"/>
      <c r="P131" s="2844"/>
    </row>
    <row r="132" spans="1:16" ht="15.75" customHeight="1">
      <c r="A132" s="2843">
        <f t="shared" si="4"/>
        <v>126</v>
      </c>
      <c r="B132" s="2844" t="s">
        <v>3222</v>
      </c>
      <c r="C132" s="2854" t="s">
        <v>3223</v>
      </c>
      <c r="D132" s="2846" t="s">
        <v>2982</v>
      </c>
      <c r="E132" s="2847">
        <v>39034</v>
      </c>
      <c r="F132" s="2848" t="s">
        <v>2983</v>
      </c>
      <c r="G132" s="2857">
        <v>82.89</v>
      </c>
      <c r="H132" s="2850">
        <f t="shared" si="5"/>
        <v>43887.453251296902</v>
      </c>
      <c r="I132" s="2851">
        <v>3637831</v>
      </c>
      <c r="J132" s="2850">
        <f t="shared" si="3"/>
        <v>3637831</v>
      </c>
      <c r="K132" s="2850"/>
      <c r="L132" s="2852"/>
      <c r="M132" s="2850"/>
      <c r="N132" s="2853"/>
      <c r="O132" s="2850"/>
      <c r="P132" s="2844"/>
    </row>
    <row r="133" spans="1:16" ht="15.75" customHeight="1">
      <c r="A133" s="2843">
        <f t="shared" si="4"/>
        <v>127</v>
      </c>
      <c r="B133" s="2844" t="s">
        <v>3224</v>
      </c>
      <c r="C133" s="2854" t="s">
        <v>3225</v>
      </c>
      <c r="D133" s="2846" t="s">
        <v>2982</v>
      </c>
      <c r="E133" s="2847">
        <v>39034</v>
      </c>
      <c r="F133" s="2848" t="s">
        <v>2983</v>
      </c>
      <c r="G133" s="2857">
        <v>75.83</v>
      </c>
      <c r="H133" s="2850">
        <f t="shared" si="5"/>
        <v>43887.458789397337</v>
      </c>
      <c r="I133" s="2851">
        <v>3327986</v>
      </c>
      <c r="J133" s="2850">
        <f t="shared" si="3"/>
        <v>3327986</v>
      </c>
      <c r="K133" s="2850"/>
      <c r="L133" s="2852"/>
      <c r="M133" s="2850"/>
      <c r="N133" s="2853"/>
      <c r="O133" s="2850"/>
      <c r="P133" s="2844"/>
    </row>
    <row r="134" spans="1:16" ht="15.75" customHeight="1">
      <c r="A134" s="2843">
        <f t="shared" si="4"/>
        <v>128</v>
      </c>
      <c r="B134" s="2844" t="s">
        <v>3226</v>
      </c>
      <c r="C134" s="2854" t="s">
        <v>3227</v>
      </c>
      <c r="D134" s="2846" t="s">
        <v>2982</v>
      </c>
      <c r="E134" s="2847">
        <v>39034</v>
      </c>
      <c r="F134" s="2848" t="s">
        <v>2983</v>
      </c>
      <c r="G134" s="2857">
        <v>88.04</v>
      </c>
      <c r="H134" s="2850">
        <f t="shared" si="5"/>
        <v>43887.448886869599</v>
      </c>
      <c r="I134" s="2851">
        <v>3863851</v>
      </c>
      <c r="J134" s="2850">
        <f t="shared" si="3"/>
        <v>3863851</v>
      </c>
      <c r="K134" s="2850"/>
      <c r="L134" s="2852"/>
      <c r="M134" s="2850"/>
      <c r="N134" s="2853"/>
      <c r="O134" s="2850"/>
      <c r="P134" s="2844"/>
    </row>
    <row r="135" spans="1:16" ht="15.75" customHeight="1">
      <c r="A135" s="2843">
        <f t="shared" si="4"/>
        <v>129</v>
      </c>
      <c r="B135" s="2844" t="s">
        <v>3228</v>
      </c>
      <c r="C135" s="2854" t="s">
        <v>3229</v>
      </c>
      <c r="D135" s="2846" t="s">
        <v>2982</v>
      </c>
      <c r="E135" s="2847">
        <v>39034</v>
      </c>
      <c r="F135" s="2848" t="s">
        <v>2983</v>
      </c>
      <c r="G135" s="2857">
        <v>80.06</v>
      </c>
      <c r="H135" s="2850">
        <f t="shared" si="5"/>
        <v>43887.459405445916</v>
      </c>
      <c r="I135" s="2851">
        <v>3513630</v>
      </c>
      <c r="J135" s="2850">
        <f t="shared" si="3"/>
        <v>3513630</v>
      </c>
      <c r="K135" s="2850"/>
      <c r="L135" s="2852"/>
      <c r="M135" s="2850"/>
      <c r="N135" s="2853"/>
      <c r="O135" s="2850"/>
      <c r="P135" s="2844"/>
    </row>
    <row r="136" spans="1:16" ht="15.75" customHeight="1">
      <c r="A136" s="2843">
        <f t="shared" si="4"/>
        <v>130</v>
      </c>
      <c r="B136" s="2844" t="s">
        <v>3230</v>
      </c>
      <c r="C136" s="2854" t="s">
        <v>3231</v>
      </c>
      <c r="D136" s="2846" t="s">
        <v>2982</v>
      </c>
      <c r="E136" s="2847">
        <v>39034</v>
      </c>
      <c r="F136" s="2848" t="s">
        <v>2983</v>
      </c>
      <c r="G136" s="2857">
        <v>80.06</v>
      </c>
      <c r="H136" s="2850">
        <f t="shared" si="5"/>
        <v>43887.459405445916</v>
      </c>
      <c r="I136" s="2851">
        <v>3513630</v>
      </c>
      <c r="J136" s="2850">
        <f t="shared" ref="J136:J199" si="6">I136</f>
        <v>3513630</v>
      </c>
      <c r="K136" s="2850"/>
      <c r="L136" s="2852"/>
      <c r="M136" s="2850"/>
      <c r="N136" s="2853"/>
      <c r="O136" s="2850"/>
      <c r="P136" s="2844"/>
    </row>
    <row r="137" spans="1:16" ht="15.75" customHeight="1">
      <c r="A137" s="2843">
        <f t="shared" ref="A137:A200" si="7">A136+1</f>
        <v>131</v>
      </c>
      <c r="B137" s="2844" t="s">
        <v>3232</v>
      </c>
      <c r="C137" s="2854" t="s">
        <v>3233</v>
      </c>
      <c r="D137" s="2846" t="s">
        <v>2982</v>
      </c>
      <c r="E137" s="2847">
        <v>39034</v>
      </c>
      <c r="F137" s="2848" t="s">
        <v>2983</v>
      </c>
      <c r="G137" s="2857">
        <v>80.06</v>
      </c>
      <c r="H137" s="2850">
        <f t="shared" ref="H137:H200" si="8">I137/G137</f>
        <v>43887.459405445916</v>
      </c>
      <c r="I137" s="2851">
        <v>3513630</v>
      </c>
      <c r="J137" s="2850">
        <f t="shared" si="6"/>
        <v>3513630</v>
      </c>
      <c r="K137" s="2850"/>
      <c r="L137" s="2852"/>
      <c r="M137" s="2850"/>
      <c r="N137" s="2853"/>
      <c r="O137" s="2850"/>
      <c r="P137" s="2844"/>
    </row>
    <row r="138" spans="1:16" ht="15.75" customHeight="1">
      <c r="A138" s="2843">
        <f t="shared" si="7"/>
        <v>132</v>
      </c>
      <c r="B138" s="2844" t="s">
        <v>3234</v>
      </c>
      <c r="C138" s="2854" t="s">
        <v>3235</v>
      </c>
      <c r="D138" s="2846" t="s">
        <v>2982</v>
      </c>
      <c r="E138" s="2847">
        <v>39034</v>
      </c>
      <c r="F138" s="2848" t="s">
        <v>2983</v>
      </c>
      <c r="G138" s="2857">
        <v>99.81</v>
      </c>
      <c r="H138" s="2850">
        <f t="shared" si="8"/>
        <v>43887.456166716758</v>
      </c>
      <c r="I138" s="2851">
        <v>4380407</v>
      </c>
      <c r="J138" s="2850">
        <f t="shared" si="6"/>
        <v>4380407</v>
      </c>
      <c r="K138" s="2850"/>
      <c r="L138" s="2852"/>
      <c r="M138" s="2850"/>
      <c r="N138" s="2853"/>
      <c r="O138" s="2850"/>
      <c r="P138" s="2844"/>
    </row>
    <row r="139" spans="1:16" ht="15.75" customHeight="1">
      <c r="A139" s="2843">
        <f t="shared" si="7"/>
        <v>133</v>
      </c>
      <c r="B139" s="2844" t="s">
        <v>3236</v>
      </c>
      <c r="C139" s="2854" t="s">
        <v>3237</v>
      </c>
      <c r="D139" s="2846" t="s">
        <v>2982</v>
      </c>
      <c r="E139" s="2847">
        <v>39034</v>
      </c>
      <c r="F139" s="2848" t="s">
        <v>2983</v>
      </c>
      <c r="G139" s="2857">
        <v>83.28</v>
      </c>
      <c r="H139" s="2850">
        <f t="shared" si="8"/>
        <v>43887.451969260328</v>
      </c>
      <c r="I139" s="2851">
        <v>3654947</v>
      </c>
      <c r="J139" s="2850">
        <f t="shared" si="6"/>
        <v>3654947</v>
      </c>
      <c r="K139" s="2850"/>
      <c r="L139" s="2852"/>
      <c r="M139" s="2850"/>
      <c r="N139" s="2853"/>
      <c r="O139" s="2850"/>
      <c r="P139" s="2844"/>
    </row>
    <row r="140" spans="1:16" ht="15.75" customHeight="1">
      <c r="A140" s="2843">
        <f t="shared" si="7"/>
        <v>134</v>
      </c>
      <c r="B140" s="2844" t="s">
        <v>3238</v>
      </c>
      <c r="C140" s="2854" t="s">
        <v>3239</v>
      </c>
      <c r="D140" s="2846" t="s">
        <v>2982</v>
      </c>
      <c r="E140" s="2847">
        <v>39034</v>
      </c>
      <c r="F140" s="2848" t="s">
        <v>2983</v>
      </c>
      <c r="G140" s="2857">
        <v>107.74</v>
      </c>
      <c r="H140" s="2850">
        <f t="shared" si="8"/>
        <v>43887.451271579732</v>
      </c>
      <c r="I140" s="2851">
        <v>4728434</v>
      </c>
      <c r="J140" s="2850">
        <f t="shared" si="6"/>
        <v>4728434</v>
      </c>
      <c r="K140" s="2850"/>
      <c r="L140" s="2852"/>
      <c r="M140" s="2850"/>
      <c r="N140" s="2853"/>
      <c r="O140" s="2850"/>
      <c r="P140" s="2844"/>
    </row>
    <row r="141" spans="1:16" ht="15.75" customHeight="1">
      <c r="A141" s="2843">
        <f t="shared" si="7"/>
        <v>135</v>
      </c>
      <c r="B141" s="2844" t="s">
        <v>3240</v>
      </c>
      <c r="C141" s="2854" t="s">
        <v>3241</v>
      </c>
      <c r="D141" s="2846" t="s">
        <v>2982</v>
      </c>
      <c r="E141" s="2847">
        <v>39034</v>
      </c>
      <c r="F141" s="2848" t="s">
        <v>2983</v>
      </c>
      <c r="G141" s="2857">
        <v>87.64</v>
      </c>
      <c r="H141" s="2850">
        <f t="shared" si="8"/>
        <v>43887.44865358284</v>
      </c>
      <c r="I141" s="2851">
        <v>3846296</v>
      </c>
      <c r="J141" s="2850">
        <f t="shared" si="6"/>
        <v>3846296</v>
      </c>
      <c r="K141" s="2850"/>
      <c r="L141" s="2852"/>
      <c r="M141" s="2850"/>
      <c r="N141" s="2853"/>
      <c r="O141" s="2850"/>
      <c r="P141" s="2844"/>
    </row>
    <row r="142" spans="1:16" ht="15.75" customHeight="1">
      <c r="A142" s="2843">
        <f t="shared" si="7"/>
        <v>136</v>
      </c>
      <c r="B142" s="2844" t="s">
        <v>3242</v>
      </c>
      <c r="C142" s="2854" t="s">
        <v>3243</v>
      </c>
      <c r="D142" s="2846" t="s">
        <v>2982</v>
      </c>
      <c r="E142" s="2847">
        <v>39034</v>
      </c>
      <c r="F142" s="2848" t="s">
        <v>2983</v>
      </c>
      <c r="G142" s="2857">
        <v>80.06</v>
      </c>
      <c r="H142" s="2850">
        <f t="shared" si="8"/>
        <v>43887.459405445916</v>
      </c>
      <c r="I142" s="2851">
        <v>3513630</v>
      </c>
      <c r="J142" s="2850">
        <f t="shared" si="6"/>
        <v>3513630</v>
      </c>
      <c r="K142" s="2850"/>
      <c r="L142" s="2852"/>
      <c r="M142" s="2850"/>
      <c r="N142" s="2853"/>
      <c r="O142" s="2850"/>
      <c r="P142" s="2844"/>
    </row>
    <row r="143" spans="1:16" ht="15.75" customHeight="1">
      <c r="A143" s="2843">
        <f t="shared" si="7"/>
        <v>137</v>
      </c>
      <c r="B143" s="2844" t="s">
        <v>3244</v>
      </c>
      <c r="C143" s="2854" t="s">
        <v>3245</v>
      </c>
      <c r="D143" s="2846" t="s">
        <v>2982</v>
      </c>
      <c r="E143" s="2847">
        <v>39034</v>
      </c>
      <c r="F143" s="2848" t="s">
        <v>2983</v>
      </c>
      <c r="G143" s="2857">
        <v>80.06</v>
      </c>
      <c r="H143" s="2850">
        <f t="shared" si="8"/>
        <v>43887.459405445916</v>
      </c>
      <c r="I143" s="2851">
        <v>3513630</v>
      </c>
      <c r="J143" s="2850">
        <f t="shared" si="6"/>
        <v>3513630</v>
      </c>
      <c r="K143" s="2850"/>
      <c r="L143" s="2852"/>
      <c r="M143" s="2850"/>
      <c r="N143" s="2853"/>
      <c r="O143" s="2850"/>
      <c r="P143" s="2844"/>
    </row>
    <row r="144" spans="1:16" ht="15.75" customHeight="1">
      <c r="A144" s="2843">
        <f t="shared" si="7"/>
        <v>138</v>
      </c>
      <c r="B144" s="2844" t="s">
        <v>3246</v>
      </c>
      <c r="C144" s="2854" t="s">
        <v>3247</v>
      </c>
      <c r="D144" s="2846" t="s">
        <v>2982</v>
      </c>
      <c r="E144" s="2847">
        <v>39034</v>
      </c>
      <c r="F144" s="2848" t="s">
        <v>2983</v>
      </c>
      <c r="G144" s="2857">
        <v>80.06</v>
      </c>
      <c r="H144" s="2850">
        <f t="shared" si="8"/>
        <v>43887.459405445916</v>
      </c>
      <c r="I144" s="2851">
        <v>3513630</v>
      </c>
      <c r="J144" s="2850">
        <f t="shared" si="6"/>
        <v>3513630</v>
      </c>
      <c r="K144" s="2850"/>
      <c r="L144" s="2852"/>
      <c r="M144" s="2850"/>
      <c r="N144" s="2853"/>
      <c r="O144" s="2850"/>
      <c r="P144" s="2844"/>
    </row>
    <row r="145" spans="1:16" ht="15.75" customHeight="1">
      <c r="A145" s="2843">
        <f t="shared" si="7"/>
        <v>139</v>
      </c>
      <c r="B145" s="2844" t="s">
        <v>3248</v>
      </c>
      <c r="C145" s="2854" t="s">
        <v>3249</v>
      </c>
      <c r="D145" s="2846" t="s">
        <v>2982</v>
      </c>
      <c r="E145" s="2847">
        <v>39034</v>
      </c>
      <c r="F145" s="2848" t="s">
        <v>2983</v>
      </c>
      <c r="G145" s="2857">
        <v>99.64</v>
      </c>
      <c r="H145" s="2850">
        <f t="shared" si="8"/>
        <v>43887.454837414691</v>
      </c>
      <c r="I145" s="2851">
        <v>4372946</v>
      </c>
      <c r="J145" s="2850">
        <f t="shared" si="6"/>
        <v>4372946</v>
      </c>
      <c r="K145" s="2850"/>
      <c r="L145" s="2852"/>
      <c r="M145" s="2850"/>
      <c r="N145" s="2853"/>
      <c r="O145" s="2850"/>
      <c r="P145" s="2844"/>
    </row>
    <row r="146" spans="1:16" ht="15.75" customHeight="1">
      <c r="A146" s="2843">
        <f t="shared" si="7"/>
        <v>140</v>
      </c>
      <c r="B146" s="2844" t="s">
        <v>3250</v>
      </c>
      <c r="C146" s="2854" t="s">
        <v>3251</v>
      </c>
      <c r="D146" s="2846" t="s">
        <v>2982</v>
      </c>
      <c r="E146" s="2847">
        <v>39034</v>
      </c>
      <c r="F146" s="2848" t="s">
        <v>2983</v>
      </c>
      <c r="G146" s="2857">
        <v>82.89</v>
      </c>
      <c r="H146" s="2850">
        <f t="shared" si="8"/>
        <v>43887.453251296902</v>
      </c>
      <c r="I146" s="2851">
        <v>3637831</v>
      </c>
      <c r="J146" s="2850">
        <f t="shared" si="6"/>
        <v>3637831</v>
      </c>
      <c r="K146" s="2850"/>
      <c r="L146" s="2852"/>
      <c r="M146" s="2850"/>
      <c r="N146" s="2853"/>
      <c r="O146" s="2850"/>
      <c r="P146" s="2844"/>
    </row>
    <row r="147" spans="1:16" ht="15.75" customHeight="1">
      <c r="A147" s="2843">
        <f t="shared" si="7"/>
        <v>141</v>
      </c>
      <c r="B147" s="2844" t="s">
        <v>3252</v>
      </c>
      <c r="C147" s="2854" t="s">
        <v>3253</v>
      </c>
      <c r="D147" s="2846" t="s">
        <v>2982</v>
      </c>
      <c r="E147" s="2847">
        <v>39034</v>
      </c>
      <c r="F147" s="2848" t="s">
        <v>2983</v>
      </c>
      <c r="G147" s="2857">
        <v>75.83</v>
      </c>
      <c r="H147" s="2850">
        <f t="shared" si="8"/>
        <v>43887.458789397337</v>
      </c>
      <c r="I147" s="2851">
        <v>3327986</v>
      </c>
      <c r="J147" s="2850">
        <f t="shared" si="6"/>
        <v>3327986</v>
      </c>
      <c r="K147" s="2850"/>
      <c r="L147" s="2852"/>
      <c r="M147" s="2850"/>
      <c r="N147" s="2853"/>
      <c r="O147" s="2850"/>
      <c r="P147" s="2844"/>
    </row>
    <row r="148" spans="1:16" ht="15.75" customHeight="1">
      <c r="A148" s="2843">
        <f t="shared" si="7"/>
        <v>142</v>
      </c>
      <c r="B148" s="2844" t="s">
        <v>3254</v>
      </c>
      <c r="C148" s="2854" t="s">
        <v>3255</v>
      </c>
      <c r="D148" s="2846" t="s">
        <v>2982</v>
      </c>
      <c r="E148" s="2847">
        <v>39034</v>
      </c>
      <c r="F148" s="2848" t="s">
        <v>2983</v>
      </c>
      <c r="G148" s="2857">
        <v>88.04</v>
      </c>
      <c r="H148" s="2850">
        <f t="shared" si="8"/>
        <v>43887.448886869599</v>
      </c>
      <c r="I148" s="2851">
        <v>3863851</v>
      </c>
      <c r="J148" s="2850">
        <f t="shared" si="6"/>
        <v>3863851</v>
      </c>
      <c r="K148" s="2850"/>
      <c r="L148" s="2852"/>
      <c r="M148" s="2850"/>
      <c r="N148" s="2853"/>
      <c r="O148" s="2850"/>
      <c r="P148" s="2844"/>
    </row>
    <row r="149" spans="1:16" ht="15.75" customHeight="1">
      <c r="A149" s="2843">
        <f t="shared" si="7"/>
        <v>143</v>
      </c>
      <c r="B149" s="2844" t="s">
        <v>3256</v>
      </c>
      <c r="C149" s="2854" t="s">
        <v>3257</v>
      </c>
      <c r="D149" s="2846" t="s">
        <v>2982</v>
      </c>
      <c r="E149" s="2847">
        <v>39034</v>
      </c>
      <c r="F149" s="2848" t="s">
        <v>2983</v>
      </c>
      <c r="G149" s="2857">
        <v>80.06</v>
      </c>
      <c r="H149" s="2850">
        <f t="shared" si="8"/>
        <v>43887.459405445916</v>
      </c>
      <c r="I149" s="2851">
        <v>3513630</v>
      </c>
      <c r="J149" s="2850">
        <f t="shared" si="6"/>
        <v>3513630</v>
      </c>
      <c r="K149" s="2850"/>
      <c r="L149" s="2852"/>
      <c r="M149" s="2850"/>
      <c r="N149" s="2853"/>
      <c r="O149" s="2850"/>
      <c r="P149" s="2844"/>
    </row>
    <row r="150" spans="1:16" ht="15.75" customHeight="1">
      <c r="A150" s="2843">
        <f t="shared" si="7"/>
        <v>144</v>
      </c>
      <c r="B150" s="2844" t="s">
        <v>3258</v>
      </c>
      <c r="C150" s="2854" t="s">
        <v>3259</v>
      </c>
      <c r="D150" s="2846" t="s">
        <v>2982</v>
      </c>
      <c r="E150" s="2847">
        <v>39034</v>
      </c>
      <c r="F150" s="2848" t="s">
        <v>2983</v>
      </c>
      <c r="G150" s="2857">
        <v>80.06</v>
      </c>
      <c r="H150" s="2850">
        <f t="shared" si="8"/>
        <v>43887.459405445916</v>
      </c>
      <c r="I150" s="2851">
        <v>3513630</v>
      </c>
      <c r="J150" s="2850">
        <f t="shared" si="6"/>
        <v>3513630</v>
      </c>
      <c r="K150" s="2850"/>
      <c r="L150" s="2852"/>
      <c r="M150" s="2850"/>
      <c r="N150" s="2853"/>
      <c r="O150" s="2850"/>
      <c r="P150" s="2844"/>
    </row>
    <row r="151" spans="1:16" ht="15.75" customHeight="1">
      <c r="A151" s="2843">
        <f t="shared" si="7"/>
        <v>145</v>
      </c>
      <c r="B151" s="2844" t="s">
        <v>3260</v>
      </c>
      <c r="C151" s="2854" t="s">
        <v>3261</v>
      </c>
      <c r="D151" s="2846" t="s">
        <v>2982</v>
      </c>
      <c r="E151" s="2847">
        <v>39034</v>
      </c>
      <c r="F151" s="2848" t="s">
        <v>2983</v>
      </c>
      <c r="G151" s="2857">
        <v>80.06</v>
      </c>
      <c r="H151" s="2850">
        <f t="shared" si="8"/>
        <v>43887.459405445916</v>
      </c>
      <c r="I151" s="2851">
        <v>3513630</v>
      </c>
      <c r="J151" s="2850">
        <f t="shared" si="6"/>
        <v>3513630</v>
      </c>
      <c r="K151" s="2850"/>
      <c r="L151" s="2852"/>
      <c r="M151" s="2850"/>
      <c r="N151" s="2853"/>
      <c r="O151" s="2850"/>
      <c r="P151" s="2844"/>
    </row>
    <row r="152" spans="1:16" ht="15.75" customHeight="1">
      <c r="A152" s="2843">
        <f t="shared" si="7"/>
        <v>146</v>
      </c>
      <c r="B152" s="2844" t="s">
        <v>3262</v>
      </c>
      <c r="C152" s="2854" t="s">
        <v>3263</v>
      </c>
      <c r="D152" s="2846" t="s">
        <v>2982</v>
      </c>
      <c r="E152" s="2847">
        <v>39034</v>
      </c>
      <c r="F152" s="2848" t="s">
        <v>2983</v>
      </c>
      <c r="G152" s="2857">
        <v>99.81</v>
      </c>
      <c r="H152" s="2850">
        <f t="shared" si="8"/>
        <v>43887.456166716758</v>
      </c>
      <c r="I152" s="2851">
        <v>4380407</v>
      </c>
      <c r="J152" s="2850">
        <f t="shared" si="6"/>
        <v>4380407</v>
      </c>
      <c r="K152" s="2850"/>
      <c r="L152" s="2852"/>
      <c r="M152" s="2850"/>
      <c r="N152" s="2853"/>
      <c r="O152" s="2850"/>
      <c r="P152" s="2844"/>
    </row>
    <row r="153" spans="1:16" ht="15.75" customHeight="1">
      <c r="A153" s="2843">
        <f t="shared" si="7"/>
        <v>147</v>
      </c>
      <c r="B153" s="2844" t="s">
        <v>3264</v>
      </c>
      <c r="C153" s="2854" t="s">
        <v>3265</v>
      </c>
      <c r="D153" s="2846" t="s">
        <v>2982</v>
      </c>
      <c r="E153" s="2847">
        <v>39034</v>
      </c>
      <c r="F153" s="2848" t="s">
        <v>2983</v>
      </c>
      <c r="G153" s="2857">
        <v>83.28</v>
      </c>
      <c r="H153" s="2850">
        <f t="shared" si="8"/>
        <v>43887.451969260328</v>
      </c>
      <c r="I153" s="2851">
        <v>3654947</v>
      </c>
      <c r="J153" s="2850">
        <f t="shared" si="6"/>
        <v>3654947</v>
      </c>
      <c r="K153" s="2850"/>
      <c r="L153" s="2852"/>
      <c r="M153" s="2850"/>
      <c r="N153" s="2853"/>
      <c r="O153" s="2850"/>
      <c r="P153" s="2844"/>
    </row>
    <row r="154" spans="1:16" ht="15.75" customHeight="1">
      <c r="A154" s="2843">
        <f t="shared" si="7"/>
        <v>148</v>
      </c>
      <c r="B154" s="2844" t="s">
        <v>3266</v>
      </c>
      <c r="C154" s="2854" t="s">
        <v>3267</v>
      </c>
      <c r="D154" s="2846" t="s">
        <v>2982</v>
      </c>
      <c r="E154" s="2847">
        <v>39034</v>
      </c>
      <c r="F154" s="2848" t="s">
        <v>2983</v>
      </c>
      <c r="G154" s="2857">
        <v>107.74</v>
      </c>
      <c r="H154" s="2850">
        <f t="shared" si="8"/>
        <v>43887.451271579732</v>
      </c>
      <c r="I154" s="2851">
        <v>4728434</v>
      </c>
      <c r="J154" s="2850">
        <f t="shared" si="6"/>
        <v>4728434</v>
      </c>
      <c r="K154" s="2850"/>
      <c r="L154" s="2852"/>
      <c r="M154" s="2850"/>
      <c r="N154" s="2853"/>
      <c r="O154" s="2850"/>
      <c r="P154" s="2844"/>
    </row>
    <row r="155" spans="1:16" ht="15.75" customHeight="1">
      <c r="A155" s="2843">
        <f t="shared" si="7"/>
        <v>149</v>
      </c>
      <c r="B155" s="2844" t="s">
        <v>3268</v>
      </c>
      <c r="C155" s="2854" t="s">
        <v>3269</v>
      </c>
      <c r="D155" s="2846" t="s">
        <v>2982</v>
      </c>
      <c r="E155" s="2847">
        <v>39034</v>
      </c>
      <c r="F155" s="2848" t="s">
        <v>2983</v>
      </c>
      <c r="G155" s="2857">
        <v>87.64</v>
      </c>
      <c r="H155" s="2850">
        <f t="shared" si="8"/>
        <v>43887.44865358284</v>
      </c>
      <c r="I155" s="2851">
        <v>3846296</v>
      </c>
      <c r="J155" s="2850">
        <f t="shared" si="6"/>
        <v>3846296</v>
      </c>
      <c r="K155" s="2850"/>
      <c r="L155" s="2852"/>
      <c r="M155" s="2850"/>
      <c r="N155" s="2853"/>
      <c r="O155" s="2850"/>
      <c r="P155" s="2844"/>
    </row>
    <row r="156" spans="1:16" ht="15.75" customHeight="1">
      <c r="A156" s="2843">
        <f t="shared" si="7"/>
        <v>150</v>
      </c>
      <c r="B156" s="2844" t="s">
        <v>3270</v>
      </c>
      <c r="C156" s="2854" t="s">
        <v>3271</v>
      </c>
      <c r="D156" s="2846" t="s">
        <v>2982</v>
      </c>
      <c r="E156" s="2847">
        <v>39034</v>
      </c>
      <c r="F156" s="2848" t="s">
        <v>2983</v>
      </c>
      <c r="G156" s="2857">
        <v>80.06</v>
      </c>
      <c r="H156" s="2850">
        <f t="shared" si="8"/>
        <v>43887.459405445916</v>
      </c>
      <c r="I156" s="2851">
        <v>3513630</v>
      </c>
      <c r="J156" s="2850">
        <f t="shared" si="6"/>
        <v>3513630</v>
      </c>
      <c r="K156" s="2850"/>
      <c r="L156" s="2852"/>
      <c r="M156" s="2850"/>
      <c r="N156" s="2853"/>
      <c r="O156" s="2850"/>
      <c r="P156" s="2844"/>
    </row>
    <row r="157" spans="1:16" ht="15.75" customHeight="1">
      <c r="A157" s="2843">
        <f t="shared" si="7"/>
        <v>151</v>
      </c>
      <c r="B157" s="2844" t="s">
        <v>3272</v>
      </c>
      <c r="C157" s="2854" t="s">
        <v>3273</v>
      </c>
      <c r="D157" s="2846" t="s">
        <v>2982</v>
      </c>
      <c r="E157" s="2847">
        <v>39034</v>
      </c>
      <c r="F157" s="2848" t="s">
        <v>2983</v>
      </c>
      <c r="G157" s="2857">
        <v>80.06</v>
      </c>
      <c r="H157" s="2850">
        <f t="shared" si="8"/>
        <v>43887.459405445916</v>
      </c>
      <c r="I157" s="2851">
        <v>3513630</v>
      </c>
      <c r="J157" s="2850">
        <f t="shared" si="6"/>
        <v>3513630</v>
      </c>
      <c r="K157" s="2850"/>
      <c r="L157" s="2852"/>
      <c r="M157" s="2850"/>
      <c r="N157" s="2853"/>
      <c r="O157" s="2850"/>
      <c r="P157" s="2844"/>
    </row>
    <row r="158" spans="1:16" ht="15.75" customHeight="1">
      <c r="A158" s="2843">
        <f t="shared" si="7"/>
        <v>152</v>
      </c>
      <c r="B158" s="2844" t="s">
        <v>3274</v>
      </c>
      <c r="C158" s="2854" t="s">
        <v>3275</v>
      </c>
      <c r="D158" s="2846" t="s">
        <v>2982</v>
      </c>
      <c r="E158" s="2847">
        <v>39034</v>
      </c>
      <c r="F158" s="2848" t="s">
        <v>2983</v>
      </c>
      <c r="G158" s="2857">
        <v>80.06</v>
      </c>
      <c r="H158" s="2850">
        <f t="shared" si="8"/>
        <v>43887.459405445916</v>
      </c>
      <c r="I158" s="2851">
        <v>3513630</v>
      </c>
      <c r="J158" s="2850">
        <f t="shared" si="6"/>
        <v>3513630</v>
      </c>
      <c r="K158" s="2850"/>
      <c r="L158" s="2852"/>
      <c r="M158" s="2850"/>
      <c r="N158" s="2853"/>
      <c r="O158" s="2850"/>
      <c r="P158" s="2844"/>
    </row>
    <row r="159" spans="1:16" ht="15.75" customHeight="1">
      <c r="A159" s="2843">
        <f t="shared" si="7"/>
        <v>153</v>
      </c>
      <c r="B159" s="2844" t="s">
        <v>3276</v>
      </c>
      <c r="C159" s="2854" t="s">
        <v>3277</v>
      </c>
      <c r="D159" s="2846" t="s">
        <v>2982</v>
      </c>
      <c r="E159" s="2847">
        <v>39034</v>
      </c>
      <c r="F159" s="2848" t="s">
        <v>2983</v>
      </c>
      <c r="G159" s="2857">
        <v>99.64</v>
      </c>
      <c r="H159" s="2850">
        <f t="shared" si="8"/>
        <v>43887.454837414691</v>
      </c>
      <c r="I159" s="2851">
        <v>4372946</v>
      </c>
      <c r="J159" s="2850">
        <f t="shared" si="6"/>
        <v>4372946</v>
      </c>
      <c r="K159" s="2850"/>
      <c r="L159" s="2852"/>
      <c r="M159" s="2850"/>
      <c r="N159" s="2853"/>
      <c r="O159" s="2850"/>
      <c r="P159" s="2844"/>
    </row>
    <row r="160" spans="1:16" ht="15.75" customHeight="1">
      <c r="A160" s="2843">
        <f t="shared" si="7"/>
        <v>154</v>
      </c>
      <c r="B160" s="2844" t="s">
        <v>3278</v>
      </c>
      <c r="C160" s="2854" t="s">
        <v>3279</v>
      </c>
      <c r="D160" s="2846" t="s">
        <v>2982</v>
      </c>
      <c r="E160" s="2847">
        <v>39034</v>
      </c>
      <c r="F160" s="2848" t="s">
        <v>2983</v>
      </c>
      <c r="G160" s="2857">
        <v>82.89</v>
      </c>
      <c r="H160" s="2850">
        <f t="shared" si="8"/>
        <v>43887.453251296902</v>
      </c>
      <c r="I160" s="2851">
        <v>3637831</v>
      </c>
      <c r="J160" s="2850">
        <f t="shared" si="6"/>
        <v>3637831</v>
      </c>
      <c r="K160" s="2850"/>
      <c r="L160" s="2852"/>
      <c r="M160" s="2850"/>
      <c r="N160" s="2853"/>
      <c r="O160" s="2850"/>
      <c r="P160" s="2844"/>
    </row>
    <row r="161" spans="1:16" ht="15.75" customHeight="1">
      <c r="A161" s="2843">
        <f t="shared" si="7"/>
        <v>155</v>
      </c>
      <c r="B161" s="2844" t="s">
        <v>3280</v>
      </c>
      <c r="C161" s="2854" t="s">
        <v>3281</v>
      </c>
      <c r="D161" s="2846" t="s">
        <v>2968</v>
      </c>
      <c r="E161" s="2847">
        <v>39034</v>
      </c>
      <c r="F161" s="2848" t="s">
        <v>2969</v>
      </c>
      <c r="G161" s="2857">
        <v>75.83</v>
      </c>
      <c r="H161" s="2850">
        <f t="shared" si="8"/>
        <v>43887.458789397337</v>
      </c>
      <c r="I161" s="2851">
        <v>3327986</v>
      </c>
      <c r="J161" s="2850">
        <f t="shared" si="6"/>
        <v>3327986</v>
      </c>
      <c r="K161" s="2850"/>
      <c r="L161" s="2852"/>
      <c r="M161" s="2850"/>
      <c r="N161" s="2853"/>
      <c r="O161" s="2850"/>
      <c r="P161" s="2844"/>
    </row>
    <row r="162" spans="1:16" ht="15.75" customHeight="1">
      <c r="A162" s="2843">
        <f t="shared" si="7"/>
        <v>156</v>
      </c>
      <c r="B162" s="2844" t="s">
        <v>3282</v>
      </c>
      <c r="C162" s="2854" t="s">
        <v>3283</v>
      </c>
      <c r="D162" s="2846" t="s">
        <v>2968</v>
      </c>
      <c r="E162" s="2847">
        <v>39034</v>
      </c>
      <c r="F162" s="2848" t="s">
        <v>2969</v>
      </c>
      <c r="G162" s="2857">
        <v>168.13</v>
      </c>
      <c r="H162" s="2850">
        <f t="shared" si="8"/>
        <v>43887.456135133529</v>
      </c>
      <c r="I162" s="2851">
        <v>7378798</v>
      </c>
      <c r="J162" s="2850">
        <f t="shared" si="6"/>
        <v>7378798</v>
      </c>
      <c r="K162" s="2850"/>
      <c r="L162" s="2852"/>
      <c r="M162" s="2850"/>
      <c r="N162" s="2853"/>
      <c r="O162" s="2850"/>
      <c r="P162" s="2844"/>
    </row>
    <row r="163" spans="1:16" ht="15.75" customHeight="1">
      <c r="A163" s="2843">
        <f t="shared" si="7"/>
        <v>157</v>
      </c>
      <c r="B163" s="2844" t="s">
        <v>3284</v>
      </c>
      <c r="C163" s="2854" t="s">
        <v>3285</v>
      </c>
      <c r="D163" s="2846" t="s">
        <v>2968</v>
      </c>
      <c r="E163" s="2847">
        <v>39034</v>
      </c>
      <c r="F163" s="2848" t="s">
        <v>2969</v>
      </c>
      <c r="G163" s="2857">
        <v>160.12</v>
      </c>
      <c r="H163" s="2850">
        <f t="shared" si="8"/>
        <v>43887.459405445916</v>
      </c>
      <c r="I163" s="2851">
        <v>7027260</v>
      </c>
      <c r="J163" s="2850">
        <f t="shared" si="6"/>
        <v>7027260</v>
      </c>
      <c r="K163" s="2850"/>
      <c r="L163" s="2852"/>
      <c r="M163" s="2850"/>
      <c r="N163" s="2853"/>
      <c r="O163" s="2850"/>
      <c r="P163" s="2844"/>
    </row>
    <row r="164" spans="1:16" ht="15.75" customHeight="1">
      <c r="A164" s="2843">
        <f t="shared" si="7"/>
        <v>158</v>
      </c>
      <c r="B164" s="2844" t="s">
        <v>3286</v>
      </c>
      <c r="C164" s="2854" t="s">
        <v>3287</v>
      </c>
      <c r="D164" s="2846" t="s">
        <v>2968</v>
      </c>
      <c r="E164" s="2847">
        <v>39034</v>
      </c>
      <c r="F164" s="2848" t="s">
        <v>2969</v>
      </c>
      <c r="G164" s="2857">
        <v>186.4</v>
      </c>
      <c r="H164" s="2850">
        <f t="shared" si="8"/>
        <v>43887.457081545064</v>
      </c>
      <c r="I164" s="2851">
        <v>8180622</v>
      </c>
      <c r="J164" s="2850">
        <f t="shared" si="6"/>
        <v>8180622</v>
      </c>
      <c r="K164" s="2850"/>
      <c r="L164" s="2852"/>
      <c r="M164" s="2850"/>
      <c r="N164" s="2853"/>
      <c r="O164" s="2850"/>
      <c r="P164" s="2844"/>
    </row>
    <row r="165" spans="1:16" ht="15.75" customHeight="1">
      <c r="A165" s="2843">
        <f t="shared" si="7"/>
        <v>159</v>
      </c>
      <c r="B165" s="2844" t="s">
        <v>3288</v>
      </c>
      <c r="C165" s="2854" t="s">
        <v>3289</v>
      </c>
      <c r="D165" s="2846" t="s">
        <v>2968</v>
      </c>
      <c r="E165" s="2847">
        <v>39034</v>
      </c>
      <c r="F165" s="2848" t="s">
        <v>2969</v>
      </c>
      <c r="G165" s="2857">
        <v>107.51</v>
      </c>
      <c r="H165" s="2850">
        <f t="shared" si="8"/>
        <v>43887.452330015811</v>
      </c>
      <c r="I165" s="2851">
        <v>4718340</v>
      </c>
      <c r="J165" s="2850">
        <f t="shared" si="6"/>
        <v>4718340</v>
      </c>
      <c r="K165" s="2850"/>
      <c r="L165" s="2852"/>
      <c r="M165" s="2850"/>
      <c r="N165" s="2853"/>
      <c r="O165" s="2850"/>
      <c r="P165" s="2844"/>
    </row>
    <row r="166" spans="1:16" ht="15.75" customHeight="1">
      <c r="A166" s="2843">
        <f t="shared" si="7"/>
        <v>160</v>
      </c>
      <c r="B166" s="2844" t="s">
        <v>3290</v>
      </c>
      <c r="C166" s="2854" t="s">
        <v>3291</v>
      </c>
      <c r="D166" s="2846" t="s">
        <v>2968</v>
      </c>
      <c r="E166" s="2847">
        <v>39034</v>
      </c>
      <c r="F166" s="2848" t="s">
        <v>2969</v>
      </c>
      <c r="G166" s="2857">
        <v>167.7</v>
      </c>
      <c r="H166" s="2850">
        <f t="shared" si="8"/>
        <v>43887.459749552778</v>
      </c>
      <c r="I166" s="2851">
        <v>7359927</v>
      </c>
      <c r="J166" s="2850">
        <f t="shared" si="6"/>
        <v>7359927</v>
      </c>
      <c r="K166" s="2850"/>
      <c r="L166" s="2852"/>
      <c r="M166" s="2850"/>
      <c r="N166" s="2853"/>
      <c r="O166" s="2850"/>
      <c r="P166" s="2844"/>
    </row>
    <row r="167" spans="1:16" ht="15.75" customHeight="1">
      <c r="A167" s="2843">
        <f t="shared" si="7"/>
        <v>161</v>
      </c>
      <c r="B167" s="2844" t="s">
        <v>3292</v>
      </c>
      <c r="C167" s="2854" t="s">
        <v>3293</v>
      </c>
      <c r="D167" s="2846" t="s">
        <v>2968</v>
      </c>
      <c r="E167" s="2847">
        <v>39034</v>
      </c>
      <c r="F167" s="2848" t="s">
        <v>2969</v>
      </c>
      <c r="G167" s="2857">
        <v>159.72999999999999</v>
      </c>
      <c r="H167" s="2850">
        <f t="shared" si="8"/>
        <v>43887.453828335318</v>
      </c>
      <c r="I167" s="2851">
        <v>7010143</v>
      </c>
      <c r="J167" s="2850">
        <f t="shared" si="6"/>
        <v>7010143</v>
      </c>
      <c r="K167" s="2850"/>
      <c r="L167" s="2852"/>
      <c r="M167" s="2850"/>
      <c r="N167" s="2853"/>
      <c r="O167" s="2850"/>
      <c r="P167" s="2844"/>
    </row>
    <row r="168" spans="1:16" ht="15.75" customHeight="1">
      <c r="A168" s="2843">
        <f t="shared" si="7"/>
        <v>162</v>
      </c>
      <c r="B168" s="2844" t="s">
        <v>3294</v>
      </c>
      <c r="C168" s="2854" t="s">
        <v>3295</v>
      </c>
      <c r="D168" s="2846" t="s">
        <v>2982</v>
      </c>
      <c r="E168" s="2847">
        <v>39034</v>
      </c>
      <c r="F168" s="2848" t="s">
        <v>2983</v>
      </c>
      <c r="G168" s="2857">
        <v>186.21</v>
      </c>
      <c r="H168" s="2850">
        <f t="shared" si="8"/>
        <v>43887.455023897746</v>
      </c>
      <c r="I168" s="2851">
        <v>8172283</v>
      </c>
      <c r="J168" s="2850">
        <f t="shared" si="6"/>
        <v>8172283</v>
      </c>
      <c r="K168" s="2850"/>
      <c r="L168" s="2852"/>
      <c r="M168" s="2850"/>
      <c r="N168" s="2853"/>
      <c r="O168" s="2850"/>
      <c r="P168" s="2844"/>
    </row>
    <row r="169" spans="1:16" ht="15.75" customHeight="1">
      <c r="A169" s="2843">
        <f t="shared" si="7"/>
        <v>163</v>
      </c>
      <c r="B169" s="2844" t="s">
        <v>3296</v>
      </c>
      <c r="C169" s="2854" t="s">
        <v>3297</v>
      </c>
      <c r="D169" s="2846" t="s">
        <v>2982</v>
      </c>
      <c r="E169" s="2847">
        <v>39034</v>
      </c>
      <c r="F169" s="2848" t="s">
        <v>2983</v>
      </c>
      <c r="G169" s="2857">
        <v>75.84</v>
      </c>
      <c r="H169" s="2850">
        <f t="shared" si="8"/>
        <v>43887.447257383967</v>
      </c>
      <c r="I169" s="2851">
        <v>3328424</v>
      </c>
      <c r="J169" s="2850">
        <f t="shared" si="6"/>
        <v>3328424</v>
      </c>
      <c r="K169" s="2850"/>
      <c r="L169" s="2852"/>
      <c r="M169" s="2850"/>
      <c r="N169" s="2853"/>
      <c r="O169" s="2850"/>
      <c r="P169" s="2844"/>
    </row>
    <row r="170" spans="1:16" ht="15.75" customHeight="1">
      <c r="A170" s="2843">
        <f t="shared" si="7"/>
        <v>164</v>
      </c>
      <c r="B170" s="2844" t="s">
        <v>3298</v>
      </c>
      <c r="C170" s="2854" t="s">
        <v>3299</v>
      </c>
      <c r="D170" s="2846" t="s">
        <v>2982</v>
      </c>
      <c r="E170" s="2847">
        <v>39034</v>
      </c>
      <c r="F170" s="2848" t="s">
        <v>2983</v>
      </c>
      <c r="G170" s="2857">
        <v>168.13</v>
      </c>
      <c r="H170" s="2850">
        <f t="shared" si="8"/>
        <v>43887.456135133529</v>
      </c>
      <c r="I170" s="2851">
        <v>7378798</v>
      </c>
      <c r="J170" s="2850">
        <f t="shared" si="6"/>
        <v>7378798</v>
      </c>
      <c r="K170" s="2850"/>
      <c r="L170" s="2852"/>
      <c r="M170" s="2850"/>
      <c r="N170" s="2853"/>
      <c r="O170" s="2850"/>
      <c r="P170" s="2844"/>
    </row>
    <row r="171" spans="1:16" ht="15.75" customHeight="1">
      <c r="A171" s="2843">
        <f t="shared" si="7"/>
        <v>165</v>
      </c>
      <c r="B171" s="2844" t="s">
        <v>3300</v>
      </c>
      <c r="C171" s="2854" t="s">
        <v>3301</v>
      </c>
      <c r="D171" s="2846" t="s">
        <v>2982</v>
      </c>
      <c r="E171" s="2847">
        <v>39034</v>
      </c>
      <c r="F171" s="2848" t="s">
        <v>2983</v>
      </c>
      <c r="G171" s="2857">
        <v>160.12</v>
      </c>
      <c r="H171" s="2850">
        <f t="shared" si="8"/>
        <v>43887.459405445916</v>
      </c>
      <c r="I171" s="2851">
        <v>7027260</v>
      </c>
      <c r="J171" s="2850">
        <f t="shared" si="6"/>
        <v>7027260</v>
      </c>
      <c r="K171" s="2850"/>
      <c r="L171" s="2852"/>
      <c r="M171" s="2850"/>
      <c r="N171" s="2853"/>
      <c r="O171" s="2850"/>
      <c r="P171" s="2844"/>
    </row>
    <row r="172" spans="1:16" ht="15.75" customHeight="1">
      <c r="A172" s="2843">
        <f t="shared" si="7"/>
        <v>166</v>
      </c>
      <c r="B172" s="2844" t="s">
        <v>3302</v>
      </c>
      <c r="C172" s="2854" t="s">
        <v>3303</v>
      </c>
      <c r="D172" s="2846" t="s">
        <v>2982</v>
      </c>
      <c r="E172" s="2847">
        <v>39034</v>
      </c>
      <c r="F172" s="2848" t="s">
        <v>2983</v>
      </c>
      <c r="G172" s="2857">
        <v>186.4</v>
      </c>
      <c r="H172" s="2850">
        <f t="shared" si="8"/>
        <v>43887.457081545064</v>
      </c>
      <c r="I172" s="2851">
        <v>8180622</v>
      </c>
      <c r="J172" s="2850">
        <f t="shared" si="6"/>
        <v>8180622</v>
      </c>
      <c r="K172" s="2850"/>
      <c r="L172" s="2852"/>
      <c r="M172" s="2850"/>
      <c r="N172" s="2853"/>
      <c r="O172" s="2850"/>
      <c r="P172" s="2844"/>
    </row>
    <row r="173" spans="1:16" ht="15.75" customHeight="1">
      <c r="A173" s="2843">
        <f t="shared" si="7"/>
        <v>167</v>
      </c>
      <c r="B173" s="2844" t="s">
        <v>3304</v>
      </c>
      <c r="C173" s="2854" t="s">
        <v>3305</v>
      </c>
      <c r="D173" s="2846" t="s">
        <v>2982</v>
      </c>
      <c r="E173" s="2847">
        <v>39034</v>
      </c>
      <c r="F173" s="2848" t="s">
        <v>2983</v>
      </c>
      <c r="G173" s="2857">
        <v>107.51</v>
      </c>
      <c r="H173" s="2850">
        <f t="shared" si="8"/>
        <v>43887.452330015811</v>
      </c>
      <c r="I173" s="2851">
        <v>4718340</v>
      </c>
      <c r="J173" s="2850">
        <f t="shared" si="6"/>
        <v>4718340</v>
      </c>
      <c r="K173" s="2850"/>
      <c r="L173" s="2852"/>
      <c r="M173" s="2850"/>
      <c r="N173" s="2853"/>
      <c r="O173" s="2850"/>
      <c r="P173" s="2844"/>
    </row>
    <row r="174" spans="1:16" ht="15.75" customHeight="1">
      <c r="A174" s="2843">
        <f t="shared" si="7"/>
        <v>168</v>
      </c>
      <c r="B174" s="2844" t="s">
        <v>3306</v>
      </c>
      <c r="C174" s="2854" t="s">
        <v>3307</v>
      </c>
      <c r="D174" s="2846" t="s">
        <v>2982</v>
      </c>
      <c r="E174" s="2847">
        <v>39034</v>
      </c>
      <c r="F174" s="2848" t="s">
        <v>2983</v>
      </c>
      <c r="G174" s="2857">
        <v>167.7</v>
      </c>
      <c r="H174" s="2850">
        <f t="shared" si="8"/>
        <v>43887.459749552778</v>
      </c>
      <c r="I174" s="2851">
        <v>7359927</v>
      </c>
      <c r="J174" s="2850">
        <f t="shared" si="6"/>
        <v>7359927</v>
      </c>
      <c r="K174" s="2850"/>
      <c r="L174" s="2852"/>
      <c r="M174" s="2850"/>
      <c r="N174" s="2853"/>
      <c r="O174" s="2850"/>
      <c r="P174" s="2844"/>
    </row>
    <row r="175" spans="1:16" ht="15.75" customHeight="1">
      <c r="A175" s="2843">
        <f t="shared" si="7"/>
        <v>169</v>
      </c>
      <c r="B175" s="2844" t="s">
        <v>3308</v>
      </c>
      <c r="C175" s="2854" t="s">
        <v>3309</v>
      </c>
      <c r="D175" s="2846" t="s">
        <v>2982</v>
      </c>
      <c r="E175" s="2847">
        <v>39034</v>
      </c>
      <c r="F175" s="2848" t="s">
        <v>2983</v>
      </c>
      <c r="G175" s="2857">
        <v>159.72999999999999</v>
      </c>
      <c r="H175" s="2850">
        <f t="shared" si="8"/>
        <v>43887.453828335318</v>
      </c>
      <c r="I175" s="2851">
        <v>7010143</v>
      </c>
      <c r="J175" s="2850">
        <f t="shared" si="6"/>
        <v>7010143</v>
      </c>
      <c r="K175" s="2850"/>
      <c r="L175" s="2852"/>
      <c r="M175" s="2850"/>
      <c r="N175" s="2853"/>
      <c r="O175" s="2850"/>
      <c r="P175" s="2844"/>
    </row>
    <row r="176" spans="1:16" ht="15.75" customHeight="1">
      <c r="A176" s="2843">
        <f t="shared" si="7"/>
        <v>170</v>
      </c>
      <c r="B176" s="2844" t="s">
        <v>3310</v>
      </c>
      <c r="C176" s="2854" t="s">
        <v>3311</v>
      </c>
      <c r="D176" s="2846" t="s">
        <v>2982</v>
      </c>
      <c r="E176" s="2847">
        <v>39034</v>
      </c>
      <c r="F176" s="2848" t="s">
        <v>2983</v>
      </c>
      <c r="G176" s="2857">
        <v>186.21</v>
      </c>
      <c r="H176" s="2850">
        <f t="shared" si="8"/>
        <v>43887.455023897746</v>
      </c>
      <c r="I176" s="2851">
        <v>8172283</v>
      </c>
      <c r="J176" s="2850">
        <f t="shared" si="6"/>
        <v>8172283</v>
      </c>
      <c r="K176" s="2850"/>
      <c r="L176" s="2852"/>
      <c r="M176" s="2850"/>
      <c r="N176" s="2853"/>
      <c r="O176" s="2850"/>
      <c r="P176" s="2844"/>
    </row>
    <row r="177" spans="1:16" ht="15.75" customHeight="1">
      <c r="A177" s="2843">
        <f t="shared" si="7"/>
        <v>171</v>
      </c>
      <c r="B177" s="2844" t="s">
        <v>3312</v>
      </c>
      <c r="C177" s="2854" t="s">
        <v>3313</v>
      </c>
      <c r="D177" s="2846" t="s">
        <v>2982</v>
      </c>
      <c r="E177" s="2847">
        <v>39034</v>
      </c>
      <c r="F177" s="2848" t="s">
        <v>2983</v>
      </c>
      <c r="G177" s="2857">
        <v>75.84</v>
      </c>
      <c r="H177" s="2850">
        <f t="shared" si="8"/>
        <v>43887.447257383967</v>
      </c>
      <c r="I177" s="2851">
        <v>3328424</v>
      </c>
      <c r="J177" s="2850">
        <f t="shared" si="6"/>
        <v>3328424</v>
      </c>
      <c r="K177" s="2850"/>
      <c r="L177" s="2852"/>
      <c r="M177" s="2850"/>
      <c r="N177" s="2853"/>
      <c r="O177" s="2850"/>
      <c r="P177" s="2844"/>
    </row>
    <row r="178" spans="1:16" ht="15.75" customHeight="1">
      <c r="A178" s="2843">
        <f t="shared" si="7"/>
        <v>172</v>
      </c>
      <c r="B178" s="2844" t="s">
        <v>3314</v>
      </c>
      <c r="C178" s="2854" t="s">
        <v>3315</v>
      </c>
      <c r="D178" s="2846" t="s">
        <v>2982</v>
      </c>
      <c r="E178" s="2847">
        <v>39034</v>
      </c>
      <c r="F178" s="2848" t="s">
        <v>2983</v>
      </c>
      <c r="G178" s="2857">
        <v>168.13</v>
      </c>
      <c r="H178" s="2850">
        <f t="shared" si="8"/>
        <v>43887.456135133529</v>
      </c>
      <c r="I178" s="2851">
        <v>7378798</v>
      </c>
      <c r="J178" s="2850">
        <f t="shared" si="6"/>
        <v>7378798</v>
      </c>
      <c r="K178" s="2850"/>
      <c r="L178" s="2852"/>
      <c r="M178" s="2850"/>
      <c r="N178" s="2853"/>
      <c r="O178" s="2850"/>
      <c r="P178" s="2844"/>
    </row>
    <row r="179" spans="1:16" ht="15.75" customHeight="1">
      <c r="A179" s="2843">
        <f t="shared" si="7"/>
        <v>173</v>
      </c>
      <c r="B179" s="2844" t="s">
        <v>3316</v>
      </c>
      <c r="C179" s="2854" t="s">
        <v>3317</v>
      </c>
      <c r="D179" s="2846" t="s">
        <v>2982</v>
      </c>
      <c r="E179" s="2847">
        <v>39034</v>
      </c>
      <c r="F179" s="2848" t="s">
        <v>2983</v>
      </c>
      <c r="G179" s="2857">
        <v>160.12</v>
      </c>
      <c r="H179" s="2850">
        <f t="shared" si="8"/>
        <v>43887.459405445916</v>
      </c>
      <c r="I179" s="2851">
        <v>7027260</v>
      </c>
      <c r="J179" s="2850">
        <f t="shared" si="6"/>
        <v>7027260</v>
      </c>
      <c r="K179" s="2850"/>
      <c r="L179" s="2852"/>
      <c r="M179" s="2850"/>
      <c r="N179" s="2853"/>
      <c r="O179" s="2850"/>
      <c r="P179" s="2844"/>
    </row>
    <row r="180" spans="1:16" ht="15.75" customHeight="1">
      <c r="A180" s="2843">
        <f t="shared" si="7"/>
        <v>174</v>
      </c>
      <c r="B180" s="2844" t="s">
        <v>3318</v>
      </c>
      <c r="C180" s="2854" t="s">
        <v>3319</v>
      </c>
      <c r="D180" s="2846" t="s">
        <v>2982</v>
      </c>
      <c r="E180" s="2847">
        <v>39034</v>
      </c>
      <c r="F180" s="2848" t="s">
        <v>2983</v>
      </c>
      <c r="G180" s="2857">
        <v>186.4</v>
      </c>
      <c r="H180" s="2850">
        <f t="shared" si="8"/>
        <v>43887.457081545064</v>
      </c>
      <c r="I180" s="2851">
        <v>8180622</v>
      </c>
      <c r="J180" s="2850">
        <f t="shared" si="6"/>
        <v>8180622</v>
      </c>
      <c r="K180" s="2850"/>
      <c r="L180" s="2852"/>
      <c r="M180" s="2850"/>
      <c r="N180" s="2853"/>
      <c r="O180" s="2850"/>
      <c r="P180" s="2844"/>
    </row>
    <row r="181" spans="1:16" ht="15.75" customHeight="1">
      <c r="A181" s="2843">
        <f t="shared" si="7"/>
        <v>175</v>
      </c>
      <c r="B181" s="2844" t="s">
        <v>3320</v>
      </c>
      <c r="C181" s="2854" t="s">
        <v>3321</v>
      </c>
      <c r="D181" s="2846" t="s">
        <v>2982</v>
      </c>
      <c r="E181" s="2847">
        <v>39034</v>
      </c>
      <c r="F181" s="2848" t="s">
        <v>2983</v>
      </c>
      <c r="G181" s="2857">
        <v>107.51</v>
      </c>
      <c r="H181" s="2850">
        <f t="shared" si="8"/>
        <v>43887.452330015811</v>
      </c>
      <c r="I181" s="2851">
        <v>4718340</v>
      </c>
      <c r="J181" s="2850">
        <f t="shared" si="6"/>
        <v>4718340</v>
      </c>
      <c r="K181" s="2850"/>
      <c r="L181" s="2852"/>
      <c r="M181" s="2850"/>
      <c r="N181" s="2853"/>
      <c r="O181" s="2850"/>
      <c r="P181" s="2844"/>
    </row>
    <row r="182" spans="1:16" ht="15.75" customHeight="1">
      <c r="A182" s="2843">
        <f t="shared" si="7"/>
        <v>176</v>
      </c>
      <c r="B182" s="2844" t="s">
        <v>3322</v>
      </c>
      <c r="C182" s="2854" t="s">
        <v>3323</v>
      </c>
      <c r="D182" s="2846" t="s">
        <v>2982</v>
      </c>
      <c r="E182" s="2847">
        <v>39034</v>
      </c>
      <c r="F182" s="2848" t="s">
        <v>2983</v>
      </c>
      <c r="G182" s="2857">
        <v>167.7</v>
      </c>
      <c r="H182" s="2850">
        <f t="shared" si="8"/>
        <v>43887.459749552778</v>
      </c>
      <c r="I182" s="2851">
        <v>7359927</v>
      </c>
      <c r="J182" s="2850">
        <f t="shared" si="6"/>
        <v>7359927</v>
      </c>
      <c r="K182" s="2850"/>
      <c r="L182" s="2852"/>
      <c r="M182" s="2850"/>
      <c r="N182" s="2853"/>
      <c r="O182" s="2850"/>
      <c r="P182" s="2844"/>
    </row>
    <row r="183" spans="1:16" ht="15.75" customHeight="1">
      <c r="A183" s="2843">
        <f t="shared" si="7"/>
        <v>177</v>
      </c>
      <c r="B183" s="2844" t="s">
        <v>3324</v>
      </c>
      <c r="C183" s="2854" t="s">
        <v>3325</v>
      </c>
      <c r="D183" s="2846" t="s">
        <v>2982</v>
      </c>
      <c r="E183" s="2847">
        <v>39034</v>
      </c>
      <c r="F183" s="2848" t="s">
        <v>2983</v>
      </c>
      <c r="G183" s="2857">
        <v>159.72999999999999</v>
      </c>
      <c r="H183" s="2850">
        <f t="shared" si="8"/>
        <v>43887.453828335318</v>
      </c>
      <c r="I183" s="2851">
        <v>7010143</v>
      </c>
      <c r="J183" s="2850">
        <f t="shared" si="6"/>
        <v>7010143</v>
      </c>
      <c r="K183" s="2850"/>
      <c r="L183" s="2852"/>
      <c r="M183" s="2850"/>
      <c r="N183" s="2853"/>
      <c r="O183" s="2850"/>
      <c r="P183" s="2844"/>
    </row>
    <row r="184" spans="1:16" ht="15.75" customHeight="1">
      <c r="A184" s="2843">
        <f t="shared" si="7"/>
        <v>178</v>
      </c>
      <c r="B184" s="2844" t="s">
        <v>3326</v>
      </c>
      <c r="C184" s="2854" t="s">
        <v>3327</v>
      </c>
      <c r="D184" s="2846" t="s">
        <v>2982</v>
      </c>
      <c r="E184" s="2847">
        <v>39034</v>
      </c>
      <c r="F184" s="2848" t="s">
        <v>2983</v>
      </c>
      <c r="G184" s="2857">
        <v>186.21</v>
      </c>
      <c r="H184" s="2850">
        <f t="shared" si="8"/>
        <v>43887.455023897746</v>
      </c>
      <c r="I184" s="2851">
        <v>8172283</v>
      </c>
      <c r="J184" s="2850">
        <f t="shared" si="6"/>
        <v>8172283</v>
      </c>
      <c r="K184" s="2850"/>
      <c r="L184" s="2852"/>
      <c r="M184" s="2850"/>
      <c r="N184" s="2853"/>
      <c r="O184" s="2850"/>
      <c r="P184" s="2844"/>
    </row>
    <row r="185" spans="1:16" ht="15.75" customHeight="1">
      <c r="A185" s="2843">
        <f t="shared" si="7"/>
        <v>179</v>
      </c>
      <c r="B185" s="2844" t="s">
        <v>3328</v>
      </c>
      <c r="C185" s="2854" t="s">
        <v>3329</v>
      </c>
      <c r="D185" s="2846" t="s">
        <v>2982</v>
      </c>
      <c r="E185" s="2847">
        <v>39034</v>
      </c>
      <c r="F185" s="2848" t="s">
        <v>2983</v>
      </c>
      <c r="G185" s="2857">
        <v>75.84</v>
      </c>
      <c r="H185" s="2850">
        <f t="shared" si="8"/>
        <v>43887.447257383967</v>
      </c>
      <c r="I185" s="2851">
        <v>3328424</v>
      </c>
      <c r="J185" s="2850">
        <f t="shared" si="6"/>
        <v>3328424</v>
      </c>
      <c r="K185" s="2850"/>
      <c r="L185" s="2852"/>
      <c r="M185" s="2850"/>
      <c r="N185" s="2853"/>
      <c r="O185" s="2850"/>
      <c r="P185" s="2844"/>
    </row>
    <row r="186" spans="1:16" ht="15.75" customHeight="1">
      <c r="A186" s="2843">
        <f t="shared" si="7"/>
        <v>180</v>
      </c>
      <c r="B186" s="2844" t="s">
        <v>3330</v>
      </c>
      <c r="C186" s="2854" t="s">
        <v>3331</v>
      </c>
      <c r="D186" s="2846" t="s">
        <v>2982</v>
      </c>
      <c r="E186" s="2847">
        <v>39034</v>
      </c>
      <c r="F186" s="2848" t="s">
        <v>2983</v>
      </c>
      <c r="G186" s="2857">
        <v>168.13</v>
      </c>
      <c r="H186" s="2850">
        <f t="shared" si="8"/>
        <v>43887.456135133529</v>
      </c>
      <c r="I186" s="2851">
        <v>7378798</v>
      </c>
      <c r="J186" s="2850">
        <f t="shared" si="6"/>
        <v>7378798</v>
      </c>
      <c r="K186" s="2850"/>
      <c r="L186" s="2852"/>
      <c r="M186" s="2850"/>
      <c r="N186" s="2853"/>
      <c r="O186" s="2850"/>
      <c r="P186" s="2844"/>
    </row>
    <row r="187" spans="1:16" ht="15.75" customHeight="1">
      <c r="A187" s="2843">
        <f t="shared" si="7"/>
        <v>181</v>
      </c>
      <c r="B187" s="2844" t="s">
        <v>3332</v>
      </c>
      <c r="C187" s="2854" t="s">
        <v>3333</v>
      </c>
      <c r="D187" s="2846" t="s">
        <v>2968</v>
      </c>
      <c r="E187" s="2847">
        <v>39034</v>
      </c>
      <c r="F187" s="2848" t="s">
        <v>2969</v>
      </c>
      <c r="G187" s="2857">
        <v>160.12</v>
      </c>
      <c r="H187" s="2850">
        <f t="shared" si="8"/>
        <v>43887.459405445916</v>
      </c>
      <c r="I187" s="2851">
        <v>7027260</v>
      </c>
      <c r="J187" s="2850">
        <f t="shared" si="6"/>
        <v>7027260</v>
      </c>
      <c r="K187" s="2850"/>
      <c r="L187" s="2852"/>
      <c r="M187" s="2850"/>
      <c r="N187" s="2853"/>
      <c r="O187" s="2850"/>
      <c r="P187" s="2844"/>
    </row>
    <row r="188" spans="1:16" ht="15.75" customHeight="1">
      <c r="A188" s="2843">
        <f t="shared" si="7"/>
        <v>182</v>
      </c>
      <c r="B188" s="2844" t="s">
        <v>3334</v>
      </c>
      <c r="C188" s="2854" t="s">
        <v>3335</v>
      </c>
      <c r="D188" s="2846" t="s">
        <v>2968</v>
      </c>
      <c r="E188" s="2847">
        <v>39034</v>
      </c>
      <c r="F188" s="2848" t="s">
        <v>2969</v>
      </c>
      <c r="G188" s="2857">
        <v>186.4</v>
      </c>
      <c r="H188" s="2850">
        <f t="shared" si="8"/>
        <v>43887.457081545064</v>
      </c>
      <c r="I188" s="2851">
        <v>8180622</v>
      </c>
      <c r="J188" s="2850">
        <f t="shared" si="6"/>
        <v>8180622</v>
      </c>
      <c r="K188" s="2850"/>
      <c r="L188" s="2852"/>
      <c r="M188" s="2850"/>
      <c r="N188" s="2853"/>
      <c r="O188" s="2850"/>
      <c r="P188" s="2844"/>
    </row>
    <row r="189" spans="1:16" ht="15.75" customHeight="1">
      <c r="A189" s="2843">
        <f t="shared" si="7"/>
        <v>183</v>
      </c>
      <c r="B189" s="2844" t="s">
        <v>3336</v>
      </c>
      <c r="C189" s="2854" t="s">
        <v>3337</v>
      </c>
      <c r="D189" s="2846" t="s">
        <v>2968</v>
      </c>
      <c r="E189" s="2847">
        <v>39034</v>
      </c>
      <c r="F189" s="2848" t="s">
        <v>2969</v>
      </c>
      <c r="G189" s="2857">
        <v>107.51</v>
      </c>
      <c r="H189" s="2850">
        <f t="shared" si="8"/>
        <v>43887.452330015811</v>
      </c>
      <c r="I189" s="2851">
        <v>4718340</v>
      </c>
      <c r="J189" s="2850">
        <f t="shared" si="6"/>
        <v>4718340</v>
      </c>
      <c r="K189" s="2850"/>
      <c r="L189" s="2852"/>
      <c r="M189" s="2850"/>
      <c r="N189" s="2853"/>
      <c r="O189" s="2850"/>
      <c r="P189" s="2844"/>
    </row>
    <row r="190" spans="1:16" ht="15.75" customHeight="1">
      <c r="A190" s="2843">
        <f t="shared" si="7"/>
        <v>184</v>
      </c>
      <c r="B190" s="2844" t="s">
        <v>3338</v>
      </c>
      <c r="C190" s="2854" t="s">
        <v>3339</v>
      </c>
      <c r="D190" s="2846" t="s">
        <v>2968</v>
      </c>
      <c r="E190" s="2847">
        <v>39034</v>
      </c>
      <c r="F190" s="2848" t="s">
        <v>2969</v>
      </c>
      <c r="G190" s="2857">
        <v>167.7</v>
      </c>
      <c r="H190" s="2850">
        <f t="shared" si="8"/>
        <v>43887.459749552778</v>
      </c>
      <c r="I190" s="2851">
        <v>7359927</v>
      </c>
      <c r="J190" s="2850">
        <f t="shared" si="6"/>
        <v>7359927</v>
      </c>
      <c r="K190" s="2850"/>
      <c r="L190" s="2852"/>
      <c r="M190" s="2850"/>
      <c r="N190" s="2853"/>
      <c r="O190" s="2850"/>
      <c r="P190" s="2844"/>
    </row>
    <row r="191" spans="1:16" ht="15.75" customHeight="1">
      <c r="A191" s="2843">
        <f t="shared" si="7"/>
        <v>185</v>
      </c>
      <c r="B191" s="2844" t="s">
        <v>3340</v>
      </c>
      <c r="C191" s="2854" t="s">
        <v>3341</v>
      </c>
      <c r="D191" s="2846" t="s">
        <v>2968</v>
      </c>
      <c r="E191" s="2847">
        <v>39034</v>
      </c>
      <c r="F191" s="2848" t="s">
        <v>2969</v>
      </c>
      <c r="G191" s="2857">
        <v>159.72999999999999</v>
      </c>
      <c r="H191" s="2850">
        <f t="shared" si="8"/>
        <v>43887.453828335318</v>
      </c>
      <c r="I191" s="2851">
        <v>7010143</v>
      </c>
      <c r="J191" s="2850">
        <f t="shared" si="6"/>
        <v>7010143</v>
      </c>
      <c r="K191" s="2850"/>
      <c r="L191" s="2852"/>
      <c r="M191" s="2850"/>
      <c r="N191" s="2853"/>
      <c r="O191" s="2850"/>
      <c r="P191" s="2844"/>
    </row>
    <row r="192" spans="1:16" ht="15.75" customHeight="1">
      <c r="A192" s="2843">
        <f t="shared" si="7"/>
        <v>186</v>
      </c>
      <c r="B192" s="2844" t="s">
        <v>3342</v>
      </c>
      <c r="C192" s="2854" t="s">
        <v>3343</v>
      </c>
      <c r="D192" s="2846" t="s">
        <v>2968</v>
      </c>
      <c r="E192" s="2847">
        <v>39034</v>
      </c>
      <c r="F192" s="2848" t="s">
        <v>2969</v>
      </c>
      <c r="G192" s="2857">
        <v>186.21</v>
      </c>
      <c r="H192" s="2850">
        <f t="shared" si="8"/>
        <v>43887.455023897746</v>
      </c>
      <c r="I192" s="2851">
        <v>8172283</v>
      </c>
      <c r="J192" s="2850">
        <f t="shared" si="6"/>
        <v>8172283</v>
      </c>
      <c r="K192" s="2850"/>
      <c r="L192" s="2852"/>
      <c r="M192" s="2850"/>
      <c r="N192" s="2853"/>
      <c r="O192" s="2850"/>
      <c r="P192" s="2844"/>
    </row>
    <row r="193" spans="1:16" ht="15.75" customHeight="1">
      <c r="A193" s="2843">
        <f t="shared" si="7"/>
        <v>187</v>
      </c>
      <c r="B193" s="2844" t="s">
        <v>3344</v>
      </c>
      <c r="C193" s="2854" t="s">
        <v>3345</v>
      </c>
      <c r="D193" s="2846" t="s">
        <v>2968</v>
      </c>
      <c r="E193" s="2847">
        <v>39034</v>
      </c>
      <c r="F193" s="2848" t="s">
        <v>2969</v>
      </c>
      <c r="G193" s="2857">
        <v>75.84</v>
      </c>
      <c r="H193" s="2850">
        <f t="shared" si="8"/>
        <v>43887.447257383967</v>
      </c>
      <c r="I193" s="2851">
        <v>3328424</v>
      </c>
      <c r="J193" s="2850">
        <f t="shared" si="6"/>
        <v>3328424</v>
      </c>
      <c r="K193" s="2850"/>
      <c r="L193" s="2852"/>
      <c r="M193" s="2850"/>
      <c r="N193" s="2853"/>
      <c r="O193" s="2850"/>
      <c r="P193" s="2844"/>
    </row>
    <row r="194" spans="1:16" ht="15.75" customHeight="1">
      <c r="A194" s="2843">
        <f t="shared" si="7"/>
        <v>188</v>
      </c>
      <c r="B194" s="2844" t="s">
        <v>3346</v>
      </c>
      <c r="C194" s="2854" t="s">
        <v>3347</v>
      </c>
      <c r="D194" s="2846" t="s">
        <v>2968</v>
      </c>
      <c r="E194" s="2847">
        <v>39034</v>
      </c>
      <c r="F194" s="2848" t="s">
        <v>2969</v>
      </c>
      <c r="G194" s="2857">
        <v>168.13</v>
      </c>
      <c r="H194" s="2850">
        <f t="shared" si="8"/>
        <v>43887.456135133529</v>
      </c>
      <c r="I194" s="2851">
        <v>7378798</v>
      </c>
      <c r="J194" s="2850">
        <f t="shared" si="6"/>
        <v>7378798</v>
      </c>
      <c r="K194" s="2850"/>
      <c r="L194" s="2852"/>
      <c r="M194" s="2850"/>
      <c r="N194" s="2853"/>
      <c r="O194" s="2850"/>
      <c r="P194" s="2844"/>
    </row>
    <row r="195" spans="1:16" ht="15.75" customHeight="1">
      <c r="A195" s="2843">
        <f t="shared" si="7"/>
        <v>189</v>
      </c>
      <c r="B195" s="2844" t="s">
        <v>3348</v>
      </c>
      <c r="C195" s="2854" t="s">
        <v>3349</v>
      </c>
      <c r="D195" s="2846" t="s">
        <v>2968</v>
      </c>
      <c r="E195" s="2847">
        <v>39034</v>
      </c>
      <c r="F195" s="2848" t="s">
        <v>2969</v>
      </c>
      <c r="G195" s="2857">
        <v>160.12</v>
      </c>
      <c r="H195" s="2850">
        <f t="shared" si="8"/>
        <v>43887.459405445916</v>
      </c>
      <c r="I195" s="2851">
        <v>7027260</v>
      </c>
      <c r="J195" s="2850">
        <f t="shared" si="6"/>
        <v>7027260</v>
      </c>
      <c r="K195" s="2850"/>
      <c r="L195" s="2852"/>
      <c r="M195" s="2850"/>
      <c r="N195" s="2853"/>
      <c r="O195" s="2850"/>
      <c r="P195" s="2844"/>
    </row>
    <row r="196" spans="1:16" ht="15.75" customHeight="1">
      <c r="A196" s="2843">
        <f t="shared" si="7"/>
        <v>190</v>
      </c>
      <c r="B196" s="2844" t="s">
        <v>3350</v>
      </c>
      <c r="C196" s="2854" t="s">
        <v>3351</v>
      </c>
      <c r="D196" s="2846" t="s">
        <v>2968</v>
      </c>
      <c r="E196" s="2847">
        <v>39034</v>
      </c>
      <c r="F196" s="2848" t="s">
        <v>2969</v>
      </c>
      <c r="G196" s="2857">
        <v>186.4</v>
      </c>
      <c r="H196" s="2850">
        <f t="shared" si="8"/>
        <v>43887.457081545064</v>
      </c>
      <c r="I196" s="2851">
        <v>8180622</v>
      </c>
      <c r="J196" s="2850">
        <f t="shared" si="6"/>
        <v>8180622</v>
      </c>
      <c r="K196" s="2850"/>
      <c r="L196" s="2852"/>
      <c r="M196" s="2850"/>
      <c r="N196" s="2853"/>
      <c r="O196" s="2850"/>
      <c r="P196" s="2844"/>
    </row>
    <row r="197" spans="1:16" ht="15.75" customHeight="1">
      <c r="A197" s="2843">
        <f t="shared" si="7"/>
        <v>191</v>
      </c>
      <c r="B197" s="2844" t="s">
        <v>3352</v>
      </c>
      <c r="C197" s="2854" t="s">
        <v>3353</v>
      </c>
      <c r="D197" s="2846" t="s">
        <v>2968</v>
      </c>
      <c r="E197" s="2847">
        <v>39034</v>
      </c>
      <c r="F197" s="2848" t="s">
        <v>2969</v>
      </c>
      <c r="G197" s="2857">
        <v>107.51</v>
      </c>
      <c r="H197" s="2850">
        <f t="shared" si="8"/>
        <v>43887.452330015811</v>
      </c>
      <c r="I197" s="2851">
        <v>4718340</v>
      </c>
      <c r="J197" s="2850">
        <f t="shared" si="6"/>
        <v>4718340</v>
      </c>
      <c r="K197" s="2850"/>
      <c r="L197" s="2852"/>
      <c r="M197" s="2850"/>
      <c r="N197" s="2853"/>
      <c r="O197" s="2850"/>
      <c r="P197" s="2844"/>
    </row>
    <row r="198" spans="1:16" ht="15.75" customHeight="1">
      <c r="A198" s="2843">
        <f t="shared" si="7"/>
        <v>192</v>
      </c>
      <c r="B198" s="2844" t="s">
        <v>3354</v>
      </c>
      <c r="C198" s="2854" t="s">
        <v>3355</v>
      </c>
      <c r="D198" s="2846" t="s">
        <v>2968</v>
      </c>
      <c r="E198" s="2847">
        <v>39034</v>
      </c>
      <c r="F198" s="2848" t="s">
        <v>2969</v>
      </c>
      <c r="G198" s="2857">
        <v>167.7</v>
      </c>
      <c r="H198" s="2850">
        <f t="shared" si="8"/>
        <v>43887.459749552778</v>
      </c>
      <c r="I198" s="2851">
        <v>7359927</v>
      </c>
      <c r="J198" s="2850">
        <f t="shared" si="6"/>
        <v>7359927</v>
      </c>
      <c r="K198" s="2850"/>
      <c r="L198" s="2852"/>
      <c r="M198" s="2850"/>
      <c r="N198" s="2853"/>
      <c r="O198" s="2850"/>
      <c r="P198" s="2844"/>
    </row>
    <row r="199" spans="1:16" ht="15.75" customHeight="1">
      <c r="A199" s="2843">
        <f t="shared" si="7"/>
        <v>193</v>
      </c>
      <c r="B199" s="2844" t="s">
        <v>3356</v>
      </c>
      <c r="C199" s="2854" t="s">
        <v>3357</v>
      </c>
      <c r="D199" s="2846" t="s">
        <v>2968</v>
      </c>
      <c r="E199" s="2847">
        <v>39034</v>
      </c>
      <c r="F199" s="2848" t="s">
        <v>2969</v>
      </c>
      <c r="G199" s="2857">
        <v>159.72999999999999</v>
      </c>
      <c r="H199" s="2850">
        <f t="shared" si="8"/>
        <v>43887.453828335318</v>
      </c>
      <c r="I199" s="2851">
        <v>7010143</v>
      </c>
      <c r="J199" s="2850">
        <f t="shared" si="6"/>
        <v>7010143</v>
      </c>
      <c r="K199" s="2850"/>
      <c r="L199" s="2852"/>
      <c r="M199" s="2850"/>
      <c r="N199" s="2853"/>
      <c r="O199" s="2850"/>
      <c r="P199" s="2844"/>
    </row>
    <row r="200" spans="1:16" ht="15.75" customHeight="1">
      <c r="A200" s="2843">
        <f t="shared" si="7"/>
        <v>194</v>
      </c>
      <c r="B200" s="2844" t="s">
        <v>3358</v>
      </c>
      <c r="C200" s="2854" t="s">
        <v>3359</v>
      </c>
      <c r="D200" s="2846" t="s">
        <v>2968</v>
      </c>
      <c r="E200" s="2847">
        <v>39034</v>
      </c>
      <c r="F200" s="2848" t="s">
        <v>2969</v>
      </c>
      <c r="G200" s="2857">
        <v>186.21</v>
      </c>
      <c r="H200" s="2850">
        <f t="shared" si="8"/>
        <v>43887.455023897746</v>
      </c>
      <c r="I200" s="2851">
        <v>8172283</v>
      </c>
      <c r="J200" s="2850">
        <f t="shared" ref="J200:J236" si="9">I200</f>
        <v>8172283</v>
      </c>
      <c r="K200" s="2850"/>
      <c r="L200" s="2852"/>
      <c r="M200" s="2850"/>
      <c r="N200" s="2853"/>
      <c r="O200" s="2850"/>
      <c r="P200" s="2844"/>
    </row>
    <row r="201" spans="1:16" ht="15.75" customHeight="1">
      <c r="A201" s="2843">
        <f t="shared" ref="A201:A235" si="10">A200+1</f>
        <v>195</v>
      </c>
      <c r="B201" s="2844" t="s">
        <v>3360</v>
      </c>
      <c r="C201" s="2854" t="s">
        <v>3361</v>
      </c>
      <c r="D201" s="2846" t="s">
        <v>2968</v>
      </c>
      <c r="E201" s="2847">
        <v>39034</v>
      </c>
      <c r="F201" s="2848" t="s">
        <v>2969</v>
      </c>
      <c r="G201" s="2857">
        <v>75.84</v>
      </c>
      <c r="H201" s="2850">
        <f t="shared" ref="H201:H235" si="11">I201/G201</f>
        <v>43887.447257383967</v>
      </c>
      <c r="I201" s="2851">
        <v>3328424</v>
      </c>
      <c r="J201" s="2850">
        <f t="shared" si="9"/>
        <v>3328424</v>
      </c>
      <c r="K201" s="2850"/>
      <c r="L201" s="2852"/>
      <c r="M201" s="2850"/>
      <c r="N201" s="2853"/>
      <c r="O201" s="2850"/>
      <c r="P201" s="2844"/>
    </row>
    <row r="202" spans="1:16" ht="15.75" customHeight="1">
      <c r="A202" s="2843">
        <f t="shared" si="10"/>
        <v>196</v>
      </c>
      <c r="B202" s="2844" t="s">
        <v>3362</v>
      </c>
      <c r="C202" s="2854" t="s">
        <v>3363</v>
      </c>
      <c r="D202" s="2846" t="s">
        <v>2968</v>
      </c>
      <c r="E202" s="2847">
        <v>39034</v>
      </c>
      <c r="F202" s="2848" t="s">
        <v>2969</v>
      </c>
      <c r="G202" s="2857">
        <v>168.13</v>
      </c>
      <c r="H202" s="2850">
        <f t="shared" si="11"/>
        <v>43887.456135133529</v>
      </c>
      <c r="I202" s="2851">
        <v>7378798</v>
      </c>
      <c r="J202" s="2850">
        <f t="shared" si="9"/>
        <v>7378798</v>
      </c>
      <c r="K202" s="2850"/>
      <c r="L202" s="2852"/>
      <c r="M202" s="2850"/>
      <c r="N202" s="2853"/>
      <c r="O202" s="2850"/>
      <c r="P202" s="2844"/>
    </row>
    <row r="203" spans="1:16" ht="15.75" customHeight="1">
      <c r="A203" s="2843">
        <f t="shared" si="10"/>
        <v>197</v>
      </c>
      <c r="B203" s="2844" t="s">
        <v>3364</v>
      </c>
      <c r="C203" s="2854" t="s">
        <v>3365</v>
      </c>
      <c r="D203" s="2846" t="s">
        <v>2968</v>
      </c>
      <c r="E203" s="2847">
        <v>39034</v>
      </c>
      <c r="F203" s="2848" t="s">
        <v>2969</v>
      </c>
      <c r="G203" s="2857">
        <v>160.12</v>
      </c>
      <c r="H203" s="2850">
        <f t="shared" si="11"/>
        <v>43887.459405445916</v>
      </c>
      <c r="I203" s="2851">
        <v>7027260</v>
      </c>
      <c r="J203" s="2850">
        <f t="shared" si="9"/>
        <v>7027260</v>
      </c>
      <c r="K203" s="2850"/>
      <c r="L203" s="2852"/>
      <c r="M203" s="2850"/>
      <c r="N203" s="2853"/>
      <c r="O203" s="2850"/>
      <c r="P203" s="2844"/>
    </row>
    <row r="204" spans="1:16" ht="15.75" customHeight="1">
      <c r="A204" s="2843">
        <f t="shared" si="10"/>
        <v>198</v>
      </c>
      <c r="B204" s="2844" t="s">
        <v>3366</v>
      </c>
      <c r="C204" s="2854" t="s">
        <v>3367</v>
      </c>
      <c r="D204" s="2846" t="s">
        <v>2968</v>
      </c>
      <c r="E204" s="2847">
        <v>39034</v>
      </c>
      <c r="F204" s="2848" t="s">
        <v>2969</v>
      </c>
      <c r="G204" s="2857">
        <v>186.4</v>
      </c>
      <c r="H204" s="2850">
        <f t="shared" si="11"/>
        <v>43887.457081545064</v>
      </c>
      <c r="I204" s="2851">
        <v>8180622</v>
      </c>
      <c r="J204" s="2850">
        <f t="shared" si="9"/>
        <v>8180622</v>
      </c>
      <c r="K204" s="2850"/>
      <c r="L204" s="2852"/>
      <c r="M204" s="2850"/>
      <c r="N204" s="2853"/>
      <c r="O204" s="2850"/>
      <c r="P204" s="2844"/>
    </row>
    <row r="205" spans="1:16" ht="15.75" customHeight="1">
      <c r="A205" s="2843">
        <f t="shared" si="10"/>
        <v>199</v>
      </c>
      <c r="B205" s="2844" t="s">
        <v>3368</v>
      </c>
      <c r="C205" s="2854" t="s">
        <v>3369</v>
      </c>
      <c r="D205" s="2846" t="s">
        <v>2968</v>
      </c>
      <c r="E205" s="2847">
        <v>39034</v>
      </c>
      <c r="F205" s="2848" t="s">
        <v>2969</v>
      </c>
      <c r="G205" s="2857">
        <v>107.51</v>
      </c>
      <c r="H205" s="2850">
        <f t="shared" si="11"/>
        <v>43887.452330015811</v>
      </c>
      <c r="I205" s="2851">
        <v>4718340</v>
      </c>
      <c r="J205" s="2850">
        <f t="shared" si="9"/>
        <v>4718340</v>
      </c>
      <c r="K205" s="2850"/>
      <c r="L205" s="2852"/>
      <c r="M205" s="2850"/>
      <c r="N205" s="2853"/>
      <c r="O205" s="2850"/>
      <c r="P205" s="2844"/>
    </row>
    <row r="206" spans="1:16" ht="15.75" customHeight="1">
      <c r="A206" s="2843">
        <f t="shared" si="10"/>
        <v>200</v>
      </c>
      <c r="B206" s="2844" t="s">
        <v>3370</v>
      </c>
      <c r="C206" s="2854" t="s">
        <v>3371</v>
      </c>
      <c r="D206" s="2846" t="s">
        <v>2968</v>
      </c>
      <c r="E206" s="2847">
        <v>39034</v>
      </c>
      <c r="F206" s="2848" t="s">
        <v>2969</v>
      </c>
      <c r="G206" s="2857">
        <v>167.7</v>
      </c>
      <c r="H206" s="2850">
        <f t="shared" si="11"/>
        <v>43887.459749552778</v>
      </c>
      <c r="I206" s="2851">
        <v>7359927</v>
      </c>
      <c r="J206" s="2850">
        <f t="shared" si="9"/>
        <v>7359927</v>
      </c>
      <c r="K206" s="2850"/>
      <c r="L206" s="2852"/>
      <c r="M206" s="2850"/>
      <c r="N206" s="2853"/>
      <c r="O206" s="2850"/>
      <c r="P206" s="2844"/>
    </row>
    <row r="207" spans="1:16" ht="15.75" customHeight="1">
      <c r="A207" s="2843">
        <f t="shared" si="10"/>
        <v>201</v>
      </c>
      <c r="B207" s="2844" t="s">
        <v>3372</v>
      </c>
      <c r="C207" s="2854" t="s">
        <v>3373</v>
      </c>
      <c r="D207" s="2846" t="s">
        <v>2968</v>
      </c>
      <c r="E207" s="2847">
        <v>39034</v>
      </c>
      <c r="F207" s="2848" t="s">
        <v>2969</v>
      </c>
      <c r="G207" s="2857">
        <v>159.72999999999999</v>
      </c>
      <c r="H207" s="2850">
        <f t="shared" si="11"/>
        <v>43887.453828335318</v>
      </c>
      <c r="I207" s="2851">
        <v>7010143</v>
      </c>
      <c r="J207" s="2850">
        <f t="shared" si="9"/>
        <v>7010143</v>
      </c>
      <c r="K207" s="2850"/>
      <c r="L207" s="2852"/>
      <c r="M207" s="2850"/>
      <c r="N207" s="2853"/>
      <c r="O207" s="2850"/>
      <c r="P207" s="2844"/>
    </row>
    <row r="208" spans="1:16" ht="15.75" customHeight="1">
      <c r="A208" s="2843">
        <f t="shared" si="10"/>
        <v>202</v>
      </c>
      <c r="B208" s="2844" t="s">
        <v>3374</v>
      </c>
      <c r="C208" s="2854" t="s">
        <v>3375</v>
      </c>
      <c r="D208" s="2846" t="s">
        <v>2968</v>
      </c>
      <c r="E208" s="2847">
        <v>39034</v>
      </c>
      <c r="F208" s="2848" t="s">
        <v>2969</v>
      </c>
      <c r="G208" s="2857">
        <v>186.21</v>
      </c>
      <c r="H208" s="2850">
        <f t="shared" si="11"/>
        <v>43887.455023897746</v>
      </c>
      <c r="I208" s="2851">
        <v>8172283</v>
      </c>
      <c r="J208" s="2850">
        <f t="shared" si="9"/>
        <v>8172283</v>
      </c>
      <c r="K208" s="2850"/>
      <c r="L208" s="2852"/>
      <c r="M208" s="2850"/>
      <c r="N208" s="2853"/>
      <c r="O208" s="2850"/>
      <c r="P208" s="2844"/>
    </row>
    <row r="209" spans="1:16" ht="15.75" customHeight="1">
      <c r="A209" s="2843">
        <f t="shared" si="10"/>
        <v>203</v>
      </c>
      <c r="B209" s="2844" t="s">
        <v>3376</v>
      </c>
      <c r="C209" s="2854" t="s">
        <v>3377</v>
      </c>
      <c r="D209" s="2846" t="s">
        <v>2968</v>
      </c>
      <c r="E209" s="2847">
        <v>39034</v>
      </c>
      <c r="F209" s="2848" t="s">
        <v>2969</v>
      </c>
      <c r="G209" s="2857">
        <v>75.84</v>
      </c>
      <c r="H209" s="2850">
        <f t="shared" si="11"/>
        <v>43887.447257383967</v>
      </c>
      <c r="I209" s="2851">
        <v>3328424</v>
      </c>
      <c r="J209" s="2850">
        <f t="shared" si="9"/>
        <v>3328424</v>
      </c>
      <c r="K209" s="2850"/>
      <c r="L209" s="2852"/>
      <c r="M209" s="2850"/>
      <c r="N209" s="2853"/>
      <c r="O209" s="2850"/>
      <c r="P209" s="2844"/>
    </row>
    <row r="210" spans="1:16" ht="15.75" customHeight="1">
      <c r="A210" s="2843">
        <f t="shared" si="10"/>
        <v>204</v>
      </c>
      <c r="B210" s="2844" t="s">
        <v>3378</v>
      </c>
      <c r="C210" s="2854" t="s">
        <v>3379</v>
      </c>
      <c r="D210" s="2846" t="s">
        <v>2968</v>
      </c>
      <c r="E210" s="2847">
        <v>39034</v>
      </c>
      <c r="F210" s="2848" t="s">
        <v>2969</v>
      </c>
      <c r="G210" s="2857">
        <v>168.13</v>
      </c>
      <c r="H210" s="2850">
        <f t="shared" si="11"/>
        <v>43887.456135133529</v>
      </c>
      <c r="I210" s="2851">
        <v>7378798</v>
      </c>
      <c r="J210" s="2850">
        <f t="shared" si="9"/>
        <v>7378798</v>
      </c>
      <c r="K210" s="2850"/>
      <c r="L210" s="2852"/>
      <c r="M210" s="2850"/>
      <c r="N210" s="2853"/>
      <c r="O210" s="2850"/>
      <c r="P210" s="2844"/>
    </row>
    <row r="211" spans="1:16" ht="15.75" customHeight="1">
      <c r="A211" s="2843">
        <f t="shared" si="10"/>
        <v>205</v>
      </c>
      <c r="B211" s="2844" t="s">
        <v>3380</v>
      </c>
      <c r="C211" s="2854" t="s">
        <v>3381</v>
      </c>
      <c r="D211" s="2846" t="s">
        <v>2968</v>
      </c>
      <c r="E211" s="2847">
        <v>39034</v>
      </c>
      <c r="F211" s="2848" t="s">
        <v>2969</v>
      </c>
      <c r="G211" s="2857">
        <v>160.12</v>
      </c>
      <c r="H211" s="2850">
        <f t="shared" si="11"/>
        <v>43887.459405445916</v>
      </c>
      <c r="I211" s="2851">
        <v>7027260</v>
      </c>
      <c r="J211" s="2850">
        <f t="shared" si="9"/>
        <v>7027260</v>
      </c>
      <c r="K211" s="2850"/>
      <c r="L211" s="2852"/>
      <c r="M211" s="2850"/>
      <c r="N211" s="2853"/>
      <c r="O211" s="2850"/>
      <c r="P211" s="2844"/>
    </row>
    <row r="212" spans="1:16" ht="15.75" customHeight="1">
      <c r="A212" s="2843">
        <f t="shared" si="10"/>
        <v>206</v>
      </c>
      <c r="B212" s="2844" t="s">
        <v>3382</v>
      </c>
      <c r="C212" s="2854" t="s">
        <v>3383</v>
      </c>
      <c r="D212" s="2846" t="s">
        <v>2968</v>
      </c>
      <c r="E212" s="2847">
        <v>39034</v>
      </c>
      <c r="F212" s="2848" t="s">
        <v>2969</v>
      </c>
      <c r="G212" s="2857">
        <v>186.4</v>
      </c>
      <c r="H212" s="2850">
        <f t="shared" si="11"/>
        <v>43887.457081545064</v>
      </c>
      <c r="I212" s="2851">
        <v>8180622</v>
      </c>
      <c r="J212" s="2850">
        <f t="shared" si="9"/>
        <v>8180622</v>
      </c>
      <c r="K212" s="2850"/>
      <c r="L212" s="2852"/>
      <c r="M212" s="2850"/>
      <c r="N212" s="2853"/>
      <c r="O212" s="2850"/>
      <c r="P212" s="2844"/>
    </row>
    <row r="213" spans="1:16" ht="15.75" customHeight="1">
      <c r="A213" s="2843">
        <f t="shared" si="10"/>
        <v>207</v>
      </c>
      <c r="B213" s="2844" t="s">
        <v>3384</v>
      </c>
      <c r="C213" s="2854" t="s">
        <v>3385</v>
      </c>
      <c r="D213" s="2846" t="s">
        <v>2968</v>
      </c>
      <c r="E213" s="2847">
        <v>39034</v>
      </c>
      <c r="F213" s="2848" t="s">
        <v>2969</v>
      </c>
      <c r="G213" s="2857">
        <v>107.51</v>
      </c>
      <c r="H213" s="2850">
        <f t="shared" si="11"/>
        <v>43887.452330015811</v>
      </c>
      <c r="I213" s="2851">
        <v>4718340</v>
      </c>
      <c r="J213" s="2850">
        <f t="shared" si="9"/>
        <v>4718340</v>
      </c>
      <c r="K213" s="2850"/>
      <c r="L213" s="2852"/>
      <c r="M213" s="2850"/>
      <c r="N213" s="2853"/>
      <c r="O213" s="2850"/>
      <c r="P213" s="2844"/>
    </row>
    <row r="214" spans="1:16" ht="15.75" customHeight="1">
      <c r="A214" s="2843">
        <f t="shared" si="10"/>
        <v>208</v>
      </c>
      <c r="B214" s="2844" t="s">
        <v>3386</v>
      </c>
      <c r="C214" s="2854" t="s">
        <v>3387</v>
      </c>
      <c r="D214" s="2846" t="s">
        <v>2968</v>
      </c>
      <c r="E214" s="2847">
        <v>39034</v>
      </c>
      <c r="F214" s="2848" t="s">
        <v>2969</v>
      </c>
      <c r="G214" s="2857">
        <v>167.7</v>
      </c>
      <c r="H214" s="2850">
        <f t="shared" si="11"/>
        <v>43887.459749552778</v>
      </c>
      <c r="I214" s="2851">
        <v>7359927</v>
      </c>
      <c r="J214" s="2850">
        <f t="shared" si="9"/>
        <v>7359927</v>
      </c>
      <c r="K214" s="2850"/>
      <c r="L214" s="2852"/>
      <c r="M214" s="2850"/>
      <c r="N214" s="2853"/>
      <c r="O214" s="2850"/>
      <c r="P214" s="2844"/>
    </row>
    <row r="215" spans="1:16" ht="15.75" customHeight="1">
      <c r="A215" s="2843">
        <f t="shared" si="10"/>
        <v>209</v>
      </c>
      <c r="B215" s="2844" t="s">
        <v>3388</v>
      </c>
      <c r="C215" s="2854" t="s">
        <v>3389</v>
      </c>
      <c r="D215" s="2846" t="s">
        <v>2968</v>
      </c>
      <c r="E215" s="2847">
        <v>39034</v>
      </c>
      <c r="F215" s="2848" t="s">
        <v>2969</v>
      </c>
      <c r="G215" s="2857">
        <v>159.72999999999999</v>
      </c>
      <c r="H215" s="2850">
        <f t="shared" si="11"/>
        <v>43887.453828335318</v>
      </c>
      <c r="I215" s="2851">
        <v>7010143</v>
      </c>
      <c r="J215" s="2850">
        <f t="shared" si="9"/>
        <v>7010143</v>
      </c>
      <c r="K215" s="2850"/>
      <c r="L215" s="2852"/>
      <c r="M215" s="2850"/>
      <c r="N215" s="2853"/>
      <c r="O215" s="2850"/>
      <c r="P215" s="2844"/>
    </row>
    <row r="216" spans="1:16" ht="15.75" customHeight="1">
      <c r="A216" s="2843">
        <f t="shared" si="10"/>
        <v>210</v>
      </c>
      <c r="B216" s="2844" t="s">
        <v>3390</v>
      </c>
      <c r="C216" s="2854" t="s">
        <v>3391</v>
      </c>
      <c r="D216" s="2846" t="s">
        <v>2968</v>
      </c>
      <c r="E216" s="2847">
        <v>39034</v>
      </c>
      <c r="F216" s="2848" t="s">
        <v>2969</v>
      </c>
      <c r="G216" s="2857">
        <v>186.21</v>
      </c>
      <c r="H216" s="2850">
        <f t="shared" si="11"/>
        <v>43887.455023897746</v>
      </c>
      <c r="I216" s="2851">
        <v>8172283</v>
      </c>
      <c r="J216" s="2850">
        <f t="shared" si="9"/>
        <v>8172283</v>
      </c>
      <c r="K216" s="2850"/>
      <c r="L216" s="2852"/>
      <c r="M216" s="2850"/>
      <c r="N216" s="2853"/>
      <c r="O216" s="2850"/>
      <c r="P216" s="2844"/>
    </row>
    <row r="217" spans="1:16" ht="15.75" customHeight="1">
      <c r="A217" s="2843">
        <f t="shared" si="10"/>
        <v>211</v>
      </c>
      <c r="B217" s="2844" t="s">
        <v>3392</v>
      </c>
      <c r="C217" s="2854" t="s">
        <v>3393</v>
      </c>
      <c r="D217" s="2846" t="s">
        <v>2968</v>
      </c>
      <c r="E217" s="2847">
        <v>39034</v>
      </c>
      <c r="F217" s="2848" t="s">
        <v>2969</v>
      </c>
      <c r="G217" s="2857">
        <v>75.84</v>
      </c>
      <c r="H217" s="2850">
        <f t="shared" si="11"/>
        <v>43887.447257383967</v>
      </c>
      <c r="I217" s="2851">
        <v>3328424</v>
      </c>
      <c r="J217" s="2850">
        <f t="shared" si="9"/>
        <v>3328424</v>
      </c>
      <c r="K217" s="2850"/>
      <c r="L217" s="2852"/>
      <c r="M217" s="2850"/>
      <c r="N217" s="2853"/>
      <c r="O217" s="2850"/>
      <c r="P217" s="2844"/>
    </row>
    <row r="218" spans="1:16" ht="15.75" customHeight="1">
      <c r="A218" s="2843">
        <f t="shared" si="10"/>
        <v>212</v>
      </c>
      <c r="B218" s="2844" t="s">
        <v>3394</v>
      </c>
      <c r="C218" s="2854" t="s">
        <v>3395</v>
      </c>
      <c r="D218" s="2846" t="s">
        <v>2968</v>
      </c>
      <c r="E218" s="2847">
        <v>39034</v>
      </c>
      <c r="F218" s="2848" t="s">
        <v>2969</v>
      </c>
      <c r="G218" s="2857">
        <v>168.22</v>
      </c>
      <c r="H218" s="2850">
        <f t="shared" si="11"/>
        <v>43887.456901676378</v>
      </c>
      <c r="I218" s="2851">
        <v>7382748</v>
      </c>
      <c r="J218" s="2850">
        <f t="shared" si="9"/>
        <v>7382748</v>
      </c>
      <c r="K218" s="2850"/>
      <c r="L218" s="2852"/>
      <c r="M218" s="2850"/>
      <c r="N218" s="2853">
        <f t="shared" ref="N218:N229" si="12">IF(J218=0,"",(M218-J218)/J218)</f>
        <v>-1</v>
      </c>
      <c r="O218" s="2850"/>
      <c r="P218" s="2844"/>
    </row>
    <row r="219" spans="1:16" ht="15.75" customHeight="1">
      <c r="A219" s="2843">
        <f t="shared" si="10"/>
        <v>213</v>
      </c>
      <c r="B219" s="2844" t="s">
        <v>3396</v>
      </c>
      <c r="C219" s="2854" t="s">
        <v>3397</v>
      </c>
      <c r="D219" s="2846" t="s">
        <v>2968</v>
      </c>
      <c r="E219" s="2847">
        <v>39034</v>
      </c>
      <c r="F219" s="2848" t="s">
        <v>2969</v>
      </c>
      <c r="G219" s="2857">
        <v>160.29</v>
      </c>
      <c r="H219" s="2850">
        <f t="shared" si="11"/>
        <v>43887.453989643771</v>
      </c>
      <c r="I219" s="2851">
        <v>7034720</v>
      </c>
      <c r="J219" s="2850">
        <f t="shared" si="9"/>
        <v>7034720</v>
      </c>
      <c r="K219" s="2850"/>
      <c r="L219" s="2852"/>
      <c r="M219" s="2850"/>
      <c r="N219" s="2853">
        <f t="shared" si="12"/>
        <v>-1</v>
      </c>
      <c r="O219" s="2850"/>
      <c r="P219" s="2844"/>
    </row>
    <row r="220" spans="1:16" ht="15.75" customHeight="1">
      <c r="A220" s="2843">
        <f t="shared" si="10"/>
        <v>214</v>
      </c>
      <c r="B220" s="2844" t="s">
        <v>3398</v>
      </c>
      <c r="C220" s="2854" t="s">
        <v>3399</v>
      </c>
      <c r="D220" s="2846" t="s">
        <v>2968</v>
      </c>
      <c r="E220" s="2847">
        <v>39034</v>
      </c>
      <c r="F220" s="2848" t="s">
        <v>2969</v>
      </c>
      <c r="G220" s="2857">
        <v>293.85000000000002</v>
      </c>
      <c r="H220" s="2850">
        <f t="shared" si="11"/>
        <v>43887.459588225283</v>
      </c>
      <c r="I220" s="2851">
        <v>12896330</v>
      </c>
      <c r="J220" s="2850">
        <f t="shared" si="9"/>
        <v>12896330</v>
      </c>
      <c r="K220" s="2850"/>
      <c r="L220" s="2852"/>
      <c r="M220" s="2850"/>
      <c r="N220" s="2853">
        <f t="shared" si="12"/>
        <v>-1</v>
      </c>
      <c r="O220" s="2850"/>
      <c r="P220" s="2844"/>
    </row>
    <row r="221" spans="1:16" ht="15.75" customHeight="1">
      <c r="A221" s="2843">
        <f t="shared" si="10"/>
        <v>215</v>
      </c>
      <c r="B221" s="2844" t="s">
        <v>3400</v>
      </c>
      <c r="C221" s="2854" t="s">
        <v>3401</v>
      </c>
      <c r="D221" s="2846" t="s">
        <v>2968</v>
      </c>
      <c r="E221" s="2847">
        <v>39034</v>
      </c>
      <c r="F221" s="2848" t="s">
        <v>2969</v>
      </c>
      <c r="G221" s="2857">
        <v>167.79</v>
      </c>
      <c r="H221" s="2850">
        <f t="shared" si="11"/>
        <v>43887.454556290606</v>
      </c>
      <c r="I221" s="2851">
        <v>7363876</v>
      </c>
      <c r="J221" s="2850">
        <f t="shared" si="9"/>
        <v>7363876</v>
      </c>
      <c r="K221" s="2850"/>
      <c r="L221" s="2852"/>
      <c r="M221" s="2850"/>
      <c r="N221" s="2853">
        <f t="shared" si="12"/>
        <v>-1</v>
      </c>
      <c r="O221" s="2850"/>
      <c r="P221" s="2844"/>
    </row>
    <row r="222" spans="1:16" ht="15.75" customHeight="1">
      <c r="A222" s="2843">
        <f t="shared" si="10"/>
        <v>216</v>
      </c>
      <c r="B222" s="2844" t="s">
        <v>3402</v>
      </c>
      <c r="C222" s="2854" t="s">
        <v>3403</v>
      </c>
      <c r="D222" s="2846" t="s">
        <v>2968</v>
      </c>
      <c r="E222" s="2847">
        <v>39034</v>
      </c>
      <c r="F222" s="2848" t="s">
        <v>2969</v>
      </c>
      <c r="G222" s="2857">
        <v>160.29</v>
      </c>
      <c r="H222" s="2850">
        <f t="shared" si="11"/>
        <v>43887.453989643771</v>
      </c>
      <c r="I222" s="2851">
        <v>7034720</v>
      </c>
      <c r="J222" s="2850">
        <f t="shared" si="9"/>
        <v>7034720</v>
      </c>
      <c r="K222" s="2850"/>
      <c r="L222" s="2852"/>
      <c r="M222" s="2850"/>
      <c r="N222" s="2853">
        <f t="shared" si="12"/>
        <v>-1</v>
      </c>
      <c r="O222" s="2850"/>
      <c r="P222" s="2844"/>
    </row>
    <row r="223" spans="1:16" ht="15.75" customHeight="1">
      <c r="A223" s="2843">
        <f t="shared" si="10"/>
        <v>217</v>
      </c>
      <c r="B223" s="2844" t="s">
        <v>3404</v>
      </c>
      <c r="C223" s="2854" t="s">
        <v>3405</v>
      </c>
      <c r="D223" s="2846" t="s">
        <v>2968</v>
      </c>
      <c r="E223" s="2847">
        <v>39034</v>
      </c>
      <c r="F223" s="2848" t="s">
        <v>2969</v>
      </c>
      <c r="G223" s="2857">
        <v>261.27999999999997</v>
      </c>
      <c r="H223" s="2850">
        <f t="shared" si="11"/>
        <v>43887.457899571345</v>
      </c>
      <c r="I223" s="2851">
        <v>11466915</v>
      </c>
      <c r="J223" s="2850">
        <f t="shared" si="9"/>
        <v>11466915</v>
      </c>
      <c r="K223" s="2850"/>
      <c r="L223" s="2852"/>
      <c r="M223" s="2850"/>
      <c r="N223" s="2853">
        <f t="shared" si="12"/>
        <v>-1</v>
      </c>
      <c r="O223" s="2850"/>
      <c r="P223" s="2844"/>
    </row>
    <row r="224" spans="1:16" ht="15.75" customHeight="1">
      <c r="A224" s="2843">
        <f t="shared" si="10"/>
        <v>218</v>
      </c>
      <c r="B224" s="2844" t="s">
        <v>3406</v>
      </c>
      <c r="C224" s="2854" t="s">
        <v>3407</v>
      </c>
      <c r="D224" s="2846" t="s">
        <v>2968</v>
      </c>
      <c r="E224" s="2847">
        <v>39034</v>
      </c>
      <c r="F224" s="2848" t="s">
        <v>2969</v>
      </c>
      <c r="G224" s="2857">
        <v>168.22</v>
      </c>
      <c r="H224" s="2850">
        <f t="shared" si="11"/>
        <v>43887.456901676378</v>
      </c>
      <c r="I224" s="2851">
        <v>7382748</v>
      </c>
      <c r="J224" s="2850">
        <f t="shared" si="9"/>
        <v>7382748</v>
      </c>
      <c r="K224" s="2850"/>
      <c r="L224" s="2852"/>
      <c r="M224" s="2850"/>
      <c r="N224" s="2853">
        <f t="shared" si="12"/>
        <v>-1</v>
      </c>
      <c r="O224" s="2850"/>
      <c r="P224" s="2844"/>
    </row>
    <row r="225" spans="1:16" ht="15.75" customHeight="1">
      <c r="A225" s="2843">
        <f t="shared" si="10"/>
        <v>219</v>
      </c>
      <c r="B225" s="2844" t="s">
        <v>3408</v>
      </c>
      <c r="C225" s="2854" t="s">
        <v>3409</v>
      </c>
      <c r="D225" s="2846" t="s">
        <v>2968</v>
      </c>
      <c r="E225" s="2847">
        <v>39034</v>
      </c>
      <c r="F225" s="2848" t="s">
        <v>2969</v>
      </c>
      <c r="G225" s="2857">
        <v>160.29</v>
      </c>
      <c r="H225" s="2850">
        <f t="shared" si="11"/>
        <v>43887.453989643771</v>
      </c>
      <c r="I225" s="2851">
        <v>7034720</v>
      </c>
      <c r="J225" s="2850">
        <f t="shared" si="9"/>
        <v>7034720</v>
      </c>
      <c r="K225" s="2850"/>
      <c r="L225" s="2852"/>
      <c r="M225" s="2850"/>
      <c r="N225" s="2853">
        <f t="shared" si="12"/>
        <v>-1</v>
      </c>
      <c r="O225" s="2850"/>
      <c r="P225" s="2844"/>
    </row>
    <row r="226" spans="1:16" ht="15.75" customHeight="1">
      <c r="A226" s="2843">
        <f t="shared" si="10"/>
        <v>220</v>
      </c>
      <c r="B226" s="2844" t="s">
        <v>3410</v>
      </c>
      <c r="C226" s="2854" t="s">
        <v>3411</v>
      </c>
      <c r="D226" s="2846" t="s">
        <v>2968</v>
      </c>
      <c r="E226" s="2847">
        <v>39034</v>
      </c>
      <c r="F226" s="2848" t="s">
        <v>2969</v>
      </c>
      <c r="G226" s="2857">
        <v>291.82</v>
      </c>
      <c r="H226" s="2850">
        <f t="shared" si="11"/>
        <v>43887.4580220684</v>
      </c>
      <c r="I226" s="2851">
        <v>12807238</v>
      </c>
      <c r="J226" s="2850">
        <f t="shared" si="9"/>
        <v>12807238</v>
      </c>
      <c r="K226" s="2850"/>
      <c r="L226" s="2852"/>
      <c r="M226" s="2850"/>
      <c r="N226" s="2853">
        <f t="shared" si="12"/>
        <v>-1</v>
      </c>
      <c r="O226" s="2850"/>
      <c r="P226" s="2844"/>
    </row>
    <row r="227" spans="1:16" ht="15.75" customHeight="1">
      <c r="A227" s="2843">
        <f t="shared" si="10"/>
        <v>221</v>
      </c>
      <c r="B227" s="2844" t="s">
        <v>3412</v>
      </c>
      <c r="C227" s="2854" t="s">
        <v>3413</v>
      </c>
      <c r="D227" s="2846" t="s">
        <v>2968</v>
      </c>
      <c r="E227" s="2847">
        <v>39034</v>
      </c>
      <c r="F227" s="2848" t="s">
        <v>2969</v>
      </c>
      <c r="G227" s="2857">
        <v>167.79</v>
      </c>
      <c r="H227" s="2850">
        <f t="shared" si="11"/>
        <v>43887.454556290606</v>
      </c>
      <c r="I227" s="2851">
        <v>7363876</v>
      </c>
      <c r="J227" s="2850">
        <f t="shared" si="9"/>
        <v>7363876</v>
      </c>
      <c r="K227" s="2850"/>
      <c r="L227" s="2852"/>
      <c r="M227" s="2850"/>
      <c r="N227" s="2853">
        <f t="shared" si="12"/>
        <v>-1</v>
      </c>
      <c r="O227" s="2850"/>
      <c r="P227" s="2844"/>
    </row>
    <row r="228" spans="1:16" ht="15.75" customHeight="1">
      <c r="A228" s="2843">
        <f t="shared" si="10"/>
        <v>222</v>
      </c>
      <c r="B228" s="2844" t="s">
        <v>3414</v>
      </c>
      <c r="C228" s="2854" t="s">
        <v>3415</v>
      </c>
      <c r="D228" s="2846" t="s">
        <v>2968</v>
      </c>
      <c r="E228" s="2847">
        <v>39034</v>
      </c>
      <c r="F228" s="2848" t="s">
        <v>2969</v>
      </c>
      <c r="G228" s="2857">
        <v>160.29</v>
      </c>
      <c r="H228" s="2850">
        <f t="shared" si="11"/>
        <v>43887.453989643771</v>
      </c>
      <c r="I228" s="2851">
        <v>7034720</v>
      </c>
      <c r="J228" s="2850">
        <f t="shared" si="9"/>
        <v>7034720</v>
      </c>
      <c r="K228" s="2850"/>
      <c r="L228" s="2852"/>
      <c r="M228" s="2850"/>
      <c r="N228" s="2853">
        <f t="shared" si="12"/>
        <v>-1</v>
      </c>
      <c r="O228" s="2850"/>
      <c r="P228" s="2844"/>
    </row>
    <row r="229" spans="1:16" ht="15.75" customHeight="1">
      <c r="A229" s="2843">
        <f t="shared" si="10"/>
        <v>223</v>
      </c>
      <c r="B229" s="2844" t="s">
        <v>3416</v>
      </c>
      <c r="C229" s="2854" t="s">
        <v>3417</v>
      </c>
      <c r="D229" s="2846" t="s">
        <v>2968</v>
      </c>
      <c r="E229" s="2847">
        <v>39034</v>
      </c>
      <c r="F229" s="2848" t="s">
        <v>2969</v>
      </c>
      <c r="G229" s="2857">
        <v>261.27999999999997</v>
      </c>
      <c r="H229" s="2850">
        <f t="shared" si="11"/>
        <v>43887.457899571345</v>
      </c>
      <c r="I229" s="2851">
        <v>11466915</v>
      </c>
      <c r="J229" s="2850">
        <f t="shared" si="9"/>
        <v>11466915</v>
      </c>
      <c r="K229" s="2850"/>
      <c r="L229" s="2852"/>
      <c r="M229" s="2850"/>
      <c r="N229" s="2853">
        <f t="shared" si="12"/>
        <v>-1</v>
      </c>
      <c r="O229" s="2850"/>
      <c r="P229" s="2844"/>
    </row>
    <row r="230" spans="1:16" ht="15.75" customHeight="1">
      <c r="A230" s="2843">
        <f t="shared" si="10"/>
        <v>224</v>
      </c>
      <c r="B230" s="2844" t="s">
        <v>3418</v>
      </c>
      <c r="C230" s="2854" t="s">
        <v>3419</v>
      </c>
      <c r="D230" s="2846" t="s">
        <v>2968</v>
      </c>
      <c r="E230" s="2847">
        <v>39034</v>
      </c>
      <c r="F230" s="2848" t="s">
        <v>2969</v>
      </c>
      <c r="G230" s="2857">
        <v>168.22</v>
      </c>
      <c r="H230" s="2850">
        <f t="shared" si="11"/>
        <v>43887.456901676378</v>
      </c>
      <c r="I230" s="2851">
        <v>7382748</v>
      </c>
      <c r="J230" s="2850">
        <f t="shared" si="9"/>
        <v>7382748</v>
      </c>
      <c r="K230" s="2850"/>
      <c r="L230" s="2852"/>
      <c r="M230" s="2850"/>
      <c r="N230" s="2853"/>
      <c r="O230" s="2850"/>
      <c r="P230" s="2844"/>
    </row>
    <row r="231" spans="1:16" ht="15.75" customHeight="1">
      <c r="A231" s="2843">
        <f t="shared" si="10"/>
        <v>225</v>
      </c>
      <c r="B231" s="2844" t="s">
        <v>3420</v>
      </c>
      <c r="C231" s="2854" t="s">
        <v>3421</v>
      </c>
      <c r="D231" s="2846" t="s">
        <v>2968</v>
      </c>
      <c r="E231" s="2847">
        <v>39034</v>
      </c>
      <c r="F231" s="2848" t="s">
        <v>2969</v>
      </c>
      <c r="G231" s="2857">
        <v>160.29</v>
      </c>
      <c r="H231" s="2850">
        <f t="shared" si="11"/>
        <v>43887.453989643771</v>
      </c>
      <c r="I231" s="2851">
        <v>7034720</v>
      </c>
      <c r="J231" s="2850">
        <f t="shared" si="9"/>
        <v>7034720</v>
      </c>
      <c r="K231" s="2850"/>
      <c r="L231" s="2852"/>
      <c r="M231" s="2850"/>
      <c r="N231" s="2853"/>
      <c r="O231" s="2850"/>
      <c r="P231" s="2844"/>
    </row>
    <row r="232" spans="1:16" ht="15.75" customHeight="1">
      <c r="A232" s="2843">
        <f t="shared" si="10"/>
        <v>226</v>
      </c>
      <c r="B232" s="2844" t="s">
        <v>3422</v>
      </c>
      <c r="C232" s="2854" t="s">
        <v>3423</v>
      </c>
      <c r="D232" s="2846" t="s">
        <v>2968</v>
      </c>
      <c r="E232" s="2847">
        <v>39034</v>
      </c>
      <c r="F232" s="2848" t="s">
        <v>2969</v>
      </c>
      <c r="G232" s="2857">
        <v>291.82</v>
      </c>
      <c r="H232" s="2850">
        <f t="shared" si="11"/>
        <v>43887.4580220684</v>
      </c>
      <c r="I232" s="2851">
        <v>12807238</v>
      </c>
      <c r="J232" s="2850">
        <f t="shared" si="9"/>
        <v>12807238</v>
      </c>
      <c r="K232" s="2850"/>
      <c r="L232" s="2852"/>
      <c r="M232" s="2850"/>
      <c r="N232" s="2853"/>
      <c r="O232" s="2850"/>
      <c r="P232" s="2844"/>
    </row>
    <row r="233" spans="1:16" ht="15.75" customHeight="1">
      <c r="A233" s="2843">
        <f t="shared" si="10"/>
        <v>227</v>
      </c>
      <c r="B233" s="2844" t="s">
        <v>3424</v>
      </c>
      <c r="C233" s="2854" t="s">
        <v>3425</v>
      </c>
      <c r="D233" s="2846" t="s">
        <v>2968</v>
      </c>
      <c r="E233" s="2847">
        <v>39034</v>
      </c>
      <c r="F233" s="2848" t="s">
        <v>2969</v>
      </c>
      <c r="G233" s="2857">
        <v>167.79</v>
      </c>
      <c r="H233" s="2850">
        <f t="shared" si="11"/>
        <v>43887.454556290606</v>
      </c>
      <c r="I233" s="2851">
        <v>7363876</v>
      </c>
      <c r="J233" s="2850">
        <f t="shared" si="9"/>
        <v>7363876</v>
      </c>
      <c r="K233" s="2850"/>
      <c r="L233" s="2852"/>
      <c r="M233" s="2850"/>
      <c r="N233" s="2853"/>
      <c r="O233" s="2850"/>
      <c r="P233" s="2844"/>
    </row>
    <row r="234" spans="1:16" ht="15.75" customHeight="1">
      <c r="A234" s="2843">
        <f t="shared" si="10"/>
        <v>228</v>
      </c>
      <c r="B234" s="2844" t="s">
        <v>3426</v>
      </c>
      <c r="C234" s="2854" t="s">
        <v>3427</v>
      </c>
      <c r="D234" s="2846" t="s">
        <v>2968</v>
      </c>
      <c r="E234" s="2847">
        <v>39034</v>
      </c>
      <c r="F234" s="2848" t="s">
        <v>2969</v>
      </c>
      <c r="G234" s="2857">
        <v>160.29</v>
      </c>
      <c r="H234" s="2850">
        <f t="shared" si="11"/>
        <v>43887.453989643771</v>
      </c>
      <c r="I234" s="2851">
        <v>7034720</v>
      </c>
      <c r="J234" s="2850">
        <f t="shared" si="9"/>
        <v>7034720</v>
      </c>
      <c r="K234" s="2850"/>
      <c r="L234" s="2852"/>
      <c r="M234" s="2850"/>
      <c r="N234" s="2853"/>
      <c r="O234" s="2850"/>
      <c r="P234" s="2844"/>
    </row>
    <row r="235" spans="1:16" ht="15.75" customHeight="1">
      <c r="A235" s="2843">
        <f t="shared" si="10"/>
        <v>229</v>
      </c>
      <c r="B235" s="2844" t="s">
        <v>3428</v>
      </c>
      <c r="C235" s="2854" t="s">
        <v>3429</v>
      </c>
      <c r="D235" s="2846" t="s">
        <v>2968</v>
      </c>
      <c r="E235" s="2847">
        <v>39034</v>
      </c>
      <c r="F235" s="2848" t="s">
        <v>2969</v>
      </c>
      <c r="G235" s="2857">
        <v>261.27999999999997</v>
      </c>
      <c r="H235" s="2850">
        <f t="shared" si="11"/>
        <v>43887.457899571345</v>
      </c>
      <c r="I235" s="2851">
        <v>11466915</v>
      </c>
      <c r="J235" s="2850">
        <f t="shared" si="9"/>
        <v>11466915</v>
      </c>
      <c r="K235" s="2850"/>
      <c r="L235" s="2852"/>
      <c r="M235" s="2850"/>
      <c r="N235" s="2853"/>
      <c r="O235" s="2850"/>
      <c r="P235" s="2844"/>
    </row>
    <row r="236" spans="1:16" ht="15.75" customHeight="1">
      <c r="A236" s="2843"/>
      <c r="B236" s="2844"/>
      <c r="C236" s="2844"/>
      <c r="D236" s="2858"/>
      <c r="E236" s="2859"/>
      <c r="F236" s="2859"/>
      <c r="G236" s="2860"/>
      <c r="H236" s="2850" t="s">
        <v>3430</v>
      </c>
      <c r="I236" s="2851"/>
      <c r="J236" s="2850">
        <f t="shared" si="9"/>
        <v>0</v>
      </c>
      <c r="K236" s="2850"/>
      <c r="L236" s="2852"/>
      <c r="M236" s="2850"/>
      <c r="N236" s="2853" t="str">
        <f>IF(J236=0,"",(M236-J236)/J236)</f>
        <v/>
      </c>
      <c r="O236" s="2850"/>
      <c r="P236" s="2844"/>
    </row>
    <row r="237" spans="1:16" ht="15.75" customHeight="1">
      <c r="A237" s="3114" t="s">
        <v>3431</v>
      </c>
      <c r="B237" s="3115"/>
      <c r="C237" s="3116"/>
      <c r="D237" s="2858"/>
      <c r="E237" s="2859"/>
      <c r="F237" s="2859"/>
      <c r="G237" s="2860"/>
      <c r="H237" s="2850"/>
      <c r="I237" s="2861">
        <f>SUM(I7:I236)</f>
        <v>1181644913.1900001</v>
      </c>
      <c r="J237" s="2861">
        <f>SUM(J7:J236)</f>
        <v>1181644913.1900001</v>
      </c>
      <c r="K237" s="2861">
        <f>SUM(K7:K236)</f>
        <v>0</v>
      </c>
      <c r="L237" s="2861"/>
      <c r="M237" s="2861">
        <f>SUM(M7:M236)</f>
        <v>0</v>
      </c>
      <c r="N237" s="2853">
        <f>IF(J237=0,"",(M237-J237)/J237)</f>
        <v>-1</v>
      </c>
      <c r="O237" s="2850"/>
      <c r="P237" s="2844"/>
    </row>
    <row r="238" spans="1:16" ht="15.75" customHeight="1">
      <c r="A238" s="3117" t="s">
        <v>3432</v>
      </c>
      <c r="B238" s="3118"/>
      <c r="C238" s="3119"/>
      <c r="D238" s="2850"/>
      <c r="E238" s="2850"/>
      <c r="F238" s="2850"/>
      <c r="G238" s="2850"/>
      <c r="H238" s="2850"/>
      <c r="I238" s="2850"/>
      <c r="J238" s="2850"/>
      <c r="K238" s="2862"/>
      <c r="L238" s="2862"/>
      <c r="M238" s="2862"/>
      <c r="N238" s="2853" t="str">
        <f>IF(J238=0,"",(M238-J238)/J238)</f>
        <v/>
      </c>
      <c r="O238" s="2862"/>
      <c r="P238" s="2862"/>
    </row>
    <row r="239" spans="1:16" ht="15.75" customHeight="1">
      <c r="A239" s="3114" t="s">
        <v>3433</v>
      </c>
      <c r="B239" s="3120"/>
      <c r="C239" s="3121"/>
      <c r="D239" s="2858"/>
      <c r="E239" s="2859"/>
      <c r="F239" s="2859"/>
      <c r="G239" s="2862"/>
      <c r="H239" s="2850"/>
      <c r="I239" s="2851">
        <f>I237-I238</f>
        <v>1181644913.1900001</v>
      </c>
      <c r="J239" s="2851">
        <f>J237-J238</f>
        <v>1181644913.1900001</v>
      </c>
      <c r="K239" s="2851">
        <f>K237-K238</f>
        <v>0</v>
      </c>
      <c r="L239" s="2851"/>
      <c r="M239" s="2851">
        <f>M237-M238</f>
        <v>0</v>
      </c>
      <c r="N239" s="2853">
        <f>IF(J239=0,"",(M239-J239)/J239)</f>
        <v>-1</v>
      </c>
      <c r="O239" s="2850"/>
      <c r="P239" s="2844"/>
    </row>
    <row r="240" spans="1:16" ht="15.75" customHeight="1">
      <c r="A240" s="3122" t="str">
        <f>'[1]4-5-4投资性地产'!A28:D28</f>
        <v>被评估单位填表人：祝琴</v>
      </c>
      <c r="B240" s="3122"/>
      <c r="C240" s="3122"/>
      <c r="D240" s="3122"/>
      <c r="E240" s="2863"/>
      <c r="F240" s="2863"/>
      <c r="G240" s="2863"/>
      <c r="I240" s="3123" t="str">
        <f>CONCATENATE([1]基本情况表!A9,[1]基本情况表!E9)</f>
        <v>评估人员：XXX14</v>
      </c>
      <c r="J240" s="3123"/>
      <c r="K240" s="3123"/>
      <c r="L240" s="3123"/>
      <c r="M240" s="3123"/>
      <c r="N240" s="3123"/>
      <c r="O240" s="3123"/>
      <c r="P240" s="3123"/>
    </row>
    <row r="241" spans="1:1">
      <c r="A241" s="2835" t="str">
        <f>'[1]4-5-4投资性地产'!A29</f>
        <v>填表日期：2017年11月21日</v>
      </c>
    </row>
  </sheetData>
  <mergeCells count="21">
    <mergeCell ref="A237:C237"/>
    <mergeCell ref="A238:C238"/>
    <mergeCell ref="A239:C239"/>
    <mergeCell ref="A240:D240"/>
    <mergeCell ref="I240:P240"/>
    <mergeCell ref="P5:P6"/>
    <mergeCell ref="A1:O1"/>
    <mergeCell ref="A2:P2"/>
    <mergeCell ref="O3:P3"/>
    <mergeCell ref="A5:A6"/>
    <mergeCell ref="B5:B6"/>
    <mergeCell ref="C5:C6"/>
    <mergeCell ref="D5:D6"/>
    <mergeCell ref="E5:E6"/>
    <mergeCell ref="F5:F6"/>
    <mergeCell ref="G5:G6"/>
    <mergeCell ref="H5:H6"/>
    <mergeCell ref="I5:J5"/>
    <mergeCell ref="K5:M5"/>
    <mergeCell ref="N5:N6"/>
    <mergeCell ref="O5:O6"/>
  </mergeCells>
  <phoneticPr fontId="143"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7" sqref="C27"/>
    </sheetView>
  </sheetViews>
  <sheetFormatPr defaultColWidth="9.25" defaultRowHeight="14.25"/>
  <cols>
    <col min="1" max="1" width="12.125" style="2109" customWidth="1"/>
    <col min="2" max="2" width="10.25" style="2109" customWidth="1"/>
    <col min="3" max="3" width="18.5" style="2109" customWidth="1"/>
    <col min="4" max="4" width="11.625" style="2109" hidden="1" customWidth="1"/>
    <col min="5" max="5" width="13.375" style="2109" customWidth="1"/>
    <col min="6" max="8" width="11.5" style="2109" customWidth="1"/>
    <col min="9" max="9" width="11.125" style="2109" customWidth="1"/>
    <col min="10" max="10" width="3.125" style="2109" customWidth="1"/>
    <col min="11" max="16" width="10" style="2109" customWidth="1"/>
    <col min="17" max="17" width="2.625" style="2109" customWidth="1"/>
    <col min="18" max="18" width="9.375" style="2109" bestFit="1" customWidth="1"/>
    <col min="19" max="19" width="10.5" style="2109" bestFit="1" customWidth="1"/>
    <col min="20" max="16384" width="9.25" style="2109"/>
  </cols>
  <sheetData>
    <row r="1" spans="1:16" ht="18.75">
      <c r="A1" s="2108" t="s">
        <v>1856</v>
      </c>
      <c r="B1" s="1379"/>
      <c r="C1" s="1379"/>
      <c r="D1" s="1379"/>
      <c r="E1" s="1379"/>
      <c r="F1" s="1379"/>
      <c r="G1" s="1379"/>
      <c r="H1" s="1379"/>
      <c r="I1" s="1379"/>
      <c r="J1" s="1379"/>
      <c r="K1" s="1379"/>
      <c r="L1" s="1379"/>
      <c r="M1" s="1379"/>
      <c r="N1" s="1379"/>
      <c r="O1" s="1379"/>
      <c r="P1" s="1379"/>
    </row>
    <row r="2" spans="1:16" ht="15">
      <c r="A2" s="3133" t="s">
        <v>1857</v>
      </c>
      <c r="B2" s="3133"/>
      <c r="C2" s="3133"/>
      <c r="D2" s="968" t="s">
        <v>1833</v>
      </c>
      <c r="E2" s="2110" t="s">
        <v>1834</v>
      </c>
      <c r="F2" s="1379"/>
      <c r="G2" s="2111"/>
      <c r="H2" s="2112"/>
      <c r="I2" s="2113" t="s">
        <v>1858</v>
      </c>
      <c r="J2" s="1379"/>
      <c r="K2" s="1379"/>
      <c r="L2" s="1379"/>
      <c r="M2" s="1379"/>
      <c r="N2" s="1414"/>
      <c r="O2" s="1379"/>
      <c r="P2" s="1379"/>
    </row>
    <row r="3" spans="1:16" ht="15.75" thickBot="1">
      <c r="A3" s="3134" t="s">
        <v>1831</v>
      </c>
      <c r="B3" s="3134"/>
      <c r="C3" s="3134"/>
      <c r="D3" s="46">
        <f>'数据-基础表'!AY6</f>
        <v>2719.43</v>
      </c>
      <c r="E3" s="46">
        <f>'数据-基础表'!AZ5</f>
        <v>26965.789999999986</v>
      </c>
      <c r="F3" s="1379"/>
      <c r="G3" s="1386"/>
      <c r="H3" s="1234" t="s">
        <v>1832</v>
      </c>
      <c r="I3" s="55">
        <f>ROUND('数据-基础表'!B3/'数据-基础表'!A3,2)</f>
        <v>9.92</v>
      </c>
      <c r="J3" s="1379"/>
      <c r="K3" s="1379"/>
      <c r="L3" s="1379"/>
      <c r="M3" s="1379"/>
      <c r="N3" s="1414"/>
      <c r="O3" s="1379"/>
      <c r="P3" s="1379"/>
    </row>
    <row r="4" spans="1:16" ht="15">
      <c r="A4" s="3135"/>
      <c r="B4" s="3136"/>
      <c r="C4" s="3137"/>
      <c r="D4" s="2114" t="s">
        <v>1833</v>
      </c>
      <c r="E4" s="2115" t="s">
        <v>1834</v>
      </c>
      <c r="F4" s="1379"/>
      <c r="G4" s="2116" t="s">
        <v>1859</v>
      </c>
      <c r="H4" s="1234" t="s">
        <v>1839</v>
      </c>
      <c r="I4" s="55">
        <f>ROUND(SUMIF('数据-基础表'!I9:AS9,"地上",'数据-基础表'!I5:AS5)/'数据-基础表'!A3,2)</f>
        <v>9.92</v>
      </c>
      <c r="J4" s="1379"/>
      <c r="K4" s="1379"/>
      <c r="L4" s="1379"/>
      <c r="M4" s="1379"/>
      <c r="N4" s="1414"/>
      <c r="O4" s="1379"/>
      <c r="P4" s="1379"/>
    </row>
    <row r="5" spans="1:16">
      <c r="A5" s="47" t="s">
        <v>1835</v>
      </c>
      <c r="B5" s="3138" t="s">
        <v>1836</v>
      </c>
      <c r="C5" s="3138"/>
      <c r="D5" s="48">
        <f>ROUND($D$3*E5/$E$3,2)</f>
        <v>0</v>
      </c>
      <c r="E5" s="49">
        <f>SUMIF('数据-基础表'!$11:$11,"住宅",'数据-基础表'!$5:$5)</f>
        <v>0</v>
      </c>
      <c r="F5" s="1379"/>
      <c r="G5" s="1386"/>
      <c r="H5" s="1234" t="s">
        <v>1832</v>
      </c>
      <c r="I5" s="55">
        <f>ROUND(E31/D31,2)</f>
        <v>9.92</v>
      </c>
      <c r="J5" s="1379"/>
      <c r="K5" s="1379"/>
      <c r="L5" s="1379"/>
      <c r="M5" s="1379"/>
      <c r="N5" s="1379"/>
      <c r="O5" s="1379"/>
      <c r="P5" s="1379"/>
    </row>
    <row r="6" spans="1:16" ht="15" thickBot="1">
      <c r="A6" s="2117"/>
      <c r="B6" s="3138" t="s">
        <v>1837</v>
      </c>
      <c r="C6" s="3138"/>
      <c r="D6" s="48">
        <f>ROUND($D$3*E6/$E$3,2)</f>
        <v>2719.43</v>
      </c>
      <c r="E6" s="49">
        <f>E3-E5</f>
        <v>26965.789999999986</v>
      </c>
      <c r="F6" s="1379"/>
      <c r="G6" s="2118" t="s">
        <v>1838</v>
      </c>
      <c r="H6" s="1386" t="s">
        <v>1839</v>
      </c>
      <c r="I6" s="940">
        <f>ROUND(F31/D31,2)</f>
        <v>9.92</v>
      </c>
      <c r="J6" s="1379"/>
      <c r="K6" s="1379"/>
      <c r="L6" s="1379"/>
      <c r="M6" s="1379"/>
      <c r="N6" s="1379"/>
      <c r="O6" s="1379"/>
      <c r="P6" s="1379"/>
    </row>
    <row r="7" spans="1:16" ht="15">
      <c r="A7" s="3130"/>
      <c r="B7" s="3131"/>
      <c r="C7" s="3132"/>
      <c r="D7" s="2114" t="s">
        <v>1833</v>
      </c>
      <c r="E7" s="2119" t="s">
        <v>1840</v>
      </c>
      <c r="F7" s="1379"/>
      <c r="G7" s="2111" t="s">
        <v>1841</v>
      </c>
      <c r="H7" s="64"/>
      <c r="I7" s="420">
        <v>4.79</v>
      </c>
      <c r="J7" s="1379"/>
      <c r="K7" s="1379"/>
      <c r="L7" s="1379"/>
      <c r="M7" s="1379"/>
      <c r="N7" s="1379"/>
      <c r="O7" s="1379"/>
      <c r="P7" s="1379"/>
    </row>
    <row r="8" spans="1:16" ht="15" thickBot="1">
      <c r="A8" s="47" t="s">
        <v>1842</v>
      </c>
      <c r="B8" s="50" t="s">
        <v>1843</v>
      </c>
      <c r="C8" s="48" t="s">
        <v>1844</v>
      </c>
      <c r="D8" s="48">
        <f t="shared" ref="D8:D15" si="0">ROUND($D$3*E8/$E$3,2)</f>
        <v>2719.43</v>
      </c>
      <c r="E8" s="51">
        <f>SUMIF('数据-基础表'!BB10:BK10,"地上",'数据-基础表'!BB5:BK5)</f>
        <v>26965.789999999994</v>
      </c>
      <c r="F8" s="1379"/>
      <c r="G8" s="2120"/>
      <c r="H8" s="2120"/>
      <c r="I8" s="1379"/>
      <c r="J8" s="1379"/>
      <c r="K8" s="1379"/>
      <c r="L8" s="1379"/>
      <c r="M8" s="1379"/>
      <c r="N8" s="1379"/>
      <c r="O8" s="1379"/>
      <c r="P8" s="1379"/>
    </row>
    <row r="9" spans="1:16" hidden="1">
      <c r="A9" s="2121"/>
      <c r="B9" s="2122"/>
      <c r="C9" s="48" t="s">
        <v>1845</v>
      </c>
      <c r="D9" s="48">
        <f t="shared" si="0"/>
        <v>0</v>
      </c>
      <c r="E9" s="52">
        <v>0</v>
      </c>
      <c r="F9" s="1379"/>
      <c r="G9" s="2120"/>
      <c r="H9" s="2120"/>
      <c r="I9" s="1379"/>
      <c r="J9" s="1379"/>
      <c r="K9" s="1379"/>
      <c r="L9" s="1379"/>
      <c r="M9" s="1379"/>
      <c r="N9" s="1379"/>
      <c r="O9" s="1379"/>
      <c r="P9" s="1379"/>
    </row>
    <row r="10" spans="1:16" hidden="1">
      <c r="A10" s="2121"/>
      <c r="B10" s="2122"/>
      <c r="C10" s="48" t="s">
        <v>1854</v>
      </c>
      <c r="D10" s="48">
        <f t="shared" si="0"/>
        <v>0</v>
      </c>
      <c r="E10" s="51">
        <f>SUMPRODUCT(('数据-基础表'!BB10:BK10="地下")*('数据-基础表'!BB11:BK11="商业")*('数据-基础表'!BB5:BK5))</f>
        <v>0</v>
      </c>
      <c r="F10" s="1379"/>
      <c r="G10" s="2120"/>
      <c r="H10" s="2120"/>
      <c r="I10" s="1379"/>
      <c r="J10" s="1379"/>
      <c r="K10" s="1379"/>
      <c r="L10" s="1379"/>
      <c r="M10" s="1379"/>
      <c r="N10" s="1379"/>
      <c r="O10" s="1379"/>
      <c r="P10" s="1379"/>
    </row>
    <row r="11" spans="1:16" hidden="1">
      <c r="A11" s="2121"/>
      <c r="B11" s="2122"/>
      <c r="C11" s="48" t="s">
        <v>1846</v>
      </c>
      <c r="D11" s="48">
        <f t="shared" si="0"/>
        <v>0</v>
      </c>
      <c r="E11" s="51">
        <f>SUMPRODUCT(('数据-基础表'!BB10:BK10="地下")*('数据-基础表'!BB11:BK11="办公")*('数据-基础表'!BB5:BK5))+'数据-基础表'!BP5</f>
        <v>0</v>
      </c>
      <c r="F11" s="1379"/>
      <c r="G11" s="2120"/>
      <c r="H11" s="2120"/>
      <c r="I11" s="1379"/>
      <c r="J11" s="1379"/>
      <c r="K11" s="1379"/>
      <c r="L11" s="1379"/>
      <c r="M11" s="1379"/>
      <c r="N11" s="1379"/>
      <c r="O11" s="1379"/>
      <c r="P11" s="1379"/>
    </row>
    <row r="12" spans="1:16" hidden="1">
      <c r="A12" s="2121"/>
      <c r="B12" s="2122"/>
      <c r="C12" s="48" t="s">
        <v>1847</v>
      </c>
      <c r="D12" s="48">
        <f t="shared" si="0"/>
        <v>0</v>
      </c>
      <c r="E12" s="51">
        <f>SUMPRODUCT(('数据-基础表'!BB10:BK10="地下")*('数据-基础表'!BB11:BK11="仓储")*('数据-基础表'!BB5:BK5))</f>
        <v>0</v>
      </c>
      <c r="F12" s="1379"/>
      <c r="G12" s="2120"/>
      <c r="H12" s="2120"/>
      <c r="I12" s="1379"/>
      <c r="J12" s="1379"/>
      <c r="K12" s="1379"/>
      <c r="L12" s="1379"/>
      <c r="M12" s="1379"/>
      <c r="N12" s="1379"/>
      <c r="O12" s="1379"/>
      <c r="P12" s="1379"/>
    </row>
    <row r="13" spans="1:16" hidden="1">
      <c r="A13" s="2121"/>
      <c r="B13" s="2122"/>
      <c r="C13" s="48" t="s">
        <v>1848</v>
      </c>
      <c r="D13" s="48">
        <f t="shared" si="0"/>
        <v>0</v>
      </c>
      <c r="E13" s="51">
        <f>SUMPRODUCT(('数据-基础表'!BB10:BK10="地下")*('数据-基础表'!BB11:BK11="车库")*('数据-基础表'!BB5:BK5))</f>
        <v>0</v>
      </c>
      <c r="F13" s="1379"/>
      <c r="G13" s="2120"/>
      <c r="H13" s="2120"/>
      <c r="I13" s="1379"/>
      <c r="J13" s="1379"/>
      <c r="K13" s="1379"/>
      <c r="L13" s="1379"/>
      <c r="M13" s="1379"/>
      <c r="N13" s="1379"/>
      <c r="O13" s="1379"/>
      <c r="P13" s="1379"/>
    </row>
    <row r="14" spans="1:16" hidden="1">
      <c r="A14" s="2121"/>
      <c r="B14" s="2122"/>
      <c r="C14" s="48" t="s">
        <v>1860</v>
      </c>
      <c r="D14" s="48">
        <f t="shared" si="0"/>
        <v>0</v>
      </c>
      <c r="E14" s="51">
        <f>SUMPRODUCT(('数据-基础表'!BB10:BK10="地下")*('数据-基础表'!BB11:BK11="车库—商业")*('数据-基础表'!BB5:BK5))</f>
        <v>0</v>
      </c>
      <c r="F14" s="1379"/>
      <c r="G14" s="2120"/>
      <c r="H14" s="2120"/>
      <c r="I14" s="1379"/>
      <c r="J14" s="1379"/>
      <c r="K14" s="1379"/>
      <c r="L14" s="1379"/>
      <c r="M14" s="1379"/>
      <c r="N14" s="1379"/>
      <c r="O14" s="1379"/>
      <c r="P14" s="1379"/>
    </row>
    <row r="15" spans="1:16" ht="15" hidden="1" thickBot="1">
      <c r="A15" s="2121"/>
      <c r="B15" s="2122"/>
      <c r="C15" s="48" t="s">
        <v>1855</v>
      </c>
      <c r="D15" s="48">
        <f t="shared" si="0"/>
        <v>0</v>
      </c>
      <c r="E15" s="51">
        <f>SUMPRODUCT(('数据-基础表'!BB10:BK10="地下")*('数据-基础表'!BB11:BK11="车库—办公")*('数据-基础表'!BB5:BK5))</f>
        <v>0</v>
      </c>
      <c r="F15" s="1379"/>
      <c r="G15" s="2120"/>
      <c r="H15" s="2120"/>
      <c r="I15" s="1379"/>
      <c r="J15" s="1379"/>
      <c r="K15" s="1379"/>
      <c r="L15" s="1379"/>
      <c r="M15" s="1379"/>
      <c r="N15" s="1379"/>
      <c r="O15" s="1379"/>
      <c r="P15" s="1379"/>
    </row>
    <row r="16" spans="1:16" ht="15.75" thickBot="1">
      <c r="A16" s="2117"/>
      <c r="B16" s="2122"/>
      <c r="C16" s="50" t="s">
        <v>1849</v>
      </c>
      <c r="D16" s="50">
        <f>SUM(D8:D15)</f>
        <v>2719.43</v>
      </c>
      <c r="E16" s="53">
        <f>SUM(E8:E15)</f>
        <v>26965.789999999994</v>
      </c>
      <c r="F16" s="1379"/>
      <c r="G16" s="2120"/>
      <c r="H16" s="2123" t="s">
        <v>1861</v>
      </c>
      <c r="I16" s="2124"/>
      <c r="J16" s="1379"/>
      <c r="K16" s="3127" t="s">
        <v>1861</v>
      </c>
      <c r="L16" s="3128"/>
      <c r="M16" s="3128"/>
      <c r="N16" s="3128"/>
      <c r="O16" s="3128"/>
      <c r="P16" s="3129"/>
    </row>
    <row r="17" spans="1:19" ht="15">
      <c r="A17" s="2125" t="s">
        <v>1862</v>
      </c>
      <c r="B17" s="2126" t="s">
        <v>1863</v>
      </c>
      <c r="C17" s="2127" t="s">
        <v>1864</v>
      </c>
      <c r="D17" s="2128" t="s">
        <v>1852</v>
      </c>
      <c r="E17" s="2129" t="s">
        <v>1853</v>
      </c>
      <c r="F17" s="2130"/>
      <c r="G17" s="2131"/>
      <c r="H17" s="2132" t="s">
        <v>1865</v>
      </c>
      <c r="I17" s="2133" t="s">
        <v>1850</v>
      </c>
      <c r="J17" s="1379"/>
      <c r="K17" s="3124" t="s">
        <v>1866</v>
      </c>
      <c r="L17" s="3125"/>
      <c r="M17" s="3126"/>
      <c r="N17" s="3124" t="s">
        <v>1867</v>
      </c>
      <c r="O17" s="3125"/>
      <c r="P17" s="3126"/>
      <c r="R17" s="2111" t="s">
        <v>1868</v>
      </c>
      <c r="S17" s="64"/>
    </row>
    <row r="18" spans="1:19" ht="15">
      <c r="A18" s="2121"/>
      <c r="B18" s="2134"/>
      <c r="C18" s="2135"/>
      <c r="D18" s="2136"/>
      <c r="E18" s="2137" t="s">
        <v>1869</v>
      </c>
      <c r="F18" s="2138" t="s">
        <v>1870</v>
      </c>
      <c r="G18" s="2139" t="s">
        <v>1871</v>
      </c>
      <c r="H18" s="1249" t="s">
        <v>1872</v>
      </c>
      <c r="I18" s="2140" t="s">
        <v>1873</v>
      </c>
      <c r="J18" s="1379"/>
      <c r="K18" s="1249" t="s">
        <v>1874</v>
      </c>
      <c r="L18" s="2141" t="s">
        <v>1875</v>
      </c>
      <c r="M18" s="1044" t="s">
        <v>1876</v>
      </c>
      <c r="N18" s="1249" t="s">
        <v>1874</v>
      </c>
      <c r="O18" s="2141" t="s">
        <v>1875</v>
      </c>
      <c r="P18" s="1044" t="s">
        <v>1876</v>
      </c>
      <c r="R18" s="1234" t="s">
        <v>1877</v>
      </c>
      <c r="S18" s="1234" t="s">
        <v>1878</v>
      </c>
    </row>
    <row r="19" spans="1:19">
      <c r="A19" s="2142"/>
      <c r="B19" s="50" t="s">
        <v>1851</v>
      </c>
      <c r="C19" s="2870" t="s">
        <v>3438</v>
      </c>
      <c r="D19" s="48">
        <f>ROUND($D$3*E19/$E$3,2)</f>
        <v>160.91999999999999</v>
      </c>
      <c r="E19" s="56">
        <f t="shared" ref="E19:E26" si="1">SUM(F19:G19)</f>
        <v>1595.68</v>
      </c>
      <c r="F19" s="57">
        <f>'数据-基础表'!BC5</f>
        <v>1595.68</v>
      </c>
      <c r="G19" s="58">
        <v>0</v>
      </c>
      <c r="H19" s="722">
        <f>ROUND($D$3*I19/$E$3,2)</f>
        <v>0</v>
      </c>
      <c r="I19" s="51">
        <f t="shared" ref="I19:I26" si="2">IF($I$17="自定义",P19,M19)</f>
        <v>0</v>
      </c>
      <c r="J19" s="1379"/>
      <c r="K19" s="1378">
        <f t="shared" ref="K19:K26" si="3">ROUND(E$28*E19/E$27,2)</f>
        <v>0</v>
      </c>
      <c r="L19" s="1234">
        <f t="shared" ref="L19:L26" si="4">ROUND(IF(COUNTIF(C19,"*住宅*")&gt;0,E$29*E19/E$32,0),2)</f>
        <v>0</v>
      </c>
      <c r="M19" s="1390">
        <f>K19+L19</f>
        <v>0</v>
      </c>
      <c r="N19" s="2143"/>
      <c r="O19" s="2144"/>
      <c r="P19" s="1390">
        <f>N19+O19</f>
        <v>0</v>
      </c>
      <c r="R19" s="1234">
        <f t="shared" ref="R19:S26" si="5">D19+H19</f>
        <v>160.91999999999999</v>
      </c>
      <c r="S19" s="1235">
        <f t="shared" si="5"/>
        <v>1595.68</v>
      </c>
    </row>
    <row r="20" spans="1:19">
      <c r="A20" s="2145"/>
      <c r="B20" s="50" t="s">
        <v>1879</v>
      </c>
      <c r="C20" s="2870" t="s">
        <v>3598</v>
      </c>
      <c r="D20" s="48">
        <f t="shared" ref="D20:D26" si="6">ROUND($D$3*E20/$E$3,2)</f>
        <v>8.8800000000000008</v>
      </c>
      <c r="E20" s="56">
        <f t="shared" si="1"/>
        <v>88.04</v>
      </c>
      <c r="F20" s="57">
        <f>'数据-基础表'!BB140</f>
        <v>88.04</v>
      </c>
      <c r="G20" s="58">
        <v>0</v>
      </c>
      <c r="H20" s="722">
        <f t="shared" ref="H20:H26" si="7">ROUND($D$3*I20/$E$3,2)</f>
        <v>0</v>
      </c>
      <c r="I20" s="51">
        <f t="shared" si="2"/>
        <v>0</v>
      </c>
      <c r="J20" s="1379"/>
      <c r="K20" s="1378">
        <f t="shared" si="3"/>
        <v>0</v>
      </c>
      <c r="L20" s="1234">
        <f t="shared" si="4"/>
        <v>0</v>
      </c>
      <c r="M20" s="1390">
        <f t="shared" ref="M20:M26" si="8">K20+L20</f>
        <v>0</v>
      </c>
      <c r="N20" s="2143"/>
      <c r="O20" s="2144"/>
      <c r="P20" s="1390">
        <f t="shared" ref="P20:P26" si="9">N20+O20</f>
        <v>0</v>
      </c>
      <c r="R20" s="1234">
        <f t="shared" si="5"/>
        <v>8.8800000000000008</v>
      </c>
      <c r="S20" s="1235">
        <f t="shared" si="5"/>
        <v>88.04</v>
      </c>
    </row>
    <row r="21" spans="1:19">
      <c r="A21" s="2145"/>
      <c r="B21" s="50" t="s">
        <v>1879</v>
      </c>
      <c r="C21" s="2870" t="s">
        <v>3600</v>
      </c>
      <c r="D21" s="48">
        <f t="shared" si="6"/>
        <v>2549.63</v>
      </c>
      <c r="E21" s="56">
        <f t="shared" si="1"/>
        <v>25282.069999999992</v>
      </c>
      <c r="F21" s="57">
        <f>'数据-基础表'!BB5-F20</f>
        <v>25282.069999999992</v>
      </c>
      <c r="G21" s="58">
        <v>0</v>
      </c>
      <c r="H21" s="722">
        <f t="shared" si="7"/>
        <v>0</v>
      </c>
      <c r="I21" s="51">
        <f t="shared" si="2"/>
        <v>0</v>
      </c>
      <c r="J21" s="1379"/>
      <c r="K21" s="1378">
        <f t="shared" si="3"/>
        <v>0</v>
      </c>
      <c r="L21" s="1234">
        <f t="shared" si="4"/>
        <v>0</v>
      </c>
      <c r="M21" s="1390">
        <f t="shared" si="8"/>
        <v>0</v>
      </c>
      <c r="N21" s="2143"/>
      <c r="O21" s="2144"/>
      <c r="P21" s="1390">
        <f t="shared" si="9"/>
        <v>0</v>
      </c>
      <c r="R21" s="1234">
        <f t="shared" si="5"/>
        <v>2549.63</v>
      </c>
      <c r="S21" s="1235">
        <f t="shared" si="5"/>
        <v>25282.069999999992</v>
      </c>
    </row>
    <row r="22" spans="1:19" hidden="1">
      <c r="A22" s="2145"/>
      <c r="B22" s="50" t="s">
        <v>1879</v>
      </c>
      <c r="C22" s="60"/>
      <c r="D22" s="48">
        <f t="shared" si="6"/>
        <v>0</v>
      </c>
      <c r="E22" s="56">
        <f t="shared" si="1"/>
        <v>0</v>
      </c>
      <c r="F22" s="61"/>
      <c r="G22" s="62"/>
      <c r="H22" s="722">
        <f t="shared" si="7"/>
        <v>0</v>
      </c>
      <c r="I22" s="51">
        <f t="shared" si="2"/>
        <v>0</v>
      </c>
      <c r="J22" s="1379"/>
      <c r="K22" s="1378">
        <f t="shared" si="3"/>
        <v>0</v>
      </c>
      <c r="L22" s="1234">
        <f t="shared" si="4"/>
        <v>0</v>
      </c>
      <c r="M22" s="1390">
        <f t="shared" si="8"/>
        <v>0</v>
      </c>
      <c r="N22" s="2143"/>
      <c r="O22" s="2144"/>
      <c r="P22" s="1390">
        <f t="shared" si="9"/>
        <v>0</v>
      </c>
      <c r="R22" s="1234">
        <f t="shared" si="5"/>
        <v>0</v>
      </c>
      <c r="S22" s="1235">
        <f t="shared" si="5"/>
        <v>0</v>
      </c>
    </row>
    <row r="23" spans="1:19" hidden="1">
      <c r="A23" s="2145"/>
      <c r="B23" s="50" t="s">
        <v>1879</v>
      </c>
      <c r="C23" s="60"/>
      <c r="D23" s="48">
        <f>ROUND($D$3*E23/$E$3,2)</f>
        <v>0</v>
      </c>
      <c r="E23" s="56">
        <f>SUM(F23:G23)</f>
        <v>0</v>
      </c>
      <c r="F23" s="61"/>
      <c r="G23" s="62"/>
      <c r="H23" s="722">
        <f>ROUND($D$3*I23/$E$3,2)</f>
        <v>0</v>
      </c>
      <c r="I23" s="51">
        <f t="shared" si="2"/>
        <v>0</v>
      </c>
      <c r="J23" s="1379"/>
      <c r="K23" s="1378">
        <f t="shared" si="3"/>
        <v>0</v>
      </c>
      <c r="L23" s="1234">
        <f t="shared" si="4"/>
        <v>0</v>
      </c>
      <c r="M23" s="1390">
        <f t="shared" si="8"/>
        <v>0</v>
      </c>
      <c r="N23" s="2143"/>
      <c r="O23" s="2144"/>
      <c r="P23" s="1390">
        <f t="shared" si="9"/>
        <v>0</v>
      </c>
      <c r="R23" s="1234">
        <f t="shared" si="5"/>
        <v>0</v>
      </c>
      <c r="S23" s="1235">
        <f t="shared" si="5"/>
        <v>0</v>
      </c>
    </row>
    <row r="24" spans="1:19" hidden="1">
      <c r="A24" s="2145"/>
      <c r="B24" s="50" t="s">
        <v>1879</v>
      </c>
      <c r="C24" s="60"/>
      <c r="D24" s="48">
        <f>ROUND($D$3*E24/$E$3,2)</f>
        <v>0</v>
      </c>
      <c r="E24" s="56">
        <f>SUM(F24:G24)</f>
        <v>0</v>
      </c>
      <c r="F24" s="61"/>
      <c r="G24" s="62"/>
      <c r="H24" s="722">
        <f>ROUND($D$3*I24/$E$3,2)</f>
        <v>0</v>
      </c>
      <c r="I24" s="51">
        <f t="shared" si="2"/>
        <v>0</v>
      </c>
      <c r="J24" s="1379"/>
      <c r="K24" s="1378">
        <f t="shared" si="3"/>
        <v>0</v>
      </c>
      <c r="L24" s="1234">
        <f t="shared" si="4"/>
        <v>0</v>
      </c>
      <c r="M24" s="1390">
        <f t="shared" si="8"/>
        <v>0</v>
      </c>
      <c r="N24" s="2143"/>
      <c r="O24" s="2144"/>
      <c r="P24" s="1390">
        <f t="shared" si="9"/>
        <v>0</v>
      </c>
      <c r="R24" s="1234">
        <f t="shared" si="5"/>
        <v>0</v>
      </c>
      <c r="S24" s="1235">
        <f t="shared" si="5"/>
        <v>0</v>
      </c>
    </row>
    <row r="25" spans="1:19" hidden="1">
      <c r="A25" s="2145"/>
      <c r="B25" s="50" t="s">
        <v>1879</v>
      </c>
      <c r="C25" s="60"/>
      <c r="D25" s="48">
        <f t="shared" si="6"/>
        <v>0</v>
      </c>
      <c r="E25" s="56">
        <f t="shared" si="1"/>
        <v>0</v>
      </c>
      <c r="F25" s="61"/>
      <c r="G25" s="62"/>
      <c r="H25" s="47">
        <f t="shared" si="7"/>
        <v>0</v>
      </c>
      <c r="I25" s="51">
        <f t="shared" si="2"/>
        <v>0</v>
      </c>
      <c r="J25" s="1379"/>
      <c r="K25" s="1378">
        <f t="shared" si="3"/>
        <v>0</v>
      </c>
      <c r="L25" s="1234">
        <f t="shared" si="4"/>
        <v>0</v>
      </c>
      <c r="M25" s="1390">
        <f t="shared" si="8"/>
        <v>0</v>
      </c>
      <c r="N25" s="2143"/>
      <c r="O25" s="2144"/>
      <c r="P25" s="1390">
        <f t="shared" si="9"/>
        <v>0</v>
      </c>
      <c r="R25" s="1234">
        <f t="shared" si="5"/>
        <v>0</v>
      </c>
      <c r="S25" s="1235">
        <f t="shared" si="5"/>
        <v>0</v>
      </c>
    </row>
    <row r="26" spans="1:19" hidden="1">
      <c r="A26" s="2145"/>
      <c r="B26" s="50" t="s">
        <v>1879</v>
      </c>
      <c r="C26" s="63"/>
      <c r="D26" s="48">
        <f t="shared" si="6"/>
        <v>0</v>
      </c>
      <c r="E26" s="56">
        <f t="shared" si="1"/>
        <v>0</v>
      </c>
      <c r="F26" s="61"/>
      <c r="G26" s="62"/>
      <c r="H26" s="47">
        <f t="shared" si="7"/>
        <v>0</v>
      </c>
      <c r="I26" s="51">
        <f t="shared" si="2"/>
        <v>0</v>
      </c>
      <c r="J26" s="1379"/>
      <c r="K26" s="1385">
        <f t="shared" si="3"/>
        <v>0</v>
      </c>
      <c r="L26" s="1386">
        <f t="shared" si="4"/>
        <v>0</v>
      </c>
      <c r="M26" s="67">
        <f t="shared" si="8"/>
        <v>0</v>
      </c>
      <c r="N26" s="2146"/>
      <c r="O26" s="2147"/>
      <c r="P26" s="67">
        <f t="shared" si="9"/>
        <v>0</v>
      </c>
      <c r="R26" s="1234">
        <f t="shared" si="5"/>
        <v>0</v>
      </c>
      <c r="S26" s="1235">
        <f t="shared" si="5"/>
        <v>0</v>
      </c>
    </row>
    <row r="27" spans="1:19" ht="15.75" thickBot="1">
      <c r="A27" s="2145"/>
      <c r="B27" s="48"/>
      <c r="C27" s="2148" t="s">
        <v>1880</v>
      </c>
      <c r="D27" s="1380">
        <f>SUM(D19:D26)</f>
        <v>2719.4300000000003</v>
      </c>
      <c r="E27" s="1381">
        <f>IF(SUM(E19:E26)='数据-基础表'!BA5,SUM(E19:E26),IF(F27="地上面积有误","面积有误","地下面积有误"))</f>
        <v>26965.789999999994</v>
      </c>
      <c r="F27" s="1380">
        <f>IF(SUM(F19:F26)=E8,SUM(F19:F26),"地上面积有误")</f>
        <v>26965.789999999994</v>
      </c>
      <c r="G27" s="1382">
        <f>SUM(G19:G26)</f>
        <v>0</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6">
        <f>IF(SUM(R19:R26)=$D$3,SUM(R19:R26),SUM(R19:R26)&amp;"误差"&amp;ROUND(SUM(R19:R26)-$D$3,2))</f>
        <v>2719.4300000000003</v>
      </c>
      <c r="S27" s="1234">
        <f>IF(SUM(S19:S26)=$E$3,SUM(S19:S26),SUM(S19:S26)&amp;"误差"&amp;ROUND(SUM(S19:S26)-E3,2))</f>
        <v>26965.789999999994</v>
      </c>
    </row>
    <row r="28" spans="1:19">
      <c r="A28" s="2145"/>
      <c r="B28" s="50" t="s">
        <v>1881</v>
      </c>
      <c r="C28" s="1246" t="s">
        <v>1882</v>
      </c>
      <c r="D28" s="48">
        <f>ROUND($D$3*E28/$E$3,2)</f>
        <v>0</v>
      </c>
      <c r="E28" s="56">
        <f>SUM(F28:G28)</f>
        <v>0</v>
      </c>
      <c r="F28" s="64">
        <f>'数据-基础表'!BQ5+'数据-基础表'!BS5</f>
        <v>0</v>
      </c>
      <c r="G28" s="65">
        <f>'数据-基础表'!BR5+'数据-基础表'!BT5</f>
        <v>0</v>
      </c>
      <c r="H28" s="1379"/>
      <c r="I28" s="1379"/>
      <c r="J28" s="1379"/>
      <c r="K28" s="1379"/>
      <c r="L28" s="1379"/>
      <c r="M28" s="1379"/>
      <c r="N28" s="1379"/>
      <c r="O28" s="1379"/>
      <c r="P28" s="1379"/>
    </row>
    <row r="29" spans="1:19">
      <c r="A29" s="2145"/>
      <c r="B29" s="50" t="s">
        <v>1881</v>
      </c>
      <c r="C29" s="2149" t="s">
        <v>1883</v>
      </c>
      <c r="D29" s="48">
        <f>ROUND($D$3*E29/$E$3,2)</f>
        <v>0</v>
      </c>
      <c r="E29" s="56">
        <f>SUM(F29:G29)</f>
        <v>0</v>
      </c>
      <c r="F29" s="66">
        <f>'数据-基础表'!BM5+'数据-基础表'!BO5</f>
        <v>0</v>
      </c>
      <c r="G29" s="67">
        <f>'数据-基础表'!BN5+'数据-基础表'!BP5</f>
        <v>0</v>
      </c>
      <c r="H29" s="1379"/>
      <c r="I29" s="1379"/>
      <c r="J29" s="1379"/>
      <c r="K29" s="1379"/>
      <c r="L29" s="1379"/>
      <c r="M29" s="1379"/>
      <c r="N29" s="1379"/>
      <c r="O29" s="1379"/>
      <c r="P29" s="1379"/>
    </row>
    <row r="30" spans="1:19" ht="15">
      <c r="A30" s="2145"/>
      <c r="B30" s="50"/>
      <c r="C30" s="2150" t="s">
        <v>1880</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151"/>
      <c r="B31" s="2152"/>
      <c r="C31" s="1008" t="s">
        <v>1884</v>
      </c>
      <c r="D31" s="728">
        <f>D27+D30</f>
        <v>2719.4300000000003</v>
      </c>
      <c r="E31" s="728">
        <f>E27+E30</f>
        <v>26965.789999999994</v>
      </c>
      <c r="F31" s="729">
        <f>F27+F30</f>
        <v>26965.789999999994</v>
      </c>
      <c r="G31" s="730">
        <f>G27+G30</f>
        <v>0</v>
      </c>
      <c r="H31" s="1379"/>
      <c r="I31" s="1379"/>
      <c r="J31" s="1379"/>
      <c r="K31" s="1379"/>
      <c r="L31" s="1379"/>
      <c r="M31" s="1379"/>
      <c r="N31" s="1379"/>
      <c r="O31" s="1379"/>
      <c r="P31" s="1379"/>
    </row>
    <row r="32" spans="1:19">
      <c r="A32" s="2116"/>
      <c r="B32" s="2116" t="s">
        <v>1885</v>
      </c>
      <c r="C32" s="2116"/>
      <c r="D32" s="2116"/>
      <c r="E32" s="1261">
        <f>SUMIF(C19:C26,"*住宅*",E19:E26)</f>
        <v>25370.109999999993</v>
      </c>
      <c r="F32" s="2116"/>
      <c r="G32" s="2116"/>
      <c r="H32" s="1379"/>
      <c r="I32" s="1379"/>
      <c r="J32" s="1379"/>
      <c r="K32" s="1379"/>
      <c r="L32" s="1379"/>
      <c r="M32" s="1379"/>
      <c r="N32" s="1379"/>
      <c r="O32" s="1379"/>
      <c r="P32" s="1379"/>
    </row>
    <row r="33" spans="4:4">
      <c r="D33" s="215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70" zoomScaleNormal="70" zoomScaleSheetLayoutView="70" workbookViewId="0">
      <pane xSplit="3" ySplit="5" topLeftCell="J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2227" customWidth="1"/>
    <col min="2" max="2" width="12" style="2157" customWidth="1"/>
    <col min="3" max="3" width="10.75" style="2157" customWidth="1"/>
    <col min="4" max="4" width="9.125" style="2228" customWidth="1"/>
    <col min="5" max="5" width="15" style="2157" bestFit="1" customWidth="1"/>
    <col min="6" max="10" width="8.875" style="2157" customWidth="1"/>
    <col min="11" max="12" width="12.375" style="2072" customWidth="1"/>
    <col min="13" max="13" width="8.625" style="2157" customWidth="1"/>
    <col min="14" max="14" width="11.875" style="2157" customWidth="1"/>
    <col min="15" max="15" width="8.5" style="2157" hidden="1" customWidth="1"/>
    <col min="16" max="16" width="10.875" style="2157" hidden="1" customWidth="1"/>
    <col min="17" max="17" width="10.875" style="2157" customWidth="1"/>
    <col min="18" max="18" width="12.5" style="2157" customWidth="1"/>
    <col min="19" max="19" width="12.5" style="2157" hidden="1" customWidth="1"/>
    <col min="20" max="20" width="12.125" style="2157" hidden="1" customWidth="1"/>
    <col min="21" max="21" width="7.5" style="2157" customWidth="1"/>
    <col min="22" max="22" width="6.375" style="2157" customWidth="1"/>
    <col min="23" max="25" width="6.75" style="2157" customWidth="1"/>
    <col min="26" max="30" width="6.75" style="2157" hidden="1" customWidth="1"/>
    <col min="31" max="31" width="8" style="2157" customWidth="1"/>
    <col min="32" max="34" width="7.25" style="2157" customWidth="1"/>
    <col min="35" max="39" width="8" style="2157" customWidth="1"/>
    <col min="40" max="40" width="13.75" style="2156"/>
    <col min="41" max="41" width="11.625" style="2156" customWidth="1"/>
    <col min="42" max="42" width="9.75" style="2156" customWidth="1"/>
    <col min="43" max="67" width="13.75" style="2156"/>
    <col min="68" max="16384" width="13.75" style="2157"/>
  </cols>
  <sheetData>
    <row r="1" spans="1:67" ht="19.5" thickBot="1">
      <c r="A1" s="2154" t="s">
        <v>1886</v>
      </c>
      <c r="B1" s="731"/>
      <c r="C1" s="1567"/>
      <c r="D1" s="2155"/>
      <c r="E1" s="1567"/>
      <c r="F1" s="1567"/>
      <c r="G1" s="1567"/>
      <c r="H1" s="1567"/>
      <c r="I1" s="1567"/>
      <c r="J1" s="1567"/>
      <c r="K1" s="168"/>
      <c r="L1" s="168"/>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3" customFormat="1" ht="15.75" thickBot="1">
      <c r="A2" s="2158" t="s">
        <v>1887</v>
      </c>
      <c r="B2" s="1253">
        <f>项目基本情况!D3</f>
        <v>43161</v>
      </c>
      <c r="C2" s="2159"/>
      <c r="D2" s="2160"/>
      <c r="E2" s="2159"/>
      <c r="F2" s="2159"/>
      <c r="G2" s="2159"/>
      <c r="H2" s="2159"/>
      <c r="I2" s="2159"/>
      <c r="J2" s="2159"/>
      <c r="K2" s="1414"/>
      <c r="L2" s="1414"/>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61"/>
      <c r="AO2" s="2161"/>
      <c r="AP2" s="2161"/>
      <c r="AQ2" s="2161"/>
      <c r="AR2" s="2161"/>
      <c r="AS2" s="2161"/>
      <c r="AT2" s="2161"/>
      <c r="AU2" s="2161"/>
      <c r="AV2" s="2161"/>
      <c r="AW2" s="2161"/>
      <c r="AX2" s="2161"/>
      <c r="AY2" s="2161"/>
      <c r="AZ2" s="2161"/>
      <c r="BA2" s="2161"/>
      <c r="BB2" s="2161"/>
      <c r="BC2" s="2161"/>
      <c r="BD2" s="2161"/>
      <c r="BE2" s="2161"/>
      <c r="BF2" s="2161"/>
      <c r="BG2" s="2161"/>
      <c r="BH2" s="2161"/>
      <c r="BI2" s="2161"/>
      <c r="BJ2" s="2161"/>
      <c r="BK2" s="2161"/>
      <c r="BL2" s="2161"/>
      <c r="BM2" s="2161"/>
      <c r="BN2" s="2161"/>
      <c r="BO2" s="2161"/>
    </row>
    <row r="3" spans="1:67" s="2013" customFormat="1" ht="15" thickBot="1">
      <c r="A3" s="2011"/>
      <c r="B3" s="2162"/>
      <c r="C3" s="2159"/>
      <c r="D3" s="2160"/>
      <c r="E3" s="2159"/>
      <c r="F3" s="2159"/>
      <c r="G3" s="2159"/>
      <c r="H3" s="2159"/>
      <c r="I3" s="2159"/>
      <c r="J3" s="2159"/>
      <c r="K3" s="1414"/>
      <c r="L3" s="1414"/>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61"/>
      <c r="AO3" s="2161"/>
      <c r="AP3" s="2161"/>
      <c r="AQ3" s="2161"/>
      <c r="AR3" s="2161"/>
      <c r="AS3" s="2161"/>
      <c r="AT3" s="2161"/>
      <c r="AU3" s="2161"/>
      <c r="AV3" s="2161"/>
      <c r="AW3" s="2161"/>
      <c r="AX3" s="2161"/>
      <c r="AY3" s="2161"/>
      <c r="AZ3" s="2161"/>
      <c r="BA3" s="2161"/>
      <c r="BB3" s="2161"/>
      <c r="BC3" s="2161"/>
      <c r="BD3" s="2161"/>
      <c r="BE3" s="2161"/>
      <c r="BF3" s="2161"/>
      <c r="BG3" s="2161"/>
      <c r="BH3" s="2161"/>
      <c r="BI3" s="2161"/>
      <c r="BJ3" s="2161"/>
      <c r="BK3" s="2161"/>
      <c r="BL3" s="2161"/>
      <c r="BM3" s="2161"/>
      <c r="BN3" s="2161"/>
      <c r="BO3" s="2161"/>
    </row>
    <row r="4" spans="1:67" s="2013" customFormat="1" ht="15" thickBot="1">
      <c r="A4" s="68" t="s">
        <v>1888</v>
      </c>
      <c r="B4" s="2163"/>
      <c r="C4" s="2164"/>
      <c r="D4" s="2165"/>
      <c r="E4" s="2164" t="s">
        <v>1889</v>
      </c>
      <c r="F4" s="2164"/>
      <c r="G4" s="2164"/>
      <c r="H4" s="2164"/>
      <c r="I4" s="2164"/>
      <c r="J4" s="2166"/>
      <c r="K4" s="2167"/>
      <c r="L4" s="2168"/>
      <c r="M4" s="2164"/>
      <c r="N4" s="2164" t="s">
        <v>1890</v>
      </c>
      <c r="O4" s="2164"/>
      <c r="P4" s="2164"/>
      <c r="Q4" s="2164"/>
      <c r="R4" s="2164"/>
      <c r="S4" s="2166"/>
      <c r="T4" s="2169" t="str">
        <f>'数据-汇总表'!I17</f>
        <v>按面积比例</v>
      </c>
      <c r="U4" s="2163" t="s">
        <v>1891</v>
      </c>
      <c r="V4" s="2164"/>
      <c r="W4" s="2164"/>
      <c r="X4" s="2164"/>
      <c r="Y4" s="2166"/>
      <c r="Z4" s="2127" t="s">
        <v>1892</v>
      </c>
      <c r="AA4" s="2127"/>
      <c r="AB4" s="2127"/>
      <c r="AC4" s="2127"/>
      <c r="AD4" s="2127"/>
      <c r="AE4" s="2125" t="s">
        <v>1893</v>
      </c>
      <c r="AF4" s="2127"/>
      <c r="AG4" s="2170"/>
      <c r="AH4" s="2163"/>
      <c r="AI4" s="2164"/>
      <c r="AJ4" s="2164"/>
      <c r="AK4" s="2164"/>
      <c r="AL4" s="2164"/>
      <c r="AM4" s="2166"/>
      <c r="AN4" s="2161"/>
      <c r="AO4" s="2161"/>
      <c r="AP4" s="2161"/>
      <c r="AQ4" s="2161"/>
      <c r="AR4" s="2161"/>
      <c r="AS4" s="2161"/>
      <c r="AT4" s="2161"/>
      <c r="AU4" s="2161"/>
      <c r="AV4" s="2161"/>
      <c r="AW4" s="2161"/>
      <c r="AX4" s="2161"/>
      <c r="AY4" s="2161"/>
      <c r="AZ4" s="2161"/>
      <c r="BA4" s="2161"/>
      <c r="BB4" s="2161"/>
      <c r="BC4" s="2161"/>
      <c r="BD4" s="2161"/>
      <c r="BE4" s="2161"/>
      <c r="BF4" s="2161"/>
      <c r="BG4" s="2161"/>
      <c r="BH4" s="2161"/>
      <c r="BI4" s="2161"/>
      <c r="BJ4" s="2161"/>
      <c r="BK4" s="2161"/>
      <c r="BL4" s="2161"/>
      <c r="BM4" s="2161"/>
      <c r="BN4" s="2161"/>
      <c r="BO4" s="2161"/>
    </row>
    <row r="5" spans="1:67" s="2014" customFormat="1" ht="42">
      <c r="A5" s="2171" t="s">
        <v>1894</v>
      </c>
      <c r="B5" s="2172" t="s">
        <v>1895</v>
      </c>
      <c r="C5" s="2173" t="s">
        <v>1896</v>
      </c>
      <c r="D5" s="2174" t="s">
        <v>1897</v>
      </c>
      <c r="E5" s="1255" t="s">
        <v>1898</v>
      </c>
      <c r="F5" s="2175" t="s">
        <v>1899</v>
      </c>
      <c r="G5" s="1255" t="s">
        <v>1900</v>
      </c>
      <c r="H5" s="1255" t="s">
        <v>1901</v>
      </c>
      <c r="I5" s="1255" t="s">
        <v>1902</v>
      </c>
      <c r="J5" s="2176" t="s">
        <v>1903</v>
      </c>
      <c r="K5" s="2177" t="s">
        <v>1904</v>
      </c>
      <c r="L5" s="2178" t="s">
        <v>1905</v>
      </c>
      <c r="M5" s="2179" t="s">
        <v>1906</v>
      </c>
      <c r="N5" s="2180" t="s">
        <v>3440</v>
      </c>
      <c r="O5" s="2178" t="s">
        <v>1907</v>
      </c>
      <c r="P5" s="2181" t="s">
        <v>1908</v>
      </c>
      <c r="Q5" s="69" t="s">
        <v>1909</v>
      </c>
      <c r="R5" s="2182" t="s">
        <v>1910</v>
      </c>
      <c r="S5" s="2183" t="s">
        <v>1911</v>
      </c>
      <c r="T5" s="2184" t="s">
        <v>1912</v>
      </c>
      <c r="U5" s="1254" t="s">
        <v>1913</v>
      </c>
      <c r="V5" s="1255" t="s">
        <v>1914</v>
      </c>
      <c r="W5" s="1255" t="s">
        <v>1915</v>
      </c>
      <c r="X5" s="71"/>
      <c r="Y5" s="70" t="s">
        <v>1916</v>
      </c>
      <c r="Z5" s="2185" t="s">
        <v>1913</v>
      </c>
      <c r="AA5" s="1255" t="s">
        <v>1914</v>
      </c>
      <c r="AB5" s="1255" t="s">
        <v>1915</v>
      </c>
      <c r="AC5" s="71"/>
      <c r="AD5" s="71" t="s">
        <v>1916</v>
      </c>
      <c r="AE5" s="1254" t="s">
        <v>1917</v>
      </c>
      <c r="AF5" s="1255" t="s">
        <v>1918</v>
      </c>
      <c r="AG5" s="70" t="s">
        <v>1919</v>
      </c>
      <c r="AH5" s="1254" t="s">
        <v>1920</v>
      </c>
      <c r="AI5" s="2185" t="s">
        <v>1921</v>
      </c>
      <c r="AJ5" s="2185" t="s">
        <v>1922</v>
      </c>
      <c r="AK5" s="1255" t="s">
        <v>1923</v>
      </c>
      <c r="AL5" s="1255" t="s">
        <v>1924</v>
      </c>
      <c r="AM5" s="70" t="s">
        <v>1925</v>
      </c>
      <c r="AN5" s="2186" t="s">
        <v>1926</v>
      </c>
      <c r="AO5" s="2016" t="s">
        <v>1927</v>
      </c>
      <c r="AP5" s="1236" t="s">
        <v>1928</v>
      </c>
      <c r="AQ5" s="2187" t="s">
        <v>1929</v>
      </c>
      <c r="AR5" s="2187" t="s">
        <v>1930</v>
      </c>
      <c r="AS5" s="2043"/>
      <c r="AT5" s="2043"/>
      <c r="AU5" s="2043"/>
      <c r="AV5" s="2043"/>
      <c r="AW5" s="2043"/>
      <c r="AX5" s="2043"/>
      <c r="AY5" s="2043"/>
      <c r="AZ5" s="2043"/>
      <c r="BA5" s="2043"/>
      <c r="BB5" s="2043"/>
      <c r="BC5" s="2043"/>
      <c r="BD5" s="2043"/>
      <c r="BE5" s="2043"/>
      <c r="BF5" s="2043"/>
      <c r="BG5" s="2043"/>
      <c r="BH5" s="2043"/>
      <c r="BI5" s="2043"/>
      <c r="BJ5" s="2043"/>
      <c r="BK5" s="2043"/>
      <c r="BL5" s="2043"/>
      <c r="BM5" s="2043"/>
      <c r="BN5" s="2043"/>
      <c r="BO5" s="2043"/>
    </row>
    <row r="6" spans="1:67" s="2013" customFormat="1" ht="14.25">
      <c r="A6" s="2188" t="str">
        <f>'数据-汇总表'!C19</f>
        <v>底商</v>
      </c>
      <c r="B6" s="2189" t="str">
        <f>IF(A6=0,"","经营性")</f>
        <v>经营性</v>
      </c>
      <c r="C6" s="2190" t="s">
        <v>1376</v>
      </c>
      <c r="D6" s="1047">
        <f>SUMIF(项目基本情况!D$12:I$12,C6,项目基本情况!D$14:I$14)</f>
        <v>40</v>
      </c>
      <c r="E6" s="1046">
        <f>IF(B6="","",SUMIF(项目基本情况!D$12:I$12,C6,项目基本情况!D$13:I$13))</f>
        <v>52597</v>
      </c>
      <c r="F6" s="72">
        <f>SUMIF(项目基本情况!D$12:I$12,C6,项目基本情况!D$15:I$15)</f>
        <v>25.85</v>
      </c>
      <c r="G6" s="73">
        <f>IF(ISERROR(ROUND(POWER(1+H6,D6-F6)*(POWER(1+H6,F6)-1)/(POWER(1+H6,D6)-1),3)),0,ROUND(POWER(1+H6,D6-F6)*(POWER(1+H6,F6)-1)/(POWER(1+H6,D6)-1),3))</f>
        <v>0.82099999999999995</v>
      </c>
      <c r="H6" s="801">
        <v>4.4999999999999998E-2</v>
      </c>
      <c r="I6" s="801">
        <v>5.5E-2</v>
      </c>
      <c r="J6" s="74">
        <v>8.5000000000000006E-2</v>
      </c>
      <c r="K6" s="1238">
        <f>SUMIF('数据-汇总表'!C$19:C$33,A6,'数据-汇总表'!E$19:E$33)</f>
        <v>1595.68</v>
      </c>
      <c r="L6" s="802">
        <f>L7+500</f>
        <v>4700</v>
      </c>
      <c r="M6" s="75">
        <f t="shared" ref="M6:M14" si="0">ROUND(K6*L6/10000,0)</f>
        <v>750</v>
      </c>
      <c r="N6" s="800">
        <f>ROUND(((1-(2018-2006)/60)+95%)/2,2)</f>
        <v>0.88</v>
      </c>
      <c r="O6" s="75" t="str">
        <f>IF($N$5="成新度","——",ROUND(M6*N6,0))</f>
        <v>——</v>
      </c>
      <c r="P6" s="76" t="str">
        <f>IF($N$5="成新度","——",M6-O6)</f>
        <v>——</v>
      </c>
      <c r="Q6" s="803">
        <f>Q7+0.05</f>
        <v>0.3</v>
      </c>
      <c r="R6" s="77">
        <f ca="1">SUMIF('数据-汇总表'!C$19:C$33,A6,'数据-汇总表'!R$19:R$27)</f>
        <v>160.91999999999999</v>
      </c>
      <c r="S6" s="54">
        <f>IF('数据-汇总表'!$I$17="按面积比例",SUMIF('数据-汇总表'!C$19:C$33,A6,'数据-汇总表'!K$19:K$33),SUMIF('数据-汇总表'!C$19:C$33,A6,'数据-汇总表'!N$19:N$33))</f>
        <v>0</v>
      </c>
      <c r="T6" s="1430">
        <f>ROUND($L$14*S6/10000,0)</f>
        <v>0</v>
      </c>
      <c r="U6" s="78">
        <f>U21</f>
        <v>10.8</v>
      </c>
      <c r="V6" s="79">
        <v>0.02</v>
      </c>
      <c r="W6" s="79">
        <v>0.1</v>
      </c>
      <c r="X6" s="1248"/>
      <c r="Y6" s="80">
        <f>N6</f>
        <v>0.88</v>
      </c>
      <c r="Z6" s="81"/>
      <c r="AA6" s="74"/>
      <c r="AB6" s="74"/>
      <c r="AC6" s="1248"/>
      <c r="AD6" s="82"/>
      <c r="AE6" s="1249">
        <f ca="1">IF(AN6="",0,SUMIF(INDIRECT("'"&amp;AN6&amp;"'"&amp;"!E:E"),$AE$5,INDIRECT("'"&amp;AN6&amp;"'"&amp;"!F:F")))</f>
        <v>25.85</v>
      </c>
      <c r="AF6" s="1790"/>
      <c r="AG6" s="147">
        <f>IF(AF6="",0,AE6-AF6)</f>
        <v>0</v>
      </c>
      <c r="AH6" s="83"/>
      <c r="AI6" s="85">
        <v>365</v>
      </c>
      <c r="AJ6" s="86"/>
      <c r="AK6" s="87">
        <v>2.5000000000000001E-2</v>
      </c>
      <c r="AL6" s="88">
        <v>3.0000000000000001E-3</v>
      </c>
      <c r="AM6" s="89">
        <v>0.03</v>
      </c>
      <c r="AN6" s="2191" t="s">
        <v>3539</v>
      </c>
      <c r="AO6" s="55">
        <f ca="1">SUMIF(INDIRECT("'"&amp;AN6&amp;"'"&amp;"!A:A"),"总价",INDIRECT("'"&amp;AN6&amp;"'"&amp;"!B:B"))</f>
        <v>7936</v>
      </c>
      <c r="AP6" s="2192">
        <f>IF(C6="住宅",K6*L6,0)</f>
        <v>0</v>
      </c>
      <c r="AQ6" s="55">
        <f>ROUND($L$14*$N$14*S6/10000,0)</f>
        <v>0</v>
      </c>
      <c r="AR6" s="55">
        <f>ROUND($L$14*(1-$N$14)*S6/10000,0)</f>
        <v>0</v>
      </c>
      <c r="AS6" s="2161"/>
      <c r="AT6" s="2161"/>
      <c r="AU6" s="2161"/>
      <c r="AV6" s="2161"/>
      <c r="AW6" s="2161"/>
      <c r="AX6" s="2161"/>
      <c r="AY6" s="2161"/>
      <c r="AZ6" s="2161"/>
      <c r="BA6" s="2161"/>
      <c r="BB6" s="2161"/>
      <c r="BC6" s="2161"/>
      <c r="BD6" s="2161"/>
      <c r="BE6" s="2161"/>
      <c r="BF6" s="2161"/>
      <c r="BG6" s="2161"/>
      <c r="BH6" s="2161"/>
      <c r="BI6" s="2161"/>
      <c r="BJ6" s="2161"/>
      <c r="BK6" s="2161"/>
      <c r="BL6" s="2161"/>
      <c r="BM6" s="2161"/>
      <c r="BN6" s="2161"/>
      <c r="BO6" s="2161"/>
    </row>
    <row r="7" spans="1:67" s="2013" customFormat="1" ht="14.25">
      <c r="A7" s="2188" t="str">
        <f>'数据-汇总表'!C20</f>
        <v>住宅酒店式公寓1201</v>
      </c>
      <c r="B7" s="2189" t="str">
        <f t="shared" ref="B7:B13" si="1">IF(A7=0,"","经营性")</f>
        <v>经营性</v>
      </c>
      <c r="C7" s="2190" t="s">
        <v>3546</v>
      </c>
      <c r="D7" s="1047">
        <f>SUMIF(项目基本情况!D$12:I$12,C7,项目基本情况!D$14:I$14)</f>
        <v>70</v>
      </c>
      <c r="E7" s="1046">
        <f>IF(B7="","",SUMIF(项目基本情况!D$12:I$12,C7,项目基本情况!D$13:I$13))</f>
        <v>63555</v>
      </c>
      <c r="F7" s="72">
        <f>SUMIF(项目基本情况!D$12:I$12,C7,项目基本情况!D$15:I$15)</f>
        <v>55.87</v>
      </c>
      <c r="G7" s="73">
        <f t="shared" ref="G7:G11" si="2">IF(ISERROR(ROUND(POWER(1+H7,D7-F7)*(POWER(1+H7,F7)-1)/(POWER(1+H7,D7)-1),3)),0,ROUND(POWER(1+H7,D7-F7)*(POWER(1+H7,F7)-1)/(POWER(1+H7,D7)-1),3))</f>
        <v>0.93799999999999994</v>
      </c>
      <c r="H7" s="801">
        <v>3.5000000000000003E-2</v>
      </c>
      <c r="I7" s="801">
        <v>0.04</v>
      </c>
      <c r="J7" s="74">
        <v>8.5000000000000006E-2</v>
      </c>
      <c r="K7" s="1238">
        <f>SUMIF('数据-汇总表'!C$19:C$33,A7,'数据-汇总表'!E$19:E$33)</f>
        <v>88.04</v>
      </c>
      <c r="L7" s="802">
        <v>4200</v>
      </c>
      <c r="M7" s="75">
        <f t="shared" si="0"/>
        <v>37</v>
      </c>
      <c r="N7" s="800">
        <f>N6</f>
        <v>0.88</v>
      </c>
      <c r="O7" s="75" t="str">
        <f t="shared" ref="O7:O14" si="3">IF($N$5="成新度","——",ROUND(M7*N7,0))</f>
        <v>——</v>
      </c>
      <c r="P7" s="76" t="str">
        <f t="shared" ref="P7:P14" si="4">IF($N$5="成新度","——",M7-O7)</f>
        <v>——</v>
      </c>
      <c r="Q7" s="803">
        <v>0.25</v>
      </c>
      <c r="R7" s="77">
        <f ca="1">SUMIF('数据-汇总表'!C$19:C$33,A7,'数据-汇总表'!R$19:R$27)</f>
        <v>8.8800000000000008</v>
      </c>
      <c r="S7" s="54">
        <f>IF('数据-汇总表'!$I$17="按面积比例",SUMIF('数据-汇总表'!C$19:C$33,A7,'数据-汇总表'!K$19:K$33),SUMIF('数据-汇总表'!C$19:C$33,A7,'数据-汇总表'!N$19:N$33))</f>
        <v>0</v>
      </c>
      <c r="T7" s="1430">
        <f t="shared" ref="T7:T13" si="5">ROUND($L$14*S7/10000,0)</f>
        <v>0</v>
      </c>
      <c r="U7" s="3003">
        <v>10000</v>
      </c>
      <c r="V7" s="79">
        <v>3.5000000000000003E-2</v>
      </c>
      <c r="W7" s="79">
        <v>0.05</v>
      </c>
      <c r="X7" s="1248"/>
      <c r="Y7" s="80">
        <f t="shared" ref="Y7:Y8" si="6">N7</f>
        <v>0.88</v>
      </c>
      <c r="Z7" s="81"/>
      <c r="AA7" s="74"/>
      <c r="AB7" s="74"/>
      <c r="AC7" s="1248"/>
      <c r="AD7" s="82"/>
      <c r="AE7" s="1249">
        <f t="shared" ref="AE7:AE13" ca="1" si="7">IF(AN7="",0,SUMIF(INDIRECT("'"&amp;AN7&amp;"'"&amp;"!E:E"),$AE$5,INDIRECT("'"&amp;AN7&amp;"'"&amp;"!F:F")))</f>
        <v>48</v>
      </c>
      <c r="AF7" s="1790"/>
      <c r="AG7" s="147">
        <f t="shared" ref="AG7:AG13" si="8">IF(AF7="",0,AE7-AF7)</f>
        <v>0</v>
      </c>
      <c r="AH7" s="83">
        <v>1</v>
      </c>
      <c r="AI7" s="85">
        <v>12</v>
      </c>
      <c r="AJ7" s="86"/>
      <c r="AK7" s="87">
        <v>2.5000000000000001E-2</v>
      </c>
      <c r="AL7" s="88">
        <v>3.0000000000000001E-3</v>
      </c>
      <c r="AM7" s="89">
        <v>0.03</v>
      </c>
      <c r="AN7" s="2191" t="s">
        <v>3537</v>
      </c>
      <c r="AO7" s="55">
        <f t="shared" ref="AO7:AO13" ca="1" si="9">SUMIF(INDIRECT("'"&amp;AN7&amp;"'"&amp;"!A:A"),"总价",INDIRECT("'"&amp;AN7&amp;"'"&amp;"!B:B"))</f>
        <v>330</v>
      </c>
      <c r="AP7" s="2192">
        <f t="shared" ref="AP7:AP13" si="10">IF(C7="住宅",K7*L7,0)</f>
        <v>369768</v>
      </c>
      <c r="AQ7" s="55">
        <f t="shared" ref="AQ7:AQ13" si="11">ROUND($L$14*$N$14*S7/10000,0)</f>
        <v>0</v>
      </c>
      <c r="AR7" s="55">
        <f t="shared" ref="AR7:AR13" si="12">ROUND($L$14*(1-$N$14)*S7/10000,0)</f>
        <v>0</v>
      </c>
      <c r="AS7" s="2161"/>
      <c r="AT7" s="2161"/>
      <c r="AU7" s="2161"/>
      <c r="AV7" s="2161"/>
      <c r="AW7" s="2161"/>
      <c r="AX7" s="2161"/>
      <c r="AY7" s="2161"/>
      <c r="AZ7" s="2161"/>
      <c r="BA7" s="2161"/>
      <c r="BB7" s="2161"/>
      <c r="BC7" s="2161"/>
      <c r="BD7" s="2161"/>
      <c r="BE7" s="2161"/>
      <c r="BF7" s="2161"/>
      <c r="BG7" s="2161"/>
      <c r="BH7" s="2161"/>
      <c r="BI7" s="2161"/>
      <c r="BJ7" s="2161"/>
      <c r="BK7" s="2161"/>
      <c r="BL7" s="2161"/>
      <c r="BM7" s="2161"/>
      <c r="BN7" s="2161"/>
      <c r="BO7" s="2161"/>
    </row>
    <row r="8" spans="1:67" s="2013" customFormat="1" ht="14.25">
      <c r="A8" s="2188" t="str">
        <f>'数据-汇总表'!C21</f>
        <v>住宅酒店式公寓其他</v>
      </c>
      <c r="B8" s="2189" t="str">
        <f t="shared" si="1"/>
        <v>经营性</v>
      </c>
      <c r="C8" s="2190" t="s">
        <v>3546</v>
      </c>
      <c r="D8" s="1047">
        <f>SUMIF(项目基本情况!D$12:I$12,C8,项目基本情况!D$14:I$14)</f>
        <v>70</v>
      </c>
      <c r="E8" s="1046">
        <f>IF(B8="","",SUMIF(项目基本情况!D$12:I$12,C8,项目基本情况!D$13:I$13))</f>
        <v>63555</v>
      </c>
      <c r="F8" s="72">
        <f>SUMIF(项目基本情况!D$12:I$12,C8,项目基本情况!D$15:I$15)</f>
        <v>55.87</v>
      </c>
      <c r="G8" s="73">
        <f t="shared" si="2"/>
        <v>0.93799999999999994</v>
      </c>
      <c r="H8" s="801">
        <v>3.5000000000000003E-2</v>
      </c>
      <c r="I8" s="801">
        <v>0.04</v>
      </c>
      <c r="J8" s="74">
        <v>8.5000000000000006E-2</v>
      </c>
      <c r="K8" s="1238">
        <f>SUMIF('数据-汇总表'!C$19:C$33,A8,'数据-汇总表'!E$19:E$33)</f>
        <v>25282.069999999992</v>
      </c>
      <c r="L8" s="802">
        <f>L7</f>
        <v>4200</v>
      </c>
      <c r="M8" s="75">
        <f>ROUND(K8*L8/10000,0)</f>
        <v>10618</v>
      </c>
      <c r="N8" s="800">
        <f>N6</f>
        <v>0.88</v>
      </c>
      <c r="O8" s="75" t="str">
        <f t="shared" si="3"/>
        <v>——</v>
      </c>
      <c r="P8" s="76" t="str">
        <f t="shared" si="4"/>
        <v>——</v>
      </c>
      <c r="Q8" s="803">
        <v>0.25</v>
      </c>
      <c r="R8" s="77">
        <f ca="1">SUMIF('数据-汇总表'!C$19:C$33,A8,'数据-汇总表'!R$19:R$27)</f>
        <v>2549.63</v>
      </c>
      <c r="S8" s="54">
        <f>IF('数据-汇总表'!$I$17="按面积比例",SUMIF('数据-汇总表'!C$19:C$33,A8,'数据-汇总表'!K$19:K$33),SUMIF('数据-汇总表'!C$19:C$33,A8,'数据-汇总表'!N$19:N$33))</f>
        <v>0</v>
      </c>
      <c r="T8" s="1430">
        <f t="shared" si="5"/>
        <v>0</v>
      </c>
      <c r="U8" s="804"/>
      <c r="V8" s="805">
        <v>3.5000000000000003E-2</v>
      </c>
      <c r="W8" s="805">
        <v>0.05</v>
      </c>
      <c r="X8" s="1248"/>
      <c r="Y8" s="80">
        <f t="shared" si="6"/>
        <v>0.88</v>
      </c>
      <c r="Z8" s="81"/>
      <c r="AA8" s="74"/>
      <c r="AB8" s="74"/>
      <c r="AC8" s="1248"/>
      <c r="AD8" s="82"/>
      <c r="AE8" s="1249">
        <f t="shared" ca="1" si="7"/>
        <v>0</v>
      </c>
      <c r="AF8" s="1790"/>
      <c r="AG8" s="147">
        <f t="shared" si="8"/>
        <v>0</v>
      </c>
      <c r="AH8" s="806"/>
      <c r="AI8" s="85"/>
      <c r="AJ8" s="86"/>
      <c r="AK8" s="807"/>
      <c r="AL8" s="808"/>
      <c r="AM8" s="809"/>
      <c r="AN8" s="2191"/>
      <c r="AO8" s="55" t="e">
        <f t="shared" ca="1" si="9"/>
        <v>#REF!</v>
      </c>
      <c r="AP8" s="2192">
        <f t="shared" si="10"/>
        <v>106184693.99999997</v>
      </c>
      <c r="AQ8" s="55">
        <f t="shared" si="11"/>
        <v>0</v>
      </c>
      <c r="AR8" s="55">
        <f t="shared" si="12"/>
        <v>0</v>
      </c>
      <c r="AS8" s="2161"/>
      <c r="AT8" s="2161"/>
      <c r="AU8" s="2161"/>
      <c r="AV8" s="2161"/>
      <c r="AW8" s="2161"/>
      <c r="AX8" s="2161"/>
      <c r="AY8" s="2161"/>
      <c r="AZ8" s="2161"/>
      <c r="BA8" s="2161"/>
      <c r="BB8" s="2161"/>
      <c r="BC8" s="2161"/>
      <c r="BD8" s="2161"/>
      <c r="BE8" s="2161"/>
      <c r="BF8" s="2161"/>
      <c r="BG8" s="2161"/>
      <c r="BH8" s="2161"/>
      <c r="BI8" s="2161"/>
      <c r="BJ8" s="2161"/>
      <c r="BK8" s="2161"/>
      <c r="BL8" s="2161"/>
      <c r="BM8" s="2161"/>
      <c r="BN8" s="2161"/>
      <c r="BO8" s="2161"/>
    </row>
    <row r="9" spans="1:67" s="2013" customFormat="1" ht="14.25" hidden="1">
      <c r="A9" s="2188">
        <f>'数据-汇总表'!C22</f>
        <v>0</v>
      </c>
      <c r="B9" s="2189" t="str">
        <f t="shared" si="1"/>
        <v/>
      </c>
      <c r="C9" s="2190"/>
      <c r="D9" s="1047">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3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0">
        <f t="shared" si="5"/>
        <v>0</v>
      </c>
      <c r="U9" s="78"/>
      <c r="V9" s="79"/>
      <c r="W9" s="79"/>
      <c r="X9" s="1248"/>
      <c r="Y9" s="80"/>
      <c r="Z9" s="81"/>
      <c r="AA9" s="74"/>
      <c r="AB9" s="74"/>
      <c r="AC9" s="1248"/>
      <c r="AD9" s="82"/>
      <c r="AE9" s="1249">
        <f t="shared" ca="1" si="7"/>
        <v>0</v>
      </c>
      <c r="AF9" s="1790"/>
      <c r="AG9" s="147">
        <f t="shared" si="8"/>
        <v>0</v>
      </c>
      <c r="AH9" s="83"/>
      <c r="AI9" s="85"/>
      <c r="AJ9" s="86"/>
      <c r="AK9" s="87"/>
      <c r="AL9" s="88"/>
      <c r="AM9" s="89"/>
      <c r="AN9" s="2191"/>
      <c r="AO9" s="55" t="e">
        <f t="shared" ca="1" si="9"/>
        <v>#REF!</v>
      </c>
      <c r="AP9" s="2192">
        <f t="shared" si="10"/>
        <v>0</v>
      </c>
      <c r="AQ9" s="55">
        <f t="shared" si="11"/>
        <v>0</v>
      </c>
      <c r="AR9" s="55">
        <f t="shared" si="12"/>
        <v>0</v>
      </c>
      <c r="AS9" s="2161"/>
      <c r="AT9" s="2161"/>
      <c r="AU9" s="2161"/>
      <c r="AV9" s="2161"/>
      <c r="AW9" s="2161"/>
      <c r="AX9" s="2161"/>
      <c r="AY9" s="2161"/>
      <c r="AZ9" s="2161"/>
      <c r="BA9" s="2161"/>
      <c r="BB9" s="2161"/>
      <c r="BC9" s="2161"/>
      <c r="BD9" s="2161"/>
      <c r="BE9" s="2161"/>
      <c r="BF9" s="2161"/>
      <c r="BG9" s="2161"/>
      <c r="BH9" s="2161"/>
      <c r="BI9" s="2161"/>
      <c r="BJ9" s="2161"/>
      <c r="BK9" s="2161"/>
      <c r="BL9" s="2161"/>
      <c r="BM9" s="2161"/>
      <c r="BN9" s="2161"/>
      <c r="BO9" s="2161"/>
    </row>
    <row r="10" spans="1:67" s="2013" customFormat="1" ht="14.25" hidden="1">
      <c r="A10" s="2188">
        <f>'数据-汇总表'!C23</f>
        <v>0</v>
      </c>
      <c r="B10" s="2189" t="str">
        <f t="shared" si="1"/>
        <v/>
      </c>
      <c r="C10" s="2190"/>
      <c r="D10" s="1047">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3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0">
        <f t="shared" si="5"/>
        <v>0</v>
      </c>
      <c r="U10" s="78"/>
      <c r="V10" s="79"/>
      <c r="W10" s="79"/>
      <c r="X10" s="1248"/>
      <c r="Y10" s="80"/>
      <c r="Z10" s="81"/>
      <c r="AA10" s="74"/>
      <c r="AB10" s="74"/>
      <c r="AC10" s="1248"/>
      <c r="AD10" s="82"/>
      <c r="AE10" s="1249">
        <f t="shared" ca="1" si="7"/>
        <v>0</v>
      </c>
      <c r="AF10" s="1790"/>
      <c r="AG10" s="147">
        <f t="shared" si="8"/>
        <v>0</v>
      </c>
      <c r="AH10" s="83"/>
      <c r="AI10" s="85"/>
      <c r="AJ10" s="86"/>
      <c r="AK10" s="87"/>
      <c r="AL10" s="88"/>
      <c r="AM10" s="89"/>
      <c r="AN10" s="2191"/>
      <c r="AO10" s="55" t="e">
        <f t="shared" ca="1" si="9"/>
        <v>#REF!</v>
      </c>
      <c r="AP10" s="2192">
        <f t="shared" si="10"/>
        <v>0</v>
      </c>
      <c r="AQ10" s="55">
        <f t="shared" si="11"/>
        <v>0</v>
      </c>
      <c r="AR10" s="55">
        <f t="shared" si="12"/>
        <v>0</v>
      </c>
      <c r="AS10" s="2161"/>
      <c r="AT10" s="2161"/>
      <c r="AU10" s="2161"/>
      <c r="AV10" s="2161"/>
      <c r="AW10" s="2161"/>
      <c r="AX10" s="2161"/>
      <c r="AY10" s="2161"/>
      <c r="AZ10" s="2161"/>
      <c r="BA10" s="2161"/>
      <c r="BB10" s="2161"/>
      <c r="BC10" s="2161"/>
      <c r="BD10" s="2161"/>
      <c r="BE10" s="2161"/>
      <c r="BF10" s="2161"/>
      <c r="BG10" s="2161"/>
      <c r="BH10" s="2161"/>
      <c r="BI10" s="2161"/>
      <c r="BJ10" s="2161"/>
      <c r="BK10" s="2161"/>
      <c r="BL10" s="2161"/>
      <c r="BM10" s="2161"/>
      <c r="BN10" s="2161"/>
      <c r="BO10" s="2161"/>
    </row>
    <row r="11" spans="1:67" s="2013" customFormat="1" ht="14.25" hidden="1">
      <c r="A11" s="2188">
        <f>'数据-汇总表'!C24</f>
        <v>0</v>
      </c>
      <c r="B11" s="2189" t="str">
        <f t="shared" si="1"/>
        <v/>
      </c>
      <c r="C11" s="2190"/>
      <c r="D11" s="1047">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3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0">
        <f t="shared" si="5"/>
        <v>0</v>
      </c>
      <c r="U11" s="83"/>
      <c r="V11" s="74"/>
      <c r="W11" s="74"/>
      <c r="X11" s="1248"/>
      <c r="Y11" s="80"/>
      <c r="Z11" s="93"/>
      <c r="AA11" s="74"/>
      <c r="AB11" s="74"/>
      <c r="AC11" s="1248"/>
      <c r="AD11" s="82"/>
      <c r="AE11" s="1249">
        <f t="shared" ca="1" si="7"/>
        <v>0</v>
      </c>
      <c r="AF11" s="1790"/>
      <c r="AG11" s="147">
        <f t="shared" si="8"/>
        <v>0</v>
      </c>
      <c r="AH11" s="83"/>
      <c r="AI11" s="85"/>
      <c r="AJ11" s="86"/>
      <c r="AK11" s="94"/>
      <c r="AL11" s="95"/>
      <c r="AM11" s="96"/>
      <c r="AN11" s="2191"/>
      <c r="AO11" s="55" t="e">
        <f t="shared" ca="1" si="9"/>
        <v>#REF!</v>
      </c>
      <c r="AP11" s="2192">
        <f t="shared" si="10"/>
        <v>0</v>
      </c>
      <c r="AQ11" s="55">
        <f t="shared" si="11"/>
        <v>0</v>
      </c>
      <c r="AR11" s="55">
        <f t="shared" si="12"/>
        <v>0</v>
      </c>
      <c r="AS11" s="2161"/>
      <c r="AT11" s="2161"/>
      <c r="AU11" s="2161"/>
      <c r="AV11" s="2161"/>
      <c r="AW11" s="2161"/>
      <c r="AX11" s="2161"/>
      <c r="AY11" s="2161"/>
      <c r="AZ11" s="2161"/>
      <c r="BA11" s="2161"/>
      <c r="BB11" s="2161"/>
      <c r="BC11" s="2161"/>
      <c r="BD11" s="2161"/>
      <c r="BE11" s="2161"/>
      <c r="BF11" s="2161"/>
      <c r="BG11" s="2161"/>
      <c r="BH11" s="2161"/>
      <c r="BI11" s="2161"/>
      <c r="BJ11" s="2161"/>
      <c r="BK11" s="2161"/>
      <c r="BL11" s="2161"/>
      <c r="BM11" s="2161"/>
      <c r="BN11" s="2161"/>
      <c r="BO11" s="2161"/>
    </row>
    <row r="12" spans="1:67" s="2013" customFormat="1" ht="14.25" hidden="1">
      <c r="A12" s="2188">
        <f>'数据-汇总表'!C25</f>
        <v>0</v>
      </c>
      <c r="B12" s="2189" t="str">
        <f t="shared" si="1"/>
        <v/>
      </c>
      <c r="C12" s="2190"/>
      <c r="D12" s="1047">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0">
        <f t="shared" si="5"/>
        <v>0</v>
      </c>
      <c r="U12" s="83"/>
      <c r="V12" s="74"/>
      <c r="W12" s="74"/>
      <c r="X12" s="1248"/>
      <c r="Y12" s="80"/>
      <c r="Z12" s="93"/>
      <c r="AA12" s="74"/>
      <c r="AB12" s="74"/>
      <c r="AC12" s="1248"/>
      <c r="AD12" s="82"/>
      <c r="AE12" s="1249">
        <f t="shared" ca="1" si="7"/>
        <v>0</v>
      </c>
      <c r="AF12" s="1790"/>
      <c r="AG12" s="147">
        <f t="shared" si="8"/>
        <v>0</v>
      </c>
      <c r="AH12" s="83"/>
      <c r="AI12" s="85"/>
      <c r="AJ12" s="86"/>
      <c r="AK12" s="94"/>
      <c r="AL12" s="95"/>
      <c r="AM12" s="96"/>
      <c r="AN12" s="2191"/>
      <c r="AO12" s="55" t="e">
        <f t="shared" ca="1" si="9"/>
        <v>#REF!</v>
      </c>
      <c r="AP12" s="2192">
        <f t="shared" si="10"/>
        <v>0</v>
      </c>
      <c r="AQ12" s="55">
        <f t="shared" si="11"/>
        <v>0</v>
      </c>
      <c r="AR12" s="55">
        <f t="shared" si="12"/>
        <v>0</v>
      </c>
      <c r="AS12" s="2161"/>
      <c r="AT12" s="2161"/>
      <c r="AU12" s="2161"/>
      <c r="AV12" s="2161"/>
      <c r="AW12" s="2161"/>
      <c r="AX12" s="2161"/>
      <c r="AY12" s="2161"/>
      <c r="AZ12" s="2161"/>
      <c r="BA12" s="2161"/>
      <c r="BB12" s="2161"/>
      <c r="BC12" s="2161"/>
      <c r="BD12" s="2161"/>
      <c r="BE12" s="2161"/>
      <c r="BF12" s="2161"/>
      <c r="BG12" s="2161"/>
      <c r="BH12" s="2161"/>
      <c r="BI12" s="2161"/>
      <c r="BJ12" s="2161"/>
      <c r="BK12" s="2161"/>
      <c r="BL12" s="2161"/>
      <c r="BM12" s="2161"/>
      <c r="BN12" s="2161"/>
      <c r="BO12" s="2161"/>
    </row>
    <row r="13" spans="1:67" s="2013" customFormat="1" ht="14.25" hidden="1">
      <c r="A13" s="2188">
        <f>'数据-汇总表'!C26</f>
        <v>0</v>
      </c>
      <c r="B13" s="2189" t="str">
        <f t="shared" si="1"/>
        <v/>
      </c>
      <c r="C13" s="2190"/>
      <c r="D13" s="1047">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0">
        <f t="shared" si="5"/>
        <v>0</v>
      </c>
      <c r="U13" s="78"/>
      <c r="V13" s="79"/>
      <c r="W13" s="79"/>
      <c r="X13" s="1248"/>
      <c r="Y13" s="80"/>
      <c r="Z13" s="81"/>
      <c r="AA13" s="74"/>
      <c r="AB13" s="74"/>
      <c r="AC13" s="1248"/>
      <c r="AD13" s="82"/>
      <c r="AE13" s="1249">
        <f t="shared" ca="1" si="7"/>
        <v>0</v>
      </c>
      <c r="AF13" s="1790"/>
      <c r="AG13" s="147">
        <f t="shared" si="8"/>
        <v>0</v>
      </c>
      <c r="AH13" s="83"/>
      <c r="AI13" s="85"/>
      <c r="AJ13" s="86"/>
      <c r="AK13" s="87"/>
      <c r="AL13" s="88"/>
      <c r="AM13" s="89"/>
      <c r="AN13" s="2191"/>
      <c r="AO13" s="55" t="e">
        <f t="shared" ca="1" si="9"/>
        <v>#REF!</v>
      </c>
      <c r="AP13" s="2192">
        <f t="shared" si="10"/>
        <v>0</v>
      </c>
      <c r="AQ13" s="55">
        <f t="shared" si="11"/>
        <v>0</v>
      </c>
      <c r="AR13" s="55">
        <f t="shared" si="12"/>
        <v>0</v>
      </c>
      <c r="AS13" s="2161"/>
      <c r="AT13" s="2161"/>
      <c r="AU13" s="2161"/>
      <c r="AV13" s="2161"/>
      <c r="AW13" s="2161"/>
      <c r="AX13" s="2161"/>
      <c r="AY13" s="2161"/>
      <c r="AZ13" s="2161"/>
      <c r="BA13" s="2161"/>
      <c r="BB13" s="2161"/>
      <c r="BC13" s="2161"/>
      <c r="BD13" s="2161"/>
      <c r="BE13" s="2161"/>
      <c r="BF13" s="2161"/>
      <c r="BG13" s="2161"/>
      <c r="BH13" s="2161"/>
      <c r="BI13" s="2161"/>
      <c r="BJ13" s="2161"/>
      <c r="BK13" s="2161"/>
      <c r="BL13" s="2161"/>
      <c r="BM13" s="2161"/>
      <c r="BN13" s="2161"/>
      <c r="BO13" s="2161"/>
    </row>
    <row r="14" spans="1:67" s="2013" customFormat="1" ht="14.25" hidden="1">
      <c r="A14" s="2193" t="s">
        <v>1931</v>
      </c>
      <c r="B14" s="2189" t="s">
        <v>1932</v>
      </c>
      <c r="C14" s="2194" t="s">
        <v>1931</v>
      </c>
      <c r="D14" s="1047"/>
      <c r="E14" s="1046"/>
      <c r="F14" s="72"/>
      <c r="G14" s="73"/>
      <c r="H14" s="1237"/>
      <c r="I14" s="1237"/>
      <c r="J14" s="1237"/>
      <c r="K14" s="1238">
        <f>SUMIF('数据-汇总表'!C$19:C$33,A14,'数据-汇总表'!E$19:E$33)</f>
        <v>0</v>
      </c>
      <c r="L14" s="91"/>
      <c r="M14" s="75">
        <f t="shared" si="0"/>
        <v>0</v>
      </c>
      <c r="N14" s="92"/>
      <c r="O14" s="75" t="str">
        <f t="shared" si="3"/>
        <v>——</v>
      </c>
      <c r="P14" s="76" t="str">
        <f t="shared" si="4"/>
        <v>——</v>
      </c>
      <c r="Q14" s="1241"/>
      <c r="R14" s="77"/>
      <c r="S14" s="54"/>
      <c r="T14" s="1430"/>
      <c r="U14" s="722"/>
      <c r="V14" s="1243"/>
      <c r="W14" s="1243"/>
      <c r="X14" s="1244"/>
      <c r="Y14" s="1245"/>
      <c r="Z14" s="1246"/>
      <c r="AA14" s="1247"/>
      <c r="AB14" s="1247"/>
      <c r="AC14" s="1248"/>
      <c r="AD14" s="1244"/>
      <c r="AE14" s="1249"/>
      <c r="AF14" s="55"/>
      <c r="AG14" s="147"/>
      <c r="AH14" s="1249"/>
      <c r="AI14" s="1801"/>
      <c r="AJ14" s="772"/>
      <c r="AK14" s="1250"/>
      <c r="AL14" s="1251"/>
      <c r="AM14" s="1252"/>
      <c r="AN14" s="2156"/>
      <c r="AO14" s="2161"/>
      <c r="AP14" s="2161"/>
      <c r="AQ14" s="2161"/>
      <c r="AR14" s="2161"/>
      <c r="AS14" s="2161"/>
      <c r="AT14" s="2161"/>
      <c r="AU14" s="2161"/>
      <c r="AV14" s="2161"/>
      <c r="AW14" s="2161"/>
      <c r="AX14" s="2161"/>
      <c r="AY14" s="2161"/>
      <c r="AZ14" s="2161"/>
      <c r="BA14" s="2161"/>
      <c r="BB14" s="2161"/>
      <c r="BC14" s="2161"/>
      <c r="BD14" s="2161"/>
      <c r="BE14" s="2161"/>
      <c r="BF14" s="2161"/>
      <c r="BG14" s="2161"/>
      <c r="BH14" s="2161"/>
      <c r="BI14" s="2161"/>
      <c r="BJ14" s="2161"/>
      <c r="BK14" s="2161"/>
      <c r="BL14" s="2161"/>
      <c r="BM14" s="2161"/>
      <c r="BN14" s="2161"/>
      <c r="BO14" s="2161"/>
    </row>
    <row r="15" spans="1:67" s="2013" customFormat="1" ht="27" hidden="1">
      <c r="A15" s="2193" t="s">
        <v>1933</v>
      </c>
      <c r="B15" s="2189" t="s">
        <v>1932</v>
      </c>
      <c r="C15" s="2194" t="s">
        <v>1934</v>
      </c>
      <c r="D15" s="1047"/>
      <c r="E15" s="1046"/>
      <c r="F15" s="72"/>
      <c r="G15" s="73"/>
      <c r="H15" s="1237"/>
      <c r="I15" s="1237"/>
      <c r="J15" s="1237"/>
      <c r="K15" s="1238">
        <f>SUMIF('数据-汇总表'!C$19:C$33,A15,'数据-汇总表'!E$19:E$33)</f>
        <v>0</v>
      </c>
      <c r="L15" s="1239"/>
      <c r="M15" s="75"/>
      <c r="N15" s="1240"/>
      <c r="O15" s="75"/>
      <c r="P15" s="76"/>
      <c r="Q15" s="1241"/>
      <c r="R15" s="77"/>
      <c r="S15" s="54"/>
      <c r="T15" s="1430"/>
      <c r="U15" s="722"/>
      <c r="V15" s="1243"/>
      <c r="W15" s="1243"/>
      <c r="X15" s="1244"/>
      <c r="Y15" s="1245"/>
      <c r="Z15" s="1246"/>
      <c r="AA15" s="1247"/>
      <c r="AB15" s="1247"/>
      <c r="AC15" s="1248"/>
      <c r="AD15" s="1244"/>
      <c r="AE15" s="1249"/>
      <c r="AF15" s="55"/>
      <c r="AG15" s="147"/>
      <c r="AH15" s="1249"/>
      <c r="AI15" s="1801"/>
      <c r="AJ15" s="772"/>
      <c r="AK15" s="1250"/>
      <c r="AL15" s="1251"/>
      <c r="AM15" s="1252"/>
      <c r="AN15" s="2156"/>
      <c r="AO15" s="2161"/>
      <c r="AP15" s="2161"/>
      <c r="AQ15" s="2161"/>
      <c r="AR15" s="2161"/>
      <c r="AS15" s="2161"/>
      <c r="AT15" s="2161"/>
      <c r="AU15" s="2161"/>
      <c r="AV15" s="2161"/>
      <c r="AW15" s="2161"/>
      <c r="AX15" s="2161"/>
      <c r="AY15" s="2161"/>
      <c r="AZ15" s="2161"/>
      <c r="BA15" s="2161"/>
      <c r="BB15" s="2161"/>
      <c r="BC15" s="2161"/>
      <c r="BD15" s="2161"/>
      <c r="BE15" s="2161"/>
      <c r="BF15" s="2161"/>
      <c r="BG15" s="2161"/>
      <c r="BH15" s="2161"/>
      <c r="BI15" s="2161"/>
      <c r="BJ15" s="2161"/>
      <c r="BK15" s="2161"/>
      <c r="BL15" s="2161"/>
      <c r="BM15" s="2161"/>
      <c r="BN15" s="2161"/>
      <c r="BO15" s="2161"/>
    </row>
    <row r="16" spans="1:67" s="2013" customFormat="1" ht="15.75" thickBot="1">
      <c r="A16" s="2195" t="s">
        <v>1935</v>
      </c>
      <c r="B16" s="97"/>
      <c r="C16" s="1006"/>
      <c r="D16" s="2196"/>
      <c r="E16" s="97"/>
      <c r="F16" s="97"/>
      <c r="G16" s="98">
        <f>ROUND(SUMPRODUCT(G6:G13,K6:K13)/SUMPRODUCT((G6:G13&gt;0)*(K6:K13)),3)</f>
        <v>0.93100000000000005</v>
      </c>
      <c r="H16" s="99">
        <f>ROUND(SUMPRODUCT(H6:H13,K6:K13)/SUMPRODUCT((H6:H13&gt;0)*(K6:K13)),3)</f>
        <v>3.5999999999999997E-2</v>
      </c>
      <c r="I16" s="100"/>
      <c r="J16" s="100"/>
      <c r="K16" s="101">
        <f>SUM(K6:K15)</f>
        <v>26965.789999999994</v>
      </c>
      <c r="L16" s="102">
        <f>ROUND(M16*10000/SUM(K6:K14),0)</f>
        <v>4229</v>
      </c>
      <c r="M16" s="102">
        <f>SUM(M6:M14)</f>
        <v>11405</v>
      </c>
      <c r="N16" s="103">
        <f>ROUND(SUMPRODUCT(M6:M14,N6:N14)/M16,3)</f>
        <v>0.88</v>
      </c>
      <c r="O16" s="102">
        <f>SUM(O6:O14)</f>
        <v>0</v>
      </c>
      <c r="P16" s="102">
        <f>SUM(P6:P14)</f>
        <v>0</v>
      </c>
      <c r="Q16" s="104">
        <f>ROUND(SUMPRODUCT(Q6:Q13,K6:K13)/SUMPRODUCT((Q6:Q13&gt;0)*(K6:K13)),2)</f>
        <v>0.25</v>
      </c>
      <c r="R16" s="1242">
        <f ca="1">SUM(R6:R13)</f>
        <v>2719.4300000000003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56"/>
      <c r="AO16" s="2161"/>
      <c r="AP16" s="2161"/>
      <c r="AQ16" s="2161"/>
      <c r="AR16" s="2161"/>
      <c r="AS16" s="2161"/>
      <c r="AT16" s="2161"/>
      <c r="AU16" s="2161"/>
      <c r="AV16" s="2161"/>
      <c r="AW16" s="2161"/>
      <c r="AX16" s="2161"/>
      <c r="AY16" s="2161"/>
      <c r="AZ16" s="2161"/>
      <c r="BA16" s="2161"/>
      <c r="BB16" s="2161"/>
      <c r="BC16" s="2161"/>
      <c r="BD16" s="2161"/>
      <c r="BE16" s="2161"/>
      <c r="BF16" s="2161"/>
      <c r="BG16" s="2161"/>
      <c r="BH16" s="2161"/>
      <c r="BI16" s="2161"/>
      <c r="BJ16" s="2161"/>
      <c r="BK16" s="2161"/>
      <c r="BL16" s="2161"/>
      <c r="BM16" s="2161"/>
      <c r="BN16" s="2161"/>
      <c r="BO16" s="2161"/>
    </row>
    <row r="17" spans="1:67" ht="13.5" thickBot="1">
      <c r="A17" s="2197"/>
      <c r="B17" s="731"/>
      <c r="C17" s="1567"/>
      <c r="D17" s="2155"/>
      <c r="E17" s="2155"/>
      <c r="F17" s="1567"/>
      <c r="G17" s="1567"/>
      <c r="H17" s="1567"/>
      <c r="I17" s="1567"/>
      <c r="J17" s="1567"/>
      <c r="K17" s="168"/>
      <c r="L17" s="168"/>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8" t="s">
        <v>1936</v>
      </c>
      <c r="B18" s="2162"/>
      <c r="C18" s="2159"/>
      <c r="D18" s="2160"/>
      <c r="E18" s="2159"/>
      <c r="F18" s="2159"/>
      <c r="G18" s="2159"/>
      <c r="H18" s="2159"/>
      <c r="I18" s="2159"/>
      <c r="J18" s="2159"/>
      <c r="K18" s="168"/>
      <c r="L18" s="168"/>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198" t="s">
        <v>1937</v>
      </c>
      <c r="B19" s="112">
        <v>0</v>
      </c>
      <c r="C19" s="2159" t="s">
        <v>1938</v>
      </c>
      <c r="D19" s="2160"/>
      <c r="E19" s="2159"/>
      <c r="F19" s="2159"/>
      <c r="G19" s="2159"/>
      <c r="H19" s="2159"/>
      <c r="I19" s="2159"/>
      <c r="J19" s="2159"/>
      <c r="K19" s="168"/>
      <c r="L19" s="168"/>
      <c r="M19" s="1567"/>
      <c r="N19" s="1567"/>
      <c r="O19" s="1567"/>
      <c r="P19" s="1567"/>
      <c r="Q19" s="1567"/>
      <c r="R19" s="3009" t="s">
        <v>3606</v>
      </c>
      <c r="S19" s="1567"/>
      <c r="T19" s="1567"/>
      <c r="U19" s="1567">
        <v>12</v>
      </c>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199" t="s">
        <v>1939</v>
      </c>
      <c r="B20" s="113">
        <v>2.5</v>
      </c>
      <c r="C20" s="2159" t="s">
        <v>1940</v>
      </c>
      <c r="D20" s="2160"/>
      <c r="E20" s="2159"/>
      <c r="F20" s="2159"/>
      <c r="G20" s="2159"/>
      <c r="H20" s="2159"/>
      <c r="I20" s="2159"/>
      <c r="J20" s="2159"/>
      <c r="K20" s="168"/>
      <c r="L20" s="168"/>
      <c r="M20" s="1567"/>
      <c r="N20" s="1567"/>
      <c r="O20" s="1567"/>
      <c r="P20" s="1567"/>
      <c r="Q20" s="1567"/>
      <c r="R20" s="3009" t="s">
        <v>3607</v>
      </c>
      <c r="S20" s="1567"/>
      <c r="T20" s="1567"/>
      <c r="U20" s="1567">
        <f>U19*0.8</f>
        <v>9.6000000000000014</v>
      </c>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200" t="s">
        <v>1941</v>
      </c>
      <c r="B21" s="113">
        <v>2.5</v>
      </c>
      <c r="C21" s="2159"/>
      <c r="D21" s="2160"/>
      <c r="E21" s="2159"/>
      <c r="F21" s="2159"/>
      <c r="G21" s="2159"/>
      <c r="H21" s="2159"/>
      <c r="I21" s="2159"/>
      <c r="J21" s="2159"/>
      <c r="K21" s="168"/>
      <c r="L21" s="168"/>
      <c r="M21" s="1567"/>
      <c r="N21" s="1567"/>
      <c r="O21" s="1567"/>
      <c r="P21" s="1567"/>
      <c r="Q21" s="1567"/>
      <c r="R21" s="1567"/>
      <c r="S21" s="1567"/>
      <c r="T21" s="1567"/>
      <c r="U21" s="1567">
        <f>ROUND((U19+U20)/2,1)</f>
        <v>10.8</v>
      </c>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199" t="s">
        <v>1942</v>
      </c>
      <c r="B22" s="114">
        <f>B19+B20</f>
        <v>2.5</v>
      </c>
      <c r="C22" s="2159"/>
      <c r="D22" s="2160"/>
      <c r="E22" s="2159"/>
      <c r="F22" s="2159"/>
      <c r="G22" s="2159"/>
      <c r="H22" s="2159"/>
      <c r="I22" s="2159"/>
      <c r="J22" s="2159"/>
      <c r="K22" s="168"/>
      <c r="L22" s="168"/>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200" t="s">
        <v>1943</v>
      </c>
      <c r="B23" s="114">
        <f>B19+B21</f>
        <v>2.5</v>
      </c>
      <c r="C23" s="2159"/>
      <c r="D23" s="2160"/>
      <c r="E23" s="2159"/>
      <c r="F23" s="2159"/>
      <c r="G23" s="2159"/>
      <c r="H23" s="2159"/>
      <c r="I23" s="2159"/>
      <c r="J23" s="2159"/>
      <c r="K23" s="168"/>
      <c r="L23" s="168"/>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201" t="s">
        <v>1944</v>
      </c>
      <c r="B24" s="115">
        <f>B20-B21</f>
        <v>0</v>
      </c>
      <c r="C24" s="2159"/>
      <c r="D24" s="2160"/>
      <c r="E24" s="2159"/>
      <c r="F24" s="2159"/>
      <c r="G24" s="2159"/>
      <c r="H24" s="2159"/>
      <c r="I24" s="2159"/>
      <c r="J24" s="2159"/>
      <c r="K24" s="168"/>
      <c r="L24" s="168"/>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1"/>
      <c r="B25" s="2162"/>
      <c r="C25" s="2159"/>
      <c r="D25" s="2160"/>
      <c r="E25" s="2159"/>
      <c r="F25" s="2159"/>
      <c r="G25" s="2159"/>
      <c r="H25" s="2159"/>
      <c r="I25" s="2159"/>
      <c r="J25" s="2159"/>
      <c r="K25" s="168"/>
      <c r="L25" s="168"/>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158" t="s">
        <v>1945</v>
      </c>
      <c r="B26" s="2202" t="s">
        <v>1946</v>
      </c>
      <c r="C26" s="2203" t="s">
        <v>1947</v>
      </c>
      <c r="D26" s="2160"/>
      <c r="E26" s="2159"/>
      <c r="F26" s="2159"/>
      <c r="G26" s="2159"/>
      <c r="H26" s="2159"/>
      <c r="I26" s="2159"/>
      <c r="J26" s="2159"/>
      <c r="K26" s="168"/>
      <c r="L26" s="168"/>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206" customFormat="1" ht="27.75">
      <c r="A27" s="2204" t="s">
        <v>1948</v>
      </c>
      <c r="B27" s="116">
        <v>160</v>
      </c>
      <c r="C27" s="1750" t="s">
        <v>1949</v>
      </c>
      <c r="D27" s="2205"/>
      <c r="E27" s="1414"/>
      <c r="F27" s="1414"/>
      <c r="G27" s="2159"/>
      <c r="H27" s="2159"/>
      <c r="I27" s="2159"/>
      <c r="J27" s="2159"/>
      <c r="K27" s="168"/>
      <c r="L27" s="168"/>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206" customFormat="1" ht="27.75">
      <c r="A28" s="2207" t="s">
        <v>1950</v>
      </c>
      <c r="B28" s="119">
        <v>200</v>
      </c>
      <c r="C28" s="2208"/>
      <c r="D28" s="2205"/>
      <c r="E28" s="1414"/>
      <c r="F28" s="1414"/>
      <c r="G28" s="2159"/>
      <c r="H28" s="2159"/>
      <c r="I28" s="2159"/>
      <c r="J28" s="2159"/>
      <c r="K28" s="168"/>
      <c r="L28" s="168"/>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206" customFormat="1" ht="28.5" thickBot="1">
      <c r="A29" s="2209" t="s">
        <v>1951</v>
      </c>
      <c r="B29" s="121"/>
      <c r="C29" s="1750" t="s">
        <v>1952</v>
      </c>
      <c r="D29" s="2205"/>
      <c r="E29" s="1414"/>
      <c r="F29" s="1414"/>
      <c r="G29" s="2159"/>
      <c r="H29" s="2159"/>
      <c r="I29" s="2159"/>
      <c r="J29" s="2159"/>
      <c r="K29" s="168"/>
      <c r="L29" s="168"/>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206" customFormat="1" ht="27">
      <c r="A30" s="2210" t="s">
        <v>1953</v>
      </c>
      <c r="B30" s="723">
        <v>200</v>
      </c>
      <c r="C30" s="2208"/>
      <c r="D30" s="2205"/>
      <c r="E30" s="1414"/>
      <c r="F30" s="1414"/>
      <c r="G30" s="2159"/>
      <c r="H30" s="2159"/>
      <c r="I30" s="2159"/>
      <c r="J30" s="2159"/>
      <c r="K30" s="168"/>
      <c r="L30" s="168"/>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206" customFormat="1" ht="27">
      <c r="A31" s="2207" t="s">
        <v>1954</v>
      </c>
      <c r="B31" s="120">
        <f>B30-B32</f>
        <v>200</v>
      </c>
      <c r="C31" s="1750"/>
      <c r="D31" s="2205"/>
      <c r="E31" s="1414"/>
      <c r="F31" s="1414"/>
      <c r="G31" s="2159"/>
      <c r="H31" s="2159"/>
      <c r="I31" s="2159"/>
      <c r="J31" s="2159"/>
      <c r="K31" s="168"/>
      <c r="L31" s="168"/>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206" customFormat="1" ht="27.75" thickBot="1">
      <c r="A32" s="2211" t="s">
        <v>1955</v>
      </c>
      <c r="B32" s="724">
        <v>0</v>
      </c>
      <c r="C32" s="2208"/>
      <c r="D32" s="2160"/>
      <c r="E32" s="2159"/>
      <c r="F32" s="2159"/>
      <c r="G32" s="2159"/>
      <c r="H32" s="2159"/>
      <c r="I32" s="2159"/>
      <c r="J32" s="2159"/>
      <c r="K32" s="168"/>
      <c r="L32" s="168"/>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206" customFormat="1" ht="14.25">
      <c r="A33" s="2204" t="s">
        <v>1956</v>
      </c>
      <c r="B33" s="725">
        <v>0.05</v>
      </c>
      <c r="C33" s="1749" t="s">
        <v>1957</v>
      </c>
      <c r="D33" s="2160"/>
      <c r="E33" s="2159"/>
      <c r="F33" s="2159"/>
      <c r="G33" s="2159"/>
      <c r="H33" s="2159"/>
      <c r="I33" s="2159"/>
      <c r="J33" s="2159"/>
      <c r="K33" s="168"/>
      <c r="L33" s="168"/>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206" customFormat="1" ht="14.25">
      <c r="A34" s="2207" t="s">
        <v>1958</v>
      </c>
      <c r="B34" s="122">
        <v>0.1</v>
      </c>
      <c r="C34" s="1749" t="s">
        <v>1959</v>
      </c>
      <c r="D34" s="2160" t="s">
        <v>1960</v>
      </c>
      <c r="E34" s="731"/>
      <c r="F34" s="2159"/>
      <c r="G34" s="2159"/>
      <c r="H34" s="2159"/>
      <c r="I34" s="2159"/>
      <c r="J34" s="2159"/>
      <c r="K34" s="168"/>
      <c r="L34" s="168"/>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206" customFormat="1" ht="14.25">
      <c r="A35" s="2207" t="s">
        <v>1961</v>
      </c>
      <c r="B35" s="119">
        <v>200</v>
      </c>
      <c r="C35" s="1749" t="s">
        <v>1962</v>
      </c>
      <c r="D35" s="2205"/>
      <c r="E35" s="1414"/>
      <c r="F35" s="1414"/>
      <c r="G35" s="2159"/>
      <c r="H35" s="2159"/>
      <c r="I35" s="2159"/>
      <c r="J35" s="2159"/>
      <c r="K35" s="168"/>
      <c r="L35" s="168"/>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209" t="s">
        <v>1963</v>
      </c>
      <c r="B36" s="123">
        <v>1.4999999999999999E-2</v>
      </c>
      <c r="C36" s="1749" t="s">
        <v>1964</v>
      </c>
      <c r="D36" s="2160"/>
      <c r="E36" s="2159"/>
      <c r="F36" s="2159"/>
      <c r="G36" s="2159"/>
      <c r="H36" s="2159"/>
      <c r="I36" s="2159"/>
      <c r="J36" s="2159"/>
      <c r="K36" s="168"/>
      <c r="L36" s="168"/>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210" t="s">
        <v>1965</v>
      </c>
      <c r="B37" s="124">
        <v>0.03</v>
      </c>
      <c r="C37" s="1749" t="s">
        <v>1966</v>
      </c>
      <c r="D37" s="2160"/>
      <c r="E37" s="2159"/>
      <c r="F37" s="2159"/>
      <c r="G37" s="2159"/>
      <c r="H37" s="2159"/>
      <c r="I37" s="2159"/>
      <c r="J37" s="2159"/>
      <c r="K37" s="168"/>
      <c r="L37" s="168"/>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207" t="s">
        <v>1967</v>
      </c>
      <c r="B38" s="122">
        <v>0.03</v>
      </c>
      <c r="C38" s="1749" t="s">
        <v>1966</v>
      </c>
      <c r="D38" s="2160"/>
      <c r="E38" s="2159"/>
      <c r="F38" s="2159"/>
      <c r="G38" s="2159"/>
      <c r="H38" s="2159"/>
      <c r="I38" s="2159"/>
      <c r="J38" s="2159"/>
      <c r="K38" s="168"/>
      <c r="L38" s="168"/>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211" t="s">
        <v>1968</v>
      </c>
      <c r="B39" s="362">
        <f ca="1">存贷款利率!I1</f>
        <v>1.4999999999999999E-2</v>
      </c>
      <c r="C39" s="1749"/>
      <c r="D39" s="2160"/>
      <c r="E39" s="2159"/>
      <c r="F39" s="2159"/>
      <c r="G39" s="2159"/>
      <c r="H39" s="2159"/>
      <c r="I39" s="2159"/>
      <c r="J39" s="2159"/>
      <c r="K39" s="168"/>
      <c r="L39" s="168"/>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211" t="s">
        <v>1969</v>
      </c>
      <c r="B40" s="1287">
        <f ca="1">存贷款利率!G1</f>
        <v>4.7500000000000001E-2</v>
      </c>
      <c r="C40" s="1749" t="s">
        <v>1970</v>
      </c>
      <c r="D40" s="1567"/>
      <c r="E40" s="2160"/>
      <c r="F40" s="2159"/>
      <c r="G40" s="2159"/>
      <c r="H40" s="2159"/>
      <c r="I40" s="2159"/>
      <c r="J40" s="2159"/>
      <c r="K40" s="168"/>
      <c r="L40" s="168"/>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204" t="s">
        <v>1971</v>
      </c>
      <c r="B41" s="125">
        <f>B42+B43</f>
        <v>5.6000000000000001E-2</v>
      </c>
      <c r="C41" s="1750"/>
      <c r="D41" s="1567"/>
      <c r="E41" s="2160"/>
      <c r="F41" s="2159"/>
      <c r="G41" s="2159"/>
      <c r="H41" s="2159"/>
      <c r="I41" s="2159"/>
      <c r="J41" s="2159"/>
      <c r="K41" s="168"/>
      <c r="L41" s="168"/>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212" t="s">
        <v>1972</v>
      </c>
      <c r="B42" s="126">
        <v>0.05</v>
      </c>
      <c r="C42" s="2213">
        <f>IF(B2&lt;DATE(2016,5,1),0,B42)</f>
        <v>0.05</v>
      </c>
      <c r="D42" s="2160"/>
      <c r="E42" s="2159"/>
      <c r="F42" s="2159"/>
      <c r="G42" s="2159"/>
      <c r="H42" s="2159"/>
      <c r="I42" s="2159"/>
      <c r="J42" s="2159"/>
      <c r="K42" s="168"/>
      <c r="L42" s="168"/>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212" t="s">
        <v>1973</v>
      </c>
      <c r="B43" s="127">
        <f>B42*(B44+B45+B46)+B47</f>
        <v>6.000000000000001E-3</v>
      </c>
      <c r="C43" s="1750"/>
      <c r="D43" s="2160"/>
      <c r="E43" s="2159"/>
      <c r="F43" s="2159"/>
      <c r="G43" s="2159"/>
      <c r="H43" s="2159"/>
      <c r="I43" s="2159"/>
      <c r="J43" s="2159"/>
      <c r="K43" s="168"/>
      <c r="L43" s="168"/>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214" t="s">
        <v>1974</v>
      </c>
      <c r="B44" s="128">
        <v>7.0000000000000007E-2</v>
      </c>
      <c r="C44" s="1749" t="s">
        <v>1975</v>
      </c>
      <c r="D44" s="2160"/>
      <c r="E44" s="2159"/>
      <c r="F44" s="2159"/>
      <c r="G44" s="2159"/>
      <c r="H44" s="2159"/>
      <c r="I44" s="2159"/>
      <c r="J44" s="2159"/>
      <c r="K44" s="168"/>
      <c r="L44" s="168"/>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214" t="s">
        <v>1976</v>
      </c>
      <c r="B45" s="126">
        <v>0.03</v>
      </c>
      <c r="C45" s="1750" t="s">
        <v>1977</v>
      </c>
      <c r="D45" s="2160"/>
      <c r="E45" s="2159"/>
      <c r="F45" s="2159"/>
      <c r="G45" s="2159"/>
      <c r="H45" s="2159"/>
      <c r="I45" s="2159"/>
      <c r="J45" s="2159"/>
      <c r="K45" s="168"/>
      <c r="L45" s="168"/>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214" t="s">
        <v>1978</v>
      </c>
      <c r="B46" s="126">
        <v>0.02</v>
      </c>
      <c r="C46" s="1750" t="s">
        <v>1979</v>
      </c>
      <c r="D46" s="2160"/>
      <c r="E46" s="2159"/>
      <c r="F46" s="2159"/>
      <c r="G46" s="2159"/>
      <c r="H46" s="2159"/>
      <c r="I46" s="2159"/>
      <c r="J46" s="2159"/>
      <c r="K46" s="168"/>
      <c r="L46" s="168"/>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215" t="s">
        <v>1980</v>
      </c>
      <c r="B47" s="129"/>
      <c r="C47" s="1750" t="s">
        <v>1981</v>
      </c>
      <c r="D47" s="2160"/>
      <c r="E47" s="2159"/>
      <c r="F47" s="2159"/>
      <c r="G47" s="2159"/>
      <c r="H47" s="2159"/>
      <c r="I47" s="2159"/>
      <c r="J47" s="2159"/>
      <c r="K47" s="168"/>
      <c r="L47" s="168"/>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216" t="s">
        <v>1982</v>
      </c>
      <c r="B48" s="130">
        <v>0.03</v>
      </c>
      <c r="C48" s="1757" t="s">
        <v>1983</v>
      </c>
      <c r="D48" s="2160"/>
      <c r="E48" s="2159"/>
      <c r="F48" s="2159"/>
      <c r="G48" s="2159"/>
      <c r="H48" s="2159"/>
      <c r="I48" s="2159"/>
      <c r="J48" s="2159"/>
      <c r="K48" s="168"/>
      <c r="L48" s="168"/>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211" t="s">
        <v>1984</v>
      </c>
      <c r="B49" s="126">
        <v>5.0000000000000001E-4</v>
      </c>
      <c r="C49" s="1757" t="s">
        <v>1985</v>
      </c>
      <c r="D49" s="2160"/>
      <c r="E49" s="2159"/>
      <c r="F49" s="2159"/>
      <c r="G49" s="2159"/>
      <c r="H49" s="2159"/>
      <c r="I49" s="2159"/>
      <c r="J49" s="2159"/>
      <c r="K49" s="168"/>
      <c r="L49" s="168"/>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217" t="s">
        <v>1986</v>
      </c>
      <c r="B50" s="131">
        <v>1.2E-2</v>
      </c>
      <c r="C50" s="1414"/>
      <c r="D50" s="2160"/>
      <c r="E50" s="2159"/>
      <c r="F50" s="2159"/>
      <c r="G50" s="2159"/>
      <c r="H50" s="2159"/>
      <c r="I50" s="2159"/>
      <c r="J50" s="2159"/>
      <c r="K50" s="168"/>
      <c r="L50" s="168"/>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209" t="s">
        <v>1987</v>
      </c>
      <c r="B51" s="132">
        <v>0.12</v>
      </c>
      <c r="C51" s="1414"/>
      <c r="D51" s="2160"/>
      <c r="E51" s="2159"/>
      <c r="F51" s="2159"/>
      <c r="G51" s="2159"/>
      <c r="H51" s="2159"/>
      <c r="I51" s="2159"/>
      <c r="J51" s="2159"/>
      <c r="K51" s="168"/>
      <c r="L51" s="168"/>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217" t="s">
        <v>1988</v>
      </c>
      <c r="B52" s="133">
        <f>SUMIF(A54:A63,B53,B54:B63)</f>
        <v>12</v>
      </c>
      <c r="C52" s="1414"/>
      <c r="D52" s="2160"/>
      <c r="E52" s="2159"/>
      <c r="F52" s="2159"/>
      <c r="G52" s="2159"/>
      <c r="H52" s="2159"/>
      <c r="I52" s="2159"/>
      <c r="J52" s="2159"/>
      <c r="K52" s="168"/>
      <c r="L52" s="168"/>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207" t="s">
        <v>1989</v>
      </c>
      <c r="B53" s="2218" t="s">
        <v>137</v>
      </c>
      <c r="C53" s="1414" t="s">
        <v>1990</v>
      </c>
      <c r="D53" s="2219" t="s">
        <v>1991</v>
      </c>
      <c r="E53" s="2159"/>
      <c r="F53" s="2159"/>
      <c r="G53" s="2159"/>
      <c r="H53" s="2159"/>
      <c r="I53" s="2159"/>
      <c r="J53" s="2159"/>
      <c r="K53" s="168"/>
      <c r="L53" s="168"/>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220" t="s">
        <v>1992</v>
      </c>
      <c r="B54" s="84">
        <v>30</v>
      </c>
      <c r="C54" s="1414">
        <v>30</v>
      </c>
      <c r="D54" s="2160"/>
      <c r="E54" s="2159"/>
      <c r="F54" s="2159"/>
      <c r="G54" s="2159"/>
      <c r="H54" s="2159"/>
      <c r="I54" s="2159"/>
      <c r="J54" s="2159"/>
      <c r="K54" s="168"/>
      <c r="L54" s="168"/>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220" t="s">
        <v>1993</v>
      </c>
      <c r="B55" s="84">
        <v>24</v>
      </c>
      <c r="C55" s="1414">
        <v>24</v>
      </c>
      <c r="D55" s="2160"/>
      <c r="E55" s="2159"/>
      <c r="F55" s="2159"/>
      <c r="G55" s="2159"/>
      <c r="H55" s="2159"/>
      <c r="I55" s="2221"/>
      <c r="J55" s="2159"/>
      <c r="K55" s="168"/>
      <c r="L55" s="168"/>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220" t="s">
        <v>1994</v>
      </c>
      <c r="B56" s="84">
        <v>18</v>
      </c>
      <c r="C56" s="1414">
        <v>18</v>
      </c>
      <c r="D56" s="2160"/>
      <c r="E56" s="2159"/>
      <c r="F56" s="2159"/>
      <c r="G56" s="2159"/>
      <c r="H56" s="2159"/>
      <c r="I56" s="2159"/>
      <c r="J56" s="2159"/>
      <c r="K56" s="168"/>
      <c r="L56" s="168"/>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220" t="s">
        <v>1995</v>
      </c>
      <c r="B57" s="84">
        <v>12</v>
      </c>
      <c r="C57" s="1414">
        <v>12</v>
      </c>
      <c r="D57" s="2160"/>
      <c r="E57" s="2159"/>
      <c r="F57" s="2159"/>
      <c r="G57" s="2159"/>
      <c r="H57" s="2159"/>
      <c r="I57" s="2159"/>
      <c r="J57" s="2159"/>
      <c r="K57" s="168"/>
      <c r="L57" s="168"/>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220" t="s">
        <v>1996</v>
      </c>
      <c r="B58" s="84">
        <v>3</v>
      </c>
      <c r="C58" s="1414">
        <v>3</v>
      </c>
      <c r="D58" s="2160"/>
      <c r="E58" s="2159"/>
      <c r="F58" s="2159"/>
      <c r="G58" s="2159"/>
      <c r="H58" s="2159"/>
      <c r="I58" s="2159"/>
      <c r="J58" s="2159"/>
      <c r="K58" s="168"/>
      <c r="L58" s="168"/>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220" t="s">
        <v>1997</v>
      </c>
      <c r="B59" s="84">
        <v>1.5</v>
      </c>
      <c r="C59" s="1414">
        <v>1.5</v>
      </c>
      <c r="D59" s="2160"/>
      <c r="E59" s="2159"/>
      <c r="F59" s="2159"/>
      <c r="G59" s="2159"/>
      <c r="H59" s="2159"/>
      <c r="I59" s="2159"/>
      <c r="J59" s="2159"/>
      <c r="K59" s="168"/>
      <c r="L59" s="168"/>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220" t="s">
        <v>1998</v>
      </c>
      <c r="B60" s="84"/>
      <c r="C60" s="2159"/>
      <c r="D60" s="2160"/>
      <c r="E60" s="2159"/>
      <c r="F60" s="2159"/>
      <c r="G60" s="2159"/>
      <c r="H60" s="2159"/>
      <c r="I60" s="2159"/>
      <c r="J60" s="2159"/>
      <c r="K60" s="168"/>
      <c r="L60" s="168"/>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220" t="s">
        <v>1999</v>
      </c>
      <c r="B61" s="84"/>
      <c r="C61" s="2159"/>
      <c r="D61" s="2160"/>
      <c r="E61" s="2159"/>
      <c r="F61" s="2159"/>
      <c r="G61" s="2159"/>
      <c r="H61" s="2159"/>
      <c r="I61" s="2159"/>
      <c r="J61" s="2159"/>
      <c r="K61" s="168"/>
      <c r="L61" s="168"/>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220" t="s">
        <v>2000</v>
      </c>
      <c r="B62" s="84"/>
      <c r="C62" s="2159"/>
      <c r="D62" s="2160"/>
      <c r="E62" s="2159"/>
      <c r="F62" s="2159"/>
      <c r="G62" s="2159"/>
      <c r="H62" s="2159"/>
      <c r="I62" s="2159"/>
      <c r="J62" s="2159"/>
      <c r="K62" s="168"/>
      <c r="L62" s="168"/>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222" t="s">
        <v>2001</v>
      </c>
      <c r="B63" s="134"/>
      <c r="C63" s="2159"/>
      <c r="D63" s="2160"/>
      <c r="E63" s="2159"/>
      <c r="F63" s="2159"/>
      <c r="G63" s="2159"/>
      <c r="H63" s="2159"/>
      <c r="I63" s="2159"/>
      <c r="J63" s="2159"/>
      <c r="K63" s="168"/>
      <c r="L63" s="168"/>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65" customFormat="1">
      <c r="A64" s="2223"/>
      <c r="D64" s="2224"/>
      <c r="K64" s="797"/>
      <c r="L64" s="797"/>
    </row>
    <row r="65" spans="1:12" s="965" customFormat="1">
      <c r="A65" s="2223"/>
      <c r="D65" s="2224"/>
      <c r="K65" s="797"/>
      <c r="L65" s="797"/>
    </row>
    <row r="66" spans="1:12" s="965" customFormat="1">
      <c r="A66" s="2223"/>
      <c r="D66" s="2224"/>
      <c r="K66" s="797"/>
      <c r="L66" s="797"/>
    </row>
    <row r="67" spans="1:12" s="965" customFormat="1">
      <c r="A67" s="2223"/>
      <c r="D67" s="2224"/>
      <c r="K67" s="797"/>
      <c r="L67" s="797"/>
    </row>
    <row r="68" spans="1:12" s="965" customFormat="1">
      <c r="A68" s="2223"/>
      <c r="D68" s="2224"/>
      <c r="K68" s="797"/>
      <c r="L68" s="797"/>
    </row>
    <row r="69" spans="1:12" s="965" customFormat="1">
      <c r="A69" s="2223"/>
      <c r="D69" s="2224"/>
      <c r="K69" s="797"/>
      <c r="L69" s="797"/>
    </row>
    <row r="70" spans="1:12" s="965" customFormat="1">
      <c r="A70" s="2223"/>
      <c r="D70" s="2224"/>
      <c r="K70" s="797"/>
      <c r="L70" s="797"/>
    </row>
    <row r="71" spans="1:12" s="965" customFormat="1">
      <c r="A71" s="2223"/>
      <c r="D71" s="2224"/>
      <c r="K71" s="797"/>
      <c r="L71" s="797"/>
    </row>
    <row r="72" spans="1:12" s="965" customFormat="1">
      <c r="A72" s="2223"/>
      <c r="D72" s="2224"/>
      <c r="K72" s="797"/>
      <c r="L72" s="797"/>
    </row>
    <row r="73" spans="1:12" s="965" customFormat="1">
      <c r="A73" s="2223"/>
      <c r="D73" s="2224"/>
      <c r="K73" s="797"/>
      <c r="L73" s="797"/>
    </row>
    <row r="74" spans="1:12" s="965" customFormat="1">
      <c r="A74" s="2223"/>
      <c r="D74" s="2224"/>
      <c r="K74" s="797"/>
      <c r="L74" s="797"/>
    </row>
    <row r="75" spans="1:12" s="965" customFormat="1">
      <c r="A75" s="2223"/>
      <c r="D75" s="2224"/>
      <c r="K75" s="797"/>
      <c r="L75" s="797"/>
    </row>
    <row r="76" spans="1:12" s="965" customFormat="1">
      <c r="A76" s="2223"/>
      <c r="D76" s="2224"/>
      <c r="K76" s="797"/>
      <c r="L76" s="797"/>
    </row>
    <row r="77" spans="1:12" s="965" customFormat="1">
      <c r="A77" s="2223"/>
      <c r="D77" s="2224"/>
      <c r="K77" s="797"/>
      <c r="L77" s="797"/>
    </row>
    <row r="78" spans="1:12" s="965" customFormat="1">
      <c r="A78" s="2223"/>
      <c r="D78" s="2224"/>
      <c r="K78" s="797"/>
      <c r="L78" s="797"/>
    </row>
    <row r="79" spans="1:12" s="965" customFormat="1">
      <c r="A79" s="2223"/>
      <c r="D79" s="2224"/>
      <c r="K79" s="797"/>
      <c r="L79" s="797"/>
    </row>
    <row r="80" spans="1:12" s="965" customFormat="1">
      <c r="A80" s="2223"/>
      <c r="D80" s="2224"/>
      <c r="K80" s="797"/>
      <c r="L80" s="797"/>
    </row>
    <row r="81" spans="1:12" s="965" customFormat="1">
      <c r="A81" s="2223"/>
      <c r="D81" s="2224"/>
      <c r="K81" s="797"/>
      <c r="L81" s="797"/>
    </row>
    <row r="82" spans="1:12" s="965" customFormat="1">
      <c r="A82" s="2223"/>
      <c r="D82" s="2224"/>
      <c r="K82" s="797"/>
      <c r="L82" s="797"/>
    </row>
    <row r="83" spans="1:12" s="965" customFormat="1">
      <c r="A83" s="2223"/>
      <c r="D83" s="2224"/>
      <c r="K83" s="797"/>
      <c r="L83" s="797"/>
    </row>
    <row r="84" spans="1:12" s="965" customFormat="1">
      <c r="A84" s="2223"/>
      <c r="D84" s="2224"/>
      <c r="K84" s="797"/>
      <c r="L84" s="797"/>
    </row>
    <row r="85" spans="1:12" s="965" customFormat="1">
      <c r="A85" s="2223"/>
      <c r="D85" s="2224"/>
      <c r="K85" s="797"/>
      <c r="L85" s="797"/>
    </row>
    <row r="86" spans="1:12" s="965" customFormat="1">
      <c r="A86" s="2223"/>
      <c r="D86" s="2224"/>
      <c r="K86" s="797"/>
      <c r="L86" s="797"/>
    </row>
    <row r="87" spans="1:12" s="965" customFormat="1">
      <c r="A87" s="2223"/>
      <c r="D87" s="2224"/>
      <c r="K87" s="797"/>
      <c r="L87" s="797"/>
    </row>
    <row r="88" spans="1:12" s="965" customFormat="1">
      <c r="A88" s="2223"/>
      <c r="D88" s="2224"/>
      <c r="K88" s="797"/>
      <c r="L88" s="797"/>
    </row>
    <row r="89" spans="1:12" s="965" customFormat="1">
      <c r="A89" s="2223"/>
      <c r="D89" s="2224"/>
      <c r="K89" s="797"/>
      <c r="L89" s="797"/>
    </row>
    <row r="90" spans="1:12" s="965" customFormat="1">
      <c r="A90" s="2223"/>
      <c r="D90" s="2224"/>
      <c r="K90" s="797"/>
      <c r="L90" s="797"/>
    </row>
    <row r="91" spans="1:12" s="965" customFormat="1">
      <c r="A91" s="2223"/>
      <c r="D91" s="2224"/>
      <c r="K91" s="797"/>
      <c r="L91" s="797"/>
    </row>
    <row r="92" spans="1:12" s="965" customFormat="1">
      <c r="A92" s="2223"/>
      <c r="D92" s="2224"/>
      <c r="K92" s="797"/>
      <c r="L92" s="797"/>
    </row>
    <row r="93" spans="1:12" s="965" customFormat="1">
      <c r="A93" s="2223"/>
      <c r="D93" s="2224"/>
      <c r="K93" s="797"/>
      <c r="L93" s="797"/>
    </row>
    <row r="94" spans="1:12" s="965" customFormat="1">
      <c r="A94" s="2223"/>
      <c r="D94" s="2224"/>
      <c r="K94" s="797"/>
      <c r="L94" s="797"/>
    </row>
    <row r="95" spans="1:12" s="965" customFormat="1">
      <c r="A95" s="2223"/>
      <c r="D95" s="2224"/>
      <c r="K95" s="797"/>
      <c r="L95" s="797"/>
    </row>
    <row r="96" spans="1:12" s="965" customFormat="1">
      <c r="A96" s="2223"/>
      <c r="D96" s="2224"/>
      <c r="K96" s="797"/>
      <c r="L96" s="797"/>
    </row>
    <row r="97" spans="1:12" s="965" customFormat="1">
      <c r="A97" s="2223"/>
      <c r="D97" s="2224"/>
      <c r="K97" s="797"/>
      <c r="L97" s="797"/>
    </row>
    <row r="98" spans="1:12" s="965" customFormat="1">
      <c r="A98" s="2223"/>
      <c r="D98" s="2224"/>
      <c r="K98" s="797"/>
      <c r="L98" s="797"/>
    </row>
    <row r="99" spans="1:12" s="965" customFormat="1">
      <c r="A99" s="2223"/>
      <c r="D99" s="2224"/>
      <c r="K99" s="797"/>
      <c r="L99" s="797"/>
    </row>
    <row r="100" spans="1:12" s="965" customFormat="1">
      <c r="A100" s="2223"/>
      <c r="D100" s="2224"/>
      <c r="K100" s="797"/>
      <c r="L100" s="797"/>
    </row>
    <row r="101" spans="1:12" s="965" customFormat="1">
      <c r="A101" s="2223"/>
      <c r="D101" s="2224"/>
      <c r="K101" s="797"/>
      <c r="L101" s="797"/>
    </row>
    <row r="102" spans="1:12" s="965" customFormat="1">
      <c r="A102" s="2223"/>
      <c r="D102" s="2224"/>
      <c r="K102" s="797"/>
      <c r="L102" s="797"/>
    </row>
    <row r="103" spans="1:12" s="965" customFormat="1">
      <c r="A103" s="2223"/>
      <c r="D103" s="2224"/>
      <c r="K103" s="797"/>
      <c r="L103" s="797"/>
    </row>
    <row r="104" spans="1:12" s="965" customFormat="1">
      <c r="A104" s="2223"/>
      <c r="D104" s="2224"/>
      <c r="K104" s="797"/>
      <c r="L104" s="797"/>
    </row>
    <row r="105" spans="1:12" s="965" customFormat="1">
      <c r="A105" s="2223"/>
      <c r="D105" s="2224"/>
      <c r="K105" s="797"/>
      <c r="L105" s="797"/>
    </row>
    <row r="106" spans="1:12" s="965" customFormat="1">
      <c r="A106" s="2223"/>
      <c r="D106" s="2224"/>
      <c r="K106" s="797"/>
      <c r="L106" s="797"/>
    </row>
    <row r="107" spans="1:12" s="965" customFormat="1">
      <c r="A107" s="2223"/>
      <c r="D107" s="2224"/>
      <c r="K107" s="797"/>
      <c r="L107" s="797"/>
    </row>
    <row r="108" spans="1:12" s="965" customFormat="1">
      <c r="A108" s="2223"/>
      <c r="D108" s="2224"/>
      <c r="K108" s="797"/>
      <c r="L108" s="797"/>
    </row>
    <row r="109" spans="1:12" s="965" customFormat="1">
      <c r="A109" s="2223"/>
      <c r="D109" s="2224"/>
      <c r="K109" s="797"/>
      <c r="L109" s="797"/>
    </row>
    <row r="110" spans="1:12" s="965" customFormat="1">
      <c r="A110" s="2223"/>
      <c r="D110" s="2224"/>
      <c r="K110" s="797"/>
      <c r="L110" s="797"/>
    </row>
    <row r="111" spans="1:12" s="965" customFormat="1">
      <c r="A111" s="2223"/>
      <c r="D111" s="2224"/>
      <c r="K111" s="797"/>
      <c r="L111" s="797"/>
    </row>
    <row r="112" spans="1:12" s="965" customFormat="1">
      <c r="A112" s="2223"/>
      <c r="D112" s="2224"/>
      <c r="K112" s="797"/>
      <c r="L112" s="797"/>
    </row>
    <row r="113" spans="1:12" s="965" customFormat="1">
      <c r="A113" s="2223"/>
      <c r="D113" s="2224"/>
      <c r="K113" s="797"/>
      <c r="L113" s="797"/>
    </row>
    <row r="114" spans="1:12" s="965" customFormat="1">
      <c r="A114" s="2223"/>
      <c r="D114" s="2224"/>
      <c r="K114" s="797"/>
      <c r="L114" s="797"/>
    </row>
    <row r="115" spans="1:12" s="965" customFormat="1">
      <c r="A115" s="2223"/>
      <c r="D115" s="2224"/>
      <c r="K115" s="797"/>
      <c r="L115" s="797"/>
    </row>
    <row r="116" spans="1:12" s="965" customFormat="1">
      <c r="A116" s="2223"/>
      <c r="D116" s="2224"/>
      <c r="K116" s="797"/>
      <c r="L116" s="797"/>
    </row>
    <row r="117" spans="1:12" s="965" customFormat="1">
      <c r="A117" s="2223"/>
      <c r="D117" s="2224"/>
      <c r="K117" s="797"/>
      <c r="L117" s="797"/>
    </row>
    <row r="118" spans="1:12" s="965" customFormat="1">
      <c r="A118" s="2223"/>
      <c r="D118" s="2224"/>
      <c r="K118" s="797"/>
      <c r="L118" s="797"/>
    </row>
    <row r="119" spans="1:12" s="965" customFormat="1">
      <c r="A119" s="2223"/>
      <c r="D119" s="2224"/>
      <c r="K119" s="797"/>
      <c r="L119" s="797"/>
    </row>
    <row r="120" spans="1:12" s="965" customFormat="1">
      <c r="A120" s="2223"/>
      <c r="D120" s="2224"/>
      <c r="K120" s="797"/>
      <c r="L120" s="797"/>
    </row>
    <row r="121" spans="1:12" s="965" customFormat="1">
      <c r="A121" s="2223"/>
      <c r="D121" s="2224"/>
      <c r="K121" s="797"/>
      <c r="L121" s="797"/>
    </row>
    <row r="122" spans="1:12" s="965" customFormat="1">
      <c r="A122" s="2223"/>
      <c r="D122" s="2224"/>
      <c r="K122" s="797"/>
      <c r="L122" s="797"/>
    </row>
    <row r="123" spans="1:12" s="965" customFormat="1">
      <c r="A123" s="2223"/>
      <c r="D123" s="2224"/>
      <c r="K123" s="797"/>
      <c r="L123" s="797"/>
    </row>
    <row r="124" spans="1:12" s="965" customFormat="1">
      <c r="A124" s="2223"/>
      <c r="D124" s="2224"/>
      <c r="K124" s="797"/>
      <c r="L124" s="797"/>
    </row>
    <row r="125" spans="1:12" s="965" customFormat="1">
      <c r="A125" s="2223"/>
      <c r="D125" s="2224"/>
      <c r="K125" s="797"/>
      <c r="L125" s="797"/>
    </row>
    <row r="126" spans="1:12" s="965" customFormat="1">
      <c r="A126" s="2223"/>
      <c r="D126" s="2224"/>
      <c r="K126" s="797"/>
      <c r="L126" s="797"/>
    </row>
    <row r="127" spans="1:12" s="965" customFormat="1">
      <c r="A127" s="2223"/>
      <c r="D127" s="2224"/>
      <c r="K127" s="797"/>
      <c r="L127" s="797"/>
    </row>
    <row r="128" spans="1:12" s="965" customFormat="1">
      <c r="A128" s="2223"/>
      <c r="D128" s="2224"/>
      <c r="K128" s="797"/>
      <c r="L128" s="797"/>
    </row>
    <row r="129" spans="1:12" s="965" customFormat="1">
      <c r="A129" s="2223"/>
      <c r="D129" s="2224"/>
      <c r="K129" s="797"/>
      <c r="L129" s="797"/>
    </row>
    <row r="130" spans="1:12" s="965" customFormat="1">
      <c r="A130" s="2223"/>
      <c r="D130" s="2224"/>
      <c r="K130" s="797"/>
      <c r="L130" s="797"/>
    </row>
    <row r="131" spans="1:12" s="965" customFormat="1">
      <c r="A131" s="2223"/>
      <c r="D131" s="2224"/>
      <c r="K131" s="797"/>
      <c r="L131" s="797"/>
    </row>
    <row r="132" spans="1:12" s="965" customFormat="1">
      <c r="A132" s="2223"/>
      <c r="D132" s="2224"/>
      <c r="K132" s="797"/>
      <c r="L132" s="797"/>
    </row>
    <row r="133" spans="1:12" s="965" customFormat="1">
      <c r="A133" s="2223"/>
      <c r="D133" s="2224"/>
      <c r="K133" s="797"/>
      <c r="L133" s="797"/>
    </row>
    <row r="134" spans="1:12" s="2156" customFormat="1">
      <c r="A134" s="2225"/>
      <c r="D134" s="2226"/>
      <c r="K134" s="27"/>
      <c r="L134" s="27"/>
    </row>
    <row r="135" spans="1:12" s="2156" customFormat="1">
      <c r="A135" s="2225"/>
      <c r="D135" s="2226"/>
      <c r="K135" s="27"/>
      <c r="L135" s="27"/>
    </row>
    <row r="136" spans="1:12" s="2156" customFormat="1">
      <c r="A136" s="2225"/>
      <c r="D136" s="2226"/>
      <c r="K136" s="27"/>
      <c r="L136" s="27"/>
    </row>
    <row r="137" spans="1:12" s="2156" customFormat="1">
      <c r="A137" s="2225"/>
      <c r="D137" s="2226"/>
      <c r="K137" s="27"/>
      <c r="L137" s="27"/>
    </row>
    <row r="138" spans="1:12" s="2156" customFormat="1">
      <c r="A138" s="2225"/>
      <c r="D138" s="2226"/>
      <c r="K138" s="27"/>
      <c r="L138" s="27"/>
    </row>
    <row r="139" spans="1:12" s="2156" customFormat="1">
      <c r="A139" s="2225"/>
      <c r="D139" s="2226"/>
      <c r="K139" s="27"/>
      <c r="L139" s="27"/>
    </row>
    <row r="140" spans="1:12" s="2156" customFormat="1">
      <c r="A140" s="2225"/>
      <c r="D140" s="2226"/>
      <c r="K140" s="27"/>
      <c r="L140" s="27"/>
    </row>
    <row r="141" spans="1:12" s="2156" customFormat="1">
      <c r="A141" s="2225"/>
      <c r="D141" s="2226"/>
      <c r="K141" s="27"/>
      <c r="L141" s="27"/>
    </row>
    <row r="142" spans="1:12" s="2156" customFormat="1">
      <c r="A142" s="2225"/>
      <c r="D142" s="2226"/>
      <c r="K142" s="27"/>
      <c r="L142" s="27"/>
    </row>
    <row r="143" spans="1:12" s="2156" customFormat="1">
      <c r="A143" s="2225"/>
      <c r="D143" s="2226"/>
      <c r="K143" s="27"/>
      <c r="L143" s="27"/>
    </row>
    <row r="144" spans="1:12" s="2156" customFormat="1">
      <c r="A144" s="2225"/>
      <c r="D144" s="2226"/>
      <c r="K144" s="27"/>
      <c r="L144" s="27"/>
    </row>
    <row r="145" spans="1:12" s="2156" customFormat="1">
      <c r="A145" s="2225"/>
      <c r="D145" s="2226"/>
      <c r="K145" s="27"/>
      <c r="L145" s="27"/>
    </row>
    <row r="146" spans="1:12" s="2156" customFormat="1">
      <c r="A146" s="2225"/>
      <c r="D146" s="2226"/>
      <c r="K146" s="27"/>
      <c r="L146" s="27"/>
    </row>
    <row r="147" spans="1:12" s="2156" customFormat="1">
      <c r="A147" s="2225"/>
      <c r="D147" s="2226"/>
      <c r="K147" s="27"/>
      <c r="L147" s="27"/>
    </row>
    <row r="148" spans="1:12" s="2156" customFormat="1">
      <c r="A148" s="2225"/>
      <c r="D148" s="2226"/>
      <c r="K148" s="27"/>
      <c r="L148" s="27"/>
    </row>
    <row r="149" spans="1:12" s="2156" customFormat="1">
      <c r="A149" s="2225"/>
      <c r="D149" s="2226"/>
      <c r="K149" s="27"/>
      <c r="L149" s="27"/>
    </row>
    <row r="150" spans="1:12" s="2156" customFormat="1">
      <c r="A150" s="2225"/>
      <c r="D150" s="2226"/>
      <c r="K150" s="27"/>
      <c r="L150" s="27"/>
    </row>
    <row r="151" spans="1:12" s="2156" customFormat="1">
      <c r="A151" s="2225"/>
      <c r="D151" s="2226"/>
      <c r="K151" s="27"/>
      <c r="L151" s="27"/>
    </row>
    <row r="152" spans="1:12" s="2156" customFormat="1">
      <c r="A152" s="2225"/>
      <c r="D152" s="2226"/>
      <c r="K152" s="27"/>
      <c r="L152" s="27"/>
    </row>
    <row r="153" spans="1:12" s="2156" customFormat="1">
      <c r="A153" s="2225"/>
      <c r="D153" s="2226"/>
      <c r="K153" s="27"/>
      <c r="L153" s="27"/>
    </row>
    <row r="154" spans="1:12" s="2156" customFormat="1">
      <c r="A154" s="2225"/>
      <c r="D154" s="2226"/>
      <c r="K154" s="27"/>
      <c r="L154" s="27"/>
    </row>
    <row r="155" spans="1:12" s="2156" customFormat="1">
      <c r="A155" s="2225"/>
      <c r="D155" s="2226"/>
      <c r="K155" s="27"/>
      <c r="L155" s="27"/>
    </row>
    <row r="156" spans="1:12" s="2156" customFormat="1">
      <c r="A156" s="2225"/>
      <c r="D156" s="2226"/>
      <c r="K156" s="27"/>
      <c r="L156" s="27"/>
    </row>
    <row r="157" spans="1:12" s="2156" customFormat="1">
      <c r="A157" s="2225"/>
      <c r="D157" s="2226"/>
      <c r="K157" s="27"/>
      <c r="L157" s="27"/>
    </row>
    <row r="158" spans="1:12" s="2156" customFormat="1">
      <c r="A158" s="2225"/>
      <c r="D158" s="2226"/>
      <c r="K158" s="27"/>
      <c r="L158" s="27"/>
    </row>
    <row r="159" spans="1:12" s="2156" customFormat="1">
      <c r="A159" s="2225"/>
      <c r="D159" s="2226"/>
      <c r="K159" s="27"/>
      <c r="L159" s="27"/>
    </row>
    <row r="160" spans="1:12" s="2156" customFormat="1">
      <c r="A160" s="2225"/>
      <c r="D160" s="2226"/>
      <c r="K160" s="27"/>
      <c r="L160" s="27"/>
    </row>
    <row r="161" spans="1:12" s="2156" customFormat="1">
      <c r="A161" s="2225"/>
      <c r="D161" s="2226"/>
      <c r="K161" s="27"/>
      <c r="L161" s="27"/>
    </row>
    <row r="162" spans="1:12" s="2156" customFormat="1">
      <c r="A162" s="2225"/>
      <c r="D162" s="2226"/>
      <c r="K162" s="27"/>
      <c r="L162" s="27"/>
    </row>
    <row r="163" spans="1:12" s="2156" customFormat="1">
      <c r="A163" s="2225"/>
      <c r="D163" s="2226"/>
      <c r="K163" s="27"/>
      <c r="L163" s="27"/>
    </row>
    <row r="164" spans="1:12" s="2156" customFormat="1">
      <c r="A164" s="2225"/>
      <c r="D164" s="2226"/>
      <c r="K164" s="27"/>
      <c r="L164" s="27"/>
    </row>
    <row r="165" spans="1:12" s="2156" customFormat="1">
      <c r="A165" s="2225"/>
      <c r="D165" s="2226"/>
      <c r="K165" s="27"/>
      <c r="L165" s="27"/>
    </row>
    <row r="166" spans="1:12" s="2156" customFormat="1">
      <c r="A166" s="2225"/>
      <c r="D166" s="2226"/>
      <c r="K166" s="27"/>
      <c r="L166" s="27"/>
    </row>
    <row r="167" spans="1:12" s="2156" customFormat="1">
      <c r="A167" s="2225"/>
      <c r="D167" s="2226"/>
      <c r="K167" s="27"/>
      <c r="L167" s="27"/>
    </row>
    <row r="168" spans="1:12" s="2156" customFormat="1">
      <c r="A168" s="2225"/>
      <c r="D168" s="2226"/>
      <c r="K168" s="27"/>
      <c r="L168" s="27"/>
    </row>
    <row r="169" spans="1:12" s="2156" customFormat="1">
      <c r="A169" s="2225"/>
      <c r="D169" s="2226"/>
      <c r="K169" s="27"/>
      <c r="L169" s="27"/>
    </row>
    <row r="170" spans="1:12" s="2156" customFormat="1">
      <c r="A170" s="2225"/>
      <c r="D170" s="2226"/>
      <c r="K170" s="27"/>
      <c r="L170" s="27"/>
    </row>
    <row r="171" spans="1:12" s="2156" customFormat="1">
      <c r="A171" s="2225"/>
      <c r="D171" s="2226"/>
      <c r="K171" s="27"/>
      <c r="L171" s="27"/>
    </row>
    <row r="172" spans="1:12" s="2156" customFormat="1">
      <c r="A172" s="2225"/>
      <c r="D172" s="2226"/>
      <c r="K172" s="27"/>
      <c r="L172" s="27"/>
    </row>
    <row r="173" spans="1:12" s="2156" customFormat="1">
      <c r="A173" s="2225"/>
      <c r="D173" s="2226"/>
      <c r="K173" s="27"/>
      <c r="L173" s="27"/>
    </row>
    <row r="174" spans="1:12" s="2156" customFormat="1">
      <c r="A174" s="2225"/>
      <c r="D174" s="222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4" sqref="I14"/>
    </sheetView>
  </sheetViews>
  <sheetFormatPr defaultRowHeight="14.25"/>
  <cols>
    <col min="1" max="1" width="9.5" style="2251" customWidth="1"/>
    <col min="2" max="2" width="24.5" style="2299" customWidth="1"/>
    <col min="3" max="3" width="24.5" style="2298" customWidth="1"/>
    <col min="4" max="4" width="2.625" style="2298" customWidth="1"/>
    <col min="5" max="5" width="5.875" style="2298" customWidth="1"/>
    <col min="6" max="6" width="27" style="2299" customWidth="1"/>
    <col min="7" max="7" width="27" style="2300" customWidth="1"/>
    <col min="8" max="8" width="11.875" style="2278" customWidth="1"/>
    <col min="9" max="9" width="16.75" style="2279" customWidth="1"/>
    <col min="10" max="10" width="2.625" style="2278" customWidth="1"/>
    <col min="11" max="11" width="11.875" style="2278" customWidth="1"/>
    <col min="12" max="12" width="16.75" style="2279" customWidth="1"/>
    <col min="13" max="13" width="2.625" style="2278" customWidth="1"/>
    <col min="14" max="14" width="11.875" style="2278" customWidth="1"/>
    <col min="15" max="15" width="16.75" style="2279" customWidth="1"/>
    <col min="16" max="16" width="2.625" style="2278" customWidth="1"/>
    <col min="17" max="17" width="11.875" style="2278" customWidth="1"/>
    <col min="18" max="18" width="16.75" style="2280" customWidth="1"/>
    <col min="19" max="29" width="9" style="2250"/>
    <col min="30" max="16384" width="9" style="2251"/>
  </cols>
  <sheetData>
    <row r="1" spans="1:29" s="2244" customFormat="1" ht="19.5" thickBot="1">
      <c r="A1" s="3139" t="s">
        <v>2002</v>
      </c>
      <c r="B1" s="3140"/>
      <c r="C1" s="3140"/>
      <c r="D1" s="3140"/>
      <c r="E1" s="3140"/>
      <c r="F1" s="3140"/>
      <c r="G1" s="3140"/>
      <c r="H1" s="2239"/>
      <c r="I1" s="2240"/>
      <c r="J1" s="2239"/>
      <c r="K1" s="2239"/>
      <c r="L1" s="2240"/>
      <c r="M1" s="2239"/>
      <c r="N1" s="2239"/>
      <c r="O1" s="2240"/>
      <c r="P1" s="2239"/>
      <c r="Q1" s="2241"/>
      <c r="R1" s="2242"/>
      <c r="S1" s="2243"/>
      <c r="T1" s="2243"/>
      <c r="U1" s="2243"/>
      <c r="V1" s="2243"/>
      <c r="W1" s="2243"/>
      <c r="X1" s="2243"/>
      <c r="Y1" s="2243"/>
      <c r="Z1" s="2243"/>
      <c r="AA1" s="2243"/>
      <c r="AB1" s="2243"/>
      <c r="AC1" s="2243"/>
    </row>
    <row r="2" spans="1:29" ht="15.75" thickBot="1">
      <c r="A2" s="2245"/>
      <c r="B2" s="2246"/>
      <c r="C2" s="2247" t="s">
        <v>2003</v>
      </c>
      <c r="D2" s="2248"/>
      <c r="E2" s="2249"/>
      <c r="F2" s="2168"/>
      <c r="G2" s="2247" t="s">
        <v>2004</v>
      </c>
      <c r="H2" s="2250"/>
      <c r="I2" s="2250"/>
      <c r="J2" s="2250"/>
      <c r="K2" s="2250"/>
      <c r="L2" s="2250"/>
      <c r="M2" s="2250"/>
      <c r="N2" s="2250"/>
      <c r="O2" s="2250"/>
      <c r="P2" s="2250"/>
      <c r="Q2" s="2250"/>
      <c r="R2" s="2250"/>
    </row>
    <row r="3" spans="1:29" ht="27">
      <c r="A3" s="415" t="s">
        <v>2005</v>
      </c>
      <c r="B3" s="1255" t="s">
        <v>2006</v>
      </c>
      <c r="C3" s="2252"/>
      <c r="D3" s="2253"/>
      <c r="E3" s="431" t="s">
        <v>2005</v>
      </c>
      <c r="F3" s="2254" t="s">
        <v>2007</v>
      </c>
      <c r="G3" s="2255"/>
      <c r="H3" s="2250"/>
      <c r="I3" s="2250"/>
      <c r="J3" s="2250"/>
      <c r="K3" s="2250"/>
      <c r="L3" s="2250"/>
      <c r="M3" s="2250"/>
      <c r="N3" s="2250"/>
      <c r="O3" s="2250"/>
      <c r="P3" s="2250"/>
      <c r="Q3" s="2250"/>
      <c r="R3" s="2250"/>
    </row>
    <row r="4" spans="1:29" ht="15">
      <c r="A4" s="431"/>
      <c r="B4" s="1781" t="s">
        <v>2008</v>
      </c>
      <c r="C4" s="2256"/>
      <c r="D4" s="2253"/>
      <c r="E4" s="2257"/>
      <c r="F4" s="42" t="s">
        <v>2009</v>
      </c>
      <c r="G4" s="2258"/>
      <c r="H4" s="2250"/>
      <c r="I4" s="2250"/>
      <c r="J4" s="2250"/>
      <c r="K4" s="2250"/>
      <c r="L4" s="2250"/>
      <c r="M4" s="2250"/>
      <c r="N4" s="2250"/>
      <c r="O4" s="2250"/>
      <c r="P4" s="2250"/>
      <c r="Q4" s="2250"/>
      <c r="R4" s="2250"/>
    </row>
    <row r="5" spans="1:29" ht="15">
      <c r="A5" s="431"/>
      <c r="B5" s="1781" t="s">
        <v>2010</v>
      </c>
      <c r="C5" s="2256"/>
      <c r="D5" s="2253"/>
      <c r="E5" s="2257"/>
      <c r="F5" s="1781" t="s">
        <v>2011</v>
      </c>
      <c r="G5" s="2258"/>
      <c r="H5" s="2250"/>
      <c r="I5" s="2250"/>
      <c r="J5" s="2250"/>
      <c r="K5" s="2250"/>
      <c r="L5" s="2250"/>
      <c r="M5" s="2250"/>
      <c r="N5" s="2250"/>
      <c r="O5" s="2250"/>
      <c r="P5" s="2250"/>
      <c r="Q5" s="2250"/>
      <c r="R5" s="2250"/>
    </row>
    <row r="6" spans="1:29" ht="15">
      <c r="A6" s="431"/>
      <c r="B6" s="1781" t="s">
        <v>2012</v>
      </c>
      <c r="C6" s="2258"/>
      <c r="D6" s="2253"/>
      <c r="E6" s="2257"/>
      <c r="F6" s="1781" t="s">
        <v>2013</v>
      </c>
      <c r="G6" s="2258"/>
      <c r="H6" s="2250"/>
      <c r="I6" s="2250"/>
      <c r="J6" s="2250"/>
      <c r="K6" s="2250"/>
      <c r="L6" s="2250"/>
      <c r="M6" s="2250"/>
      <c r="N6" s="2250"/>
      <c r="O6" s="2250"/>
      <c r="P6" s="2250"/>
      <c r="Q6" s="2250"/>
      <c r="R6" s="2250"/>
    </row>
    <row r="7" spans="1:29" ht="15.75" thickBot="1">
      <c r="A7" s="431"/>
      <c r="B7" s="1781" t="s">
        <v>2011</v>
      </c>
      <c r="C7" s="2258"/>
      <c r="D7" s="2259"/>
      <c r="E7" s="2260"/>
      <c r="F7" s="2261" t="s">
        <v>2014</v>
      </c>
      <c r="G7" s="2262"/>
      <c r="H7" s="2250"/>
      <c r="I7" s="2250"/>
      <c r="J7" s="2250"/>
      <c r="K7" s="2250"/>
      <c r="L7" s="2250"/>
      <c r="M7" s="2250"/>
      <c r="N7" s="2250"/>
      <c r="O7" s="2250"/>
      <c r="P7" s="2250"/>
      <c r="Q7" s="2250"/>
      <c r="R7" s="2250"/>
    </row>
    <row r="8" spans="1:29" ht="15">
      <c r="A8" s="431"/>
      <c r="B8" s="1781" t="s">
        <v>2013</v>
      </c>
      <c r="C8" s="2258"/>
      <c r="D8" s="2259"/>
      <c r="E8" s="2259"/>
      <c r="F8" s="1128"/>
      <c r="G8" s="1128"/>
      <c r="H8" s="2250"/>
      <c r="I8" s="2250"/>
      <c r="J8" s="2250"/>
      <c r="K8" s="2250"/>
      <c r="L8" s="2250"/>
      <c r="M8" s="2250"/>
      <c r="N8" s="2250"/>
      <c r="O8" s="2250"/>
      <c r="P8" s="2250"/>
      <c r="Q8" s="2250"/>
      <c r="R8" s="2250"/>
    </row>
    <row r="9" spans="1:29" ht="15">
      <c r="A9" s="431"/>
      <c r="B9" s="1781" t="s">
        <v>2015</v>
      </c>
      <c r="C9" s="2256"/>
      <c r="D9" s="2253"/>
      <c r="E9" s="2259"/>
      <c r="F9" s="1128"/>
      <c r="G9" s="1128"/>
      <c r="H9" s="2250"/>
      <c r="I9" s="2250"/>
      <c r="J9" s="2250"/>
      <c r="K9" s="2250"/>
      <c r="L9" s="2250"/>
      <c r="M9" s="2250"/>
      <c r="N9" s="2250"/>
      <c r="O9" s="2250"/>
      <c r="P9" s="2250"/>
      <c r="Q9" s="2250"/>
      <c r="R9" s="2250"/>
    </row>
    <row r="10" spans="1:29" s="117" customFormat="1" ht="15.75" thickBot="1">
      <c r="A10" s="2263"/>
      <c r="B10" s="2264" t="s">
        <v>2016</v>
      </c>
      <c r="C10" s="2265"/>
      <c r="D10" s="2253"/>
      <c r="E10" s="2253"/>
      <c r="F10" s="1128"/>
      <c r="G10" s="1128"/>
      <c r="H10" s="2266"/>
      <c r="I10" s="2267"/>
      <c r="J10" s="2268"/>
      <c r="K10" s="2266"/>
      <c r="L10" s="2267"/>
      <c r="M10" s="2268"/>
      <c r="N10" s="2266"/>
      <c r="O10" s="2267"/>
      <c r="P10" s="2268"/>
      <c r="Q10" s="2266"/>
      <c r="R10" s="2267"/>
      <c r="S10" s="2250"/>
      <c r="T10" s="2250"/>
      <c r="U10" s="2250"/>
      <c r="V10" s="2250"/>
      <c r="W10" s="2250"/>
      <c r="X10" s="2250"/>
      <c r="Y10" s="2250"/>
      <c r="Z10" s="2250"/>
      <c r="AA10" s="2250"/>
      <c r="AB10" s="2250"/>
      <c r="AC10" s="2250"/>
    </row>
    <row r="11" spans="1:29" s="117" customFormat="1" ht="15">
      <c r="A11" s="2269"/>
      <c r="B11" s="2259"/>
      <c r="C11" s="2253"/>
      <c r="D11" s="2253"/>
      <c r="E11" s="2253"/>
      <c r="F11" s="2259"/>
      <c r="G11" s="1146"/>
      <c r="H11" s="2266"/>
      <c r="I11" s="2267"/>
      <c r="J11" s="2268"/>
      <c r="K11" s="2266"/>
      <c r="L11" s="2267"/>
      <c r="M11" s="2268"/>
      <c r="N11" s="2266"/>
      <c r="O11" s="2267"/>
      <c r="P11" s="2268"/>
      <c r="Q11" s="2266"/>
      <c r="R11" s="2267"/>
      <c r="S11" s="2250"/>
      <c r="T11" s="2250"/>
      <c r="U11" s="2250"/>
      <c r="V11" s="2250"/>
      <c r="W11" s="2250"/>
      <c r="X11" s="2250"/>
      <c r="Y11" s="2250"/>
      <c r="Z11" s="2250"/>
      <c r="AA11" s="2250"/>
      <c r="AB11" s="2250"/>
      <c r="AC11" s="2250"/>
    </row>
    <row r="12" spans="1:29" s="2244" customFormat="1" ht="18">
      <c r="A12" s="2269"/>
      <c r="B12" s="2259"/>
      <c r="C12" s="2253"/>
      <c r="D12" s="2270"/>
      <c r="E12" s="2253"/>
      <c r="F12" s="2259"/>
      <c r="G12" s="1146"/>
      <c r="H12" s="2271"/>
      <c r="I12" s="2272"/>
      <c r="J12" s="2271"/>
      <c r="K12" s="2271"/>
      <c r="L12" s="2273"/>
      <c r="M12" s="2271"/>
      <c r="N12" s="2274"/>
      <c r="O12" s="2275"/>
      <c r="P12" s="2274"/>
      <c r="Q12" s="2274"/>
      <c r="R12" s="2242"/>
      <c r="S12" s="2243"/>
      <c r="T12" s="2243"/>
      <c r="U12" s="2243"/>
      <c r="V12" s="2243"/>
      <c r="W12" s="2243"/>
      <c r="X12" s="2243"/>
      <c r="Y12" s="2243"/>
      <c r="Z12" s="2243"/>
      <c r="AA12" s="2243"/>
      <c r="AB12" s="2243"/>
      <c r="AC12" s="2243"/>
    </row>
    <row r="13" spans="1:29" ht="19.5" thickBot="1">
      <c r="A13" s="2276" t="s">
        <v>2017</v>
      </c>
      <c r="B13" s="2270"/>
      <c r="C13" s="2270"/>
      <c r="D13" s="2277"/>
      <c r="E13" s="2270"/>
      <c r="F13" s="2270"/>
      <c r="G13" s="2270"/>
    </row>
    <row r="14" spans="1:29" ht="15.75" thickBot="1">
      <c r="A14" s="2281"/>
      <c r="B14" s="2282"/>
      <c r="C14" s="2283" t="s">
        <v>2018</v>
      </c>
      <c r="D14" s="2253"/>
      <c r="E14" s="2284"/>
      <c r="F14" s="2284"/>
      <c r="G14" s="2247" t="s">
        <v>2019</v>
      </c>
    </row>
    <row r="15" spans="1:29" ht="27">
      <c r="A15" s="68" t="s">
        <v>2020</v>
      </c>
      <c r="B15" s="1254" t="s">
        <v>2006</v>
      </c>
      <c r="C15" s="2285">
        <f>C3</f>
        <v>0</v>
      </c>
      <c r="D15" s="2253"/>
      <c r="E15" s="2286" t="s">
        <v>2021</v>
      </c>
      <c r="F15" s="1254" t="s">
        <v>2022</v>
      </c>
      <c r="G15" s="135">
        <f>G3</f>
        <v>0</v>
      </c>
    </row>
    <row r="16" spans="1:29" ht="15">
      <c r="A16" s="644"/>
      <c r="B16" s="2287" t="s">
        <v>2008</v>
      </c>
      <c r="C16" s="2288">
        <f>C4</f>
        <v>0</v>
      </c>
      <c r="D16" s="2253"/>
      <c r="E16" s="2289"/>
      <c r="F16" s="2290" t="s">
        <v>2009</v>
      </c>
      <c r="G16" s="136">
        <f>G4</f>
        <v>0</v>
      </c>
    </row>
    <row r="17" spans="1:18" ht="15">
      <c r="A17" s="644"/>
      <c r="B17" s="2287" t="s">
        <v>2010</v>
      </c>
      <c r="C17" s="2288">
        <f>C5</f>
        <v>0</v>
      </c>
      <c r="D17" s="2259"/>
      <c r="E17" s="2289"/>
      <c r="F17" s="2290" t="s">
        <v>2023</v>
      </c>
      <c r="G17" s="1555"/>
    </row>
    <row r="18" spans="1:18" ht="15">
      <c r="A18" s="644"/>
      <c r="B18" s="2290" t="s">
        <v>2012</v>
      </c>
      <c r="C18" s="136">
        <f>C6</f>
        <v>0</v>
      </c>
      <c r="D18" s="2259"/>
      <c r="E18" s="2289"/>
      <c r="F18" s="2290" t="s">
        <v>2014</v>
      </c>
      <c r="G18" s="136">
        <f>G7</f>
        <v>0</v>
      </c>
    </row>
    <row r="19" spans="1:18" ht="15">
      <c r="A19" s="644"/>
      <c r="B19" s="2290" t="s">
        <v>2024</v>
      </c>
      <c r="C19" s="1555"/>
      <c r="D19" s="2253"/>
      <c r="E19" s="2289"/>
      <c r="F19" s="1781" t="s">
        <v>2011</v>
      </c>
      <c r="G19" s="136">
        <f>G5</f>
        <v>0</v>
      </c>
    </row>
    <row r="20" spans="1:18" ht="15">
      <c r="A20" s="644"/>
      <c r="B20" s="2290" t="s">
        <v>2025</v>
      </c>
      <c r="C20" s="2288">
        <f>C9</f>
        <v>0</v>
      </c>
      <c r="D20" s="2259"/>
      <c r="E20" s="2289"/>
      <c r="F20" s="1781" t="s">
        <v>2026</v>
      </c>
      <c r="G20" s="136">
        <f>G6</f>
        <v>0</v>
      </c>
    </row>
    <row r="21" spans="1:18" ht="15">
      <c r="A21" s="644"/>
      <c r="B21" s="1781" t="s">
        <v>2011</v>
      </c>
      <c r="C21" s="136">
        <f>C7</f>
        <v>0</v>
      </c>
      <c r="D21" s="2253"/>
      <c r="E21" s="2289"/>
      <c r="F21" s="2290" t="s">
        <v>2027</v>
      </c>
      <c r="G21" s="2291"/>
    </row>
    <row r="22" spans="1:18" ht="13.5" customHeight="1">
      <c r="A22" s="644"/>
      <c r="B22" s="1781" t="s">
        <v>2013</v>
      </c>
      <c r="C22" s="136">
        <f>C8</f>
        <v>0</v>
      </c>
      <c r="D22" s="2253"/>
      <c r="E22" s="2289"/>
      <c r="F22" s="2290" t="s">
        <v>2016</v>
      </c>
      <c r="G22" s="1555"/>
    </row>
    <row r="23" spans="1:18" s="2250" customFormat="1" ht="15.75" thickBot="1">
      <c r="A23" s="644"/>
      <c r="B23" s="2290" t="s">
        <v>2027</v>
      </c>
      <c r="C23" s="2291"/>
      <c r="D23" s="2278"/>
      <c r="E23" s="2292"/>
      <c r="F23" s="2293" t="s">
        <v>2028</v>
      </c>
      <c r="G23" s="2294"/>
      <c r="H23" s="2278"/>
      <c r="I23" s="2279"/>
      <c r="J23" s="2278"/>
      <c r="K23" s="2278"/>
      <c r="L23" s="2279"/>
      <c r="M23" s="2278"/>
      <c r="N23" s="2278"/>
      <c r="O23" s="2279"/>
      <c r="P23" s="2278"/>
      <c r="Q23" s="2278"/>
      <c r="R23" s="2280"/>
    </row>
    <row r="24" spans="1:18" s="2250" customFormat="1" ht="15.75" thickBot="1">
      <c r="A24" s="2295"/>
      <c r="B24" s="2293" t="s">
        <v>2029</v>
      </c>
      <c r="C24" s="137">
        <f>C10</f>
        <v>0</v>
      </c>
      <c r="D24" s="2278"/>
      <c r="E24" s="2296"/>
      <c r="F24" s="2296"/>
      <c r="G24" s="2297"/>
      <c r="H24" s="2278"/>
      <c r="I24" s="2279"/>
      <c r="J24" s="2278"/>
      <c r="K24" s="2278"/>
      <c r="L24" s="2279"/>
      <c r="M24" s="2278"/>
      <c r="N24" s="2278"/>
      <c r="O24" s="2279"/>
      <c r="P24" s="2278"/>
      <c r="Q24" s="2278"/>
      <c r="R24" s="2280"/>
    </row>
    <row r="25" spans="1:18" s="2250" customFormat="1">
      <c r="B25" s="2278"/>
      <c r="C25" s="2278"/>
      <c r="D25" s="2278"/>
      <c r="H25" s="2278"/>
      <c r="I25" s="2279"/>
      <c r="J25" s="2278"/>
      <c r="K25" s="2278"/>
      <c r="L25" s="2279"/>
      <c r="M25" s="2278"/>
      <c r="N25" s="2278"/>
      <c r="O25" s="2279"/>
      <c r="P25" s="2278"/>
      <c r="Q25" s="2278"/>
      <c r="R25" s="2280"/>
    </row>
    <row r="26" spans="1:18" s="2250" customFormat="1">
      <c r="B26" s="2278"/>
      <c r="C26" s="2278"/>
      <c r="D26" s="2278"/>
      <c r="H26" s="2278"/>
      <c r="I26" s="2279"/>
      <c r="J26" s="2278"/>
      <c r="K26" s="2278"/>
      <c r="L26" s="2279"/>
      <c r="M26" s="2278"/>
      <c r="N26" s="2278"/>
      <c r="O26" s="2279"/>
      <c r="P26" s="2278"/>
      <c r="Q26" s="2278"/>
      <c r="R26" s="2280"/>
    </row>
    <row r="27" spans="1:18" s="2250" customFormat="1">
      <c r="B27" s="2278"/>
      <c r="C27" s="2278"/>
      <c r="D27" s="2278"/>
      <c r="H27" s="2278"/>
      <c r="I27" s="2279"/>
      <c r="J27" s="2278"/>
      <c r="K27" s="2278"/>
      <c r="L27" s="2279"/>
      <c r="M27" s="2278"/>
      <c r="N27" s="2278"/>
      <c r="O27" s="2279"/>
      <c r="P27" s="2278"/>
      <c r="Q27" s="2278"/>
      <c r="R27" s="2280"/>
    </row>
    <row r="28" spans="1:18" s="2250" customFormat="1">
      <c r="B28" s="2278"/>
      <c r="C28" s="2278"/>
      <c r="D28" s="2278"/>
      <c r="H28" s="2278"/>
      <c r="I28" s="2279"/>
      <c r="J28" s="2278"/>
      <c r="K28" s="2278"/>
      <c r="L28" s="2279"/>
      <c r="M28" s="2278"/>
      <c r="N28" s="2278"/>
      <c r="O28" s="2279"/>
      <c r="P28" s="2278"/>
      <c r="Q28" s="2278"/>
      <c r="R28" s="2280"/>
    </row>
    <row r="29" spans="1:18" s="2250" customFormat="1">
      <c r="B29" s="2278"/>
      <c r="C29" s="2278"/>
      <c r="D29" s="2278"/>
      <c r="H29" s="2278"/>
      <c r="I29" s="2279"/>
      <c r="J29" s="2278"/>
      <c r="K29" s="2278"/>
      <c r="L29" s="2279"/>
      <c r="M29" s="2278"/>
      <c r="N29" s="2278"/>
      <c r="O29" s="2279"/>
      <c r="P29" s="2278"/>
      <c r="Q29" s="2278"/>
      <c r="R29" s="2280"/>
    </row>
    <row r="30" spans="1:18" s="2250" customFormat="1">
      <c r="B30" s="2278"/>
      <c r="C30" s="2278"/>
      <c r="D30" s="2278"/>
      <c r="H30" s="2278"/>
      <c r="I30" s="2279"/>
      <c r="J30" s="2278"/>
      <c r="K30" s="2278"/>
      <c r="L30" s="2279"/>
      <c r="M30" s="2278"/>
      <c r="N30" s="2278"/>
      <c r="O30" s="2279"/>
      <c r="P30" s="2278"/>
      <c r="Q30" s="2278"/>
      <c r="R30" s="2280"/>
    </row>
    <row r="31" spans="1:18" s="2250" customFormat="1">
      <c r="B31" s="2278"/>
      <c r="C31" s="2278"/>
      <c r="D31" s="2278"/>
      <c r="H31" s="2278"/>
      <c r="I31" s="2279"/>
      <c r="J31" s="2278"/>
      <c r="K31" s="2278"/>
      <c r="L31" s="2279"/>
      <c r="M31" s="2278"/>
      <c r="N31" s="2278"/>
      <c r="O31" s="2279"/>
      <c r="P31" s="2278"/>
      <c r="Q31" s="2278"/>
      <c r="R31" s="2280"/>
    </row>
    <row r="32" spans="1:18" s="2250" customFormat="1">
      <c r="B32" s="2278"/>
      <c r="C32" s="2278"/>
      <c r="D32" s="2278"/>
      <c r="H32" s="2278"/>
      <c r="I32" s="2279"/>
      <c r="J32" s="2278"/>
      <c r="K32" s="2278"/>
      <c r="L32" s="2279"/>
      <c r="M32" s="2278"/>
      <c r="N32" s="2278"/>
      <c r="O32" s="2279"/>
      <c r="P32" s="2278"/>
      <c r="Q32" s="2278"/>
      <c r="R32" s="2280"/>
    </row>
    <row r="33" spans="2:18" s="2250" customFormat="1">
      <c r="B33" s="2278"/>
      <c r="C33" s="2278"/>
      <c r="D33" s="2278"/>
      <c r="H33" s="2278"/>
      <c r="I33" s="2279"/>
      <c r="J33" s="2278"/>
      <c r="K33" s="2278"/>
      <c r="L33" s="2279"/>
      <c r="M33" s="2278"/>
      <c r="N33" s="2278"/>
      <c r="O33" s="2279"/>
      <c r="P33" s="2278"/>
      <c r="Q33" s="2278"/>
      <c r="R33" s="2280"/>
    </row>
    <row r="34" spans="2:18" s="2250" customFormat="1">
      <c r="B34" s="2278"/>
      <c r="C34" s="2278"/>
      <c r="D34" s="2278"/>
      <c r="H34" s="2278"/>
      <c r="I34" s="2279"/>
      <c r="J34" s="2278"/>
      <c r="K34" s="2278"/>
      <c r="L34" s="2279"/>
      <c r="M34" s="2278"/>
      <c r="N34" s="2278"/>
      <c r="O34" s="2279"/>
      <c r="P34" s="2278"/>
      <c r="Q34" s="2278"/>
      <c r="R34" s="2280"/>
    </row>
    <row r="35" spans="2:18" s="2250" customFormat="1">
      <c r="B35" s="2278"/>
      <c r="C35" s="2278"/>
      <c r="D35" s="2278"/>
      <c r="H35" s="2278"/>
      <c r="I35" s="2279"/>
      <c r="J35" s="2278"/>
      <c r="K35" s="2278"/>
      <c r="L35" s="2279"/>
      <c r="M35" s="2278"/>
      <c r="N35" s="2278"/>
      <c r="O35" s="2279"/>
      <c r="P35" s="2278"/>
      <c r="Q35" s="2278"/>
      <c r="R35" s="2280"/>
    </row>
    <row r="36" spans="2:18" s="2250" customFormat="1">
      <c r="B36" s="2278"/>
      <c r="C36" s="2278"/>
      <c r="D36" s="2278"/>
      <c r="H36" s="2278"/>
      <c r="I36" s="2279"/>
      <c r="J36" s="2278"/>
      <c r="K36" s="2278"/>
      <c r="L36" s="2279"/>
      <c r="M36" s="2278"/>
      <c r="N36" s="2278"/>
      <c r="O36" s="2279"/>
      <c r="P36" s="2278"/>
      <c r="Q36" s="2278"/>
      <c r="R36" s="2280"/>
    </row>
    <row r="37" spans="2:18" s="2250" customFormat="1">
      <c r="B37" s="2278"/>
      <c r="C37" s="2278"/>
      <c r="D37" s="2278"/>
      <c r="H37" s="2278"/>
      <c r="I37" s="2279"/>
      <c r="J37" s="2278"/>
      <c r="K37" s="2278"/>
      <c r="L37" s="2279"/>
      <c r="M37" s="2278"/>
      <c r="N37" s="2278"/>
      <c r="O37" s="2279"/>
      <c r="P37" s="2278"/>
      <c r="Q37" s="2278"/>
      <c r="R37" s="2280"/>
    </row>
    <row r="38" spans="2:18" s="2250" customFormat="1">
      <c r="B38" s="2278"/>
      <c r="C38" s="2278"/>
      <c r="D38" s="2278"/>
      <c r="E38" s="2278"/>
      <c r="F38" s="2278"/>
      <c r="G38" s="2279"/>
      <c r="H38" s="2278"/>
      <c r="I38" s="2279"/>
      <c r="J38" s="2278"/>
      <c r="K38" s="2278"/>
      <c r="L38" s="2279"/>
      <c r="M38" s="2278"/>
      <c r="N38" s="2278"/>
      <c r="O38" s="2279"/>
      <c r="P38" s="2278"/>
      <c r="Q38" s="2278"/>
      <c r="R38" s="2280"/>
    </row>
    <row r="39" spans="2:18" s="2250" customFormat="1">
      <c r="B39" s="2278"/>
      <c r="C39" s="2278"/>
      <c r="D39" s="2278"/>
      <c r="E39" s="2278"/>
      <c r="F39" s="2278"/>
      <c r="G39" s="2279"/>
      <c r="H39" s="2278"/>
      <c r="I39" s="2279"/>
      <c r="J39" s="2278"/>
      <c r="K39" s="2278"/>
      <c r="L39" s="2279"/>
      <c r="M39" s="2278"/>
      <c r="N39" s="2278"/>
      <c r="O39" s="2279"/>
      <c r="P39" s="2278"/>
      <c r="Q39" s="2278"/>
      <c r="R39" s="2280"/>
    </row>
    <row r="40" spans="2:18" s="2250" customFormat="1">
      <c r="B40" s="2278"/>
      <c r="C40" s="2278"/>
      <c r="D40" s="2278"/>
      <c r="E40" s="2278"/>
      <c r="F40" s="2278"/>
      <c r="G40" s="2279"/>
      <c r="H40" s="2278"/>
      <c r="I40" s="2279"/>
      <c r="J40" s="2278"/>
      <c r="K40" s="2278"/>
      <c r="L40" s="2279"/>
      <c r="M40" s="2278"/>
      <c r="N40" s="2278"/>
      <c r="O40" s="2279"/>
      <c r="P40" s="2278"/>
      <c r="Q40" s="2278"/>
      <c r="R40" s="2280"/>
    </row>
    <row r="41" spans="2:18" s="2250" customFormat="1">
      <c r="B41" s="2278"/>
      <c r="C41" s="2278"/>
      <c r="D41" s="2278"/>
      <c r="E41" s="2278"/>
      <c r="F41" s="2278"/>
      <c r="G41" s="2279"/>
      <c r="H41" s="2278"/>
      <c r="I41" s="2279"/>
      <c r="J41" s="2278"/>
      <c r="K41" s="2278"/>
      <c r="L41" s="2279"/>
      <c r="M41" s="2278"/>
      <c r="N41" s="2278"/>
      <c r="O41" s="2279"/>
      <c r="P41" s="2278"/>
      <c r="Q41" s="2278"/>
      <c r="R41" s="2280"/>
    </row>
    <row r="42" spans="2:18" s="2250" customFormat="1">
      <c r="B42" s="2278"/>
      <c r="C42" s="2278"/>
      <c r="D42" s="2278"/>
      <c r="E42" s="2278"/>
      <c r="F42" s="2278"/>
      <c r="G42" s="2279"/>
      <c r="H42" s="2278"/>
      <c r="I42" s="2279"/>
      <c r="J42" s="2278"/>
      <c r="K42" s="2278"/>
      <c r="L42" s="2279"/>
      <c r="M42" s="2278"/>
      <c r="N42" s="2278"/>
      <c r="O42" s="2279"/>
      <c r="P42" s="2278"/>
      <c r="Q42" s="2278"/>
      <c r="R42" s="2280"/>
    </row>
    <row r="43" spans="2:18" s="2250" customFormat="1">
      <c r="B43" s="2278"/>
      <c r="C43" s="2278"/>
      <c r="D43" s="2278"/>
      <c r="E43" s="2278"/>
      <c r="F43" s="2278"/>
      <c r="G43" s="2279"/>
      <c r="H43" s="2278"/>
      <c r="I43" s="2279"/>
      <c r="J43" s="2278"/>
      <c r="K43" s="2278"/>
      <c r="L43" s="2279"/>
      <c r="M43" s="2278"/>
      <c r="N43" s="2278"/>
      <c r="O43" s="2279"/>
      <c r="P43" s="2278"/>
      <c r="Q43" s="2278"/>
      <c r="R43" s="2280"/>
    </row>
    <row r="44" spans="2:18" s="2250" customFormat="1">
      <c r="B44" s="2278"/>
      <c r="C44" s="2278"/>
      <c r="D44" s="2278"/>
      <c r="E44" s="2278"/>
      <c r="F44" s="2278"/>
      <c r="G44" s="2279"/>
      <c r="H44" s="2278"/>
      <c r="I44" s="2279"/>
      <c r="J44" s="2278"/>
      <c r="K44" s="2278"/>
      <c r="L44" s="2279"/>
      <c r="M44" s="2278"/>
      <c r="N44" s="2278"/>
      <c r="O44" s="2279"/>
      <c r="P44" s="2278"/>
      <c r="Q44" s="2278"/>
      <c r="R44" s="2280"/>
    </row>
    <row r="45" spans="2:18" s="2250" customFormat="1">
      <c r="B45" s="2278"/>
      <c r="C45" s="2278"/>
      <c r="D45" s="2278"/>
      <c r="E45" s="2278"/>
      <c r="F45" s="2278"/>
      <c r="G45" s="2279"/>
      <c r="H45" s="2278"/>
      <c r="I45" s="2279"/>
      <c r="J45" s="2278"/>
      <c r="K45" s="2278"/>
      <c r="L45" s="2279"/>
      <c r="M45" s="2278"/>
      <c r="N45" s="2278"/>
      <c r="O45" s="2279"/>
      <c r="P45" s="2278"/>
      <c r="Q45" s="2278"/>
      <c r="R45" s="2280"/>
    </row>
    <row r="46" spans="2:18" s="2250" customFormat="1">
      <c r="B46" s="2278"/>
      <c r="C46" s="2278"/>
      <c r="D46" s="2278"/>
      <c r="E46" s="2278"/>
      <c r="F46" s="2278"/>
      <c r="G46" s="2279"/>
      <c r="H46" s="2278"/>
      <c r="I46" s="2279"/>
      <c r="J46" s="2278"/>
      <c r="K46" s="2278"/>
      <c r="L46" s="2279"/>
      <c r="M46" s="2278"/>
      <c r="N46" s="2278"/>
      <c r="O46" s="2279"/>
      <c r="P46" s="2278"/>
      <c r="Q46" s="2278"/>
      <c r="R46" s="2280"/>
    </row>
    <row r="47" spans="2:18" s="2250" customFormat="1">
      <c r="B47" s="2278"/>
      <c r="C47" s="2278"/>
      <c r="D47" s="2278"/>
      <c r="E47" s="2278"/>
      <c r="F47" s="2278"/>
      <c r="G47" s="2279"/>
      <c r="H47" s="2278"/>
      <c r="I47" s="2279"/>
      <c r="J47" s="2278"/>
      <c r="K47" s="2278"/>
      <c r="L47" s="2279"/>
      <c r="M47" s="2278"/>
      <c r="N47" s="2278"/>
      <c r="O47" s="2279"/>
      <c r="P47" s="2278"/>
      <c r="Q47" s="2278"/>
      <c r="R47" s="2280"/>
    </row>
    <row r="48" spans="2:18" s="2250" customFormat="1">
      <c r="B48" s="2278"/>
      <c r="C48" s="2278"/>
      <c r="D48" s="2278"/>
      <c r="E48" s="2278"/>
      <c r="F48" s="2278"/>
      <c r="G48" s="2279"/>
      <c r="H48" s="2278"/>
      <c r="I48" s="2279"/>
      <c r="J48" s="2278"/>
      <c r="K48" s="2278"/>
      <c r="L48" s="2279"/>
      <c r="M48" s="2278"/>
      <c r="N48" s="2278"/>
      <c r="O48" s="2279"/>
      <c r="P48" s="2278"/>
      <c r="Q48" s="2278"/>
      <c r="R48" s="2280"/>
    </row>
    <row r="49" spans="2:18" s="2250" customFormat="1">
      <c r="B49" s="2278"/>
      <c r="C49" s="2278"/>
      <c r="D49" s="2278"/>
      <c r="E49" s="2278"/>
      <c r="F49" s="2278"/>
      <c r="G49" s="2279"/>
      <c r="H49" s="2278"/>
      <c r="I49" s="2279"/>
      <c r="J49" s="2278"/>
      <c r="K49" s="2278"/>
      <c r="L49" s="2279"/>
      <c r="M49" s="2278"/>
      <c r="N49" s="2278"/>
      <c r="O49" s="2279"/>
      <c r="P49" s="2278"/>
      <c r="Q49" s="2278"/>
      <c r="R49" s="2280"/>
    </row>
    <row r="50" spans="2:18" s="2250" customFormat="1">
      <c r="B50" s="2278"/>
      <c r="C50" s="2278"/>
      <c r="D50" s="2278"/>
      <c r="E50" s="2278"/>
      <c r="F50" s="2278"/>
      <c r="G50" s="2279"/>
      <c r="H50" s="2278"/>
      <c r="I50" s="2279"/>
      <c r="J50" s="2278"/>
      <c r="K50" s="2278"/>
      <c r="L50" s="2279"/>
      <c r="M50" s="2278"/>
      <c r="N50" s="2278"/>
      <c r="O50" s="2279"/>
      <c r="P50" s="2278"/>
      <c r="Q50" s="2278"/>
      <c r="R50" s="2280"/>
    </row>
    <row r="51" spans="2:18" s="2250" customFormat="1">
      <c r="B51" s="2278"/>
      <c r="C51" s="2278"/>
      <c r="D51" s="2278"/>
      <c r="E51" s="2278"/>
      <c r="F51" s="2278"/>
      <c r="G51" s="2279"/>
      <c r="H51" s="2278"/>
      <c r="I51" s="2279"/>
      <c r="J51" s="2278"/>
      <c r="K51" s="2278"/>
      <c r="L51" s="2279"/>
      <c r="M51" s="2278"/>
      <c r="N51" s="2278"/>
      <c r="O51" s="2279"/>
      <c r="P51" s="2278"/>
      <c r="Q51" s="2278"/>
      <c r="R51" s="2280"/>
    </row>
    <row r="52" spans="2:18" s="2250" customFormat="1">
      <c r="B52" s="2278"/>
      <c r="C52" s="2278"/>
      <c r="D52" s="2278"/>
      <c r="E52" s="2278"/>
      <c r="F52" s="2278"/>
      <c r="G52" s="2279"/>
      <c r="H52" s="2278"/>
      <c r="I52" s="2279"/>
      <c r="J52" s="2278"/>
      <c r="K52" s="2278"/>
      <c r="L52" s="2279"/>
      <c r="M52" s="2278"/>
      <c r="N52" s="2278"/>
      <c r="O52" s="2279"/>
      <c r="P52" s="2278"/>
      <c r="Q52" s="2278"/>
      <c r="R52" s="2280"/>
    </row>
    <row r="53" spans="2:18" s="2250" customFormat="1">
      <c r="B53" s="2278"/>
      <c r="C53" s="2278"/>
      <c r="D53" s="2278"/>
      <c r="E53" s="2278"/>
      <c r="F53" s="2278"/>
      <c r="G53" s="2279"/>
      <c r="H53" s="2278"/>
      <c r="I53" s="2279"/>
      <c r="J53" s="2278"/>
      <c r="K53" s="2278"/>
      <c r="L53" s="2279"/>
      <c r="M53" s="2278"/>
      <c r="N53" s="2278"/>
      <c r="O53" s="2279"/>
      <c r="P53" s="2278"/>
      <c r="Q53" s="2278"/>
      <c r="R53" s="2280"/>
    </row>
    <row r="54" spans="2:18" s="2250" customFormat="1">
      <c r="B54" s="2278"/>
      <c r="C54" s="2278"/>
      <c r="D54" s="2278"/>
      <c r="E54" s="2278"/>
      <c r="F54" s="2278"/>
      <c r="G54" s="2279"/>
      <c r="H54" s="2278"/>
      <c r="I54" s="2279"/>
      <c r="J54" s="2278"/>
      <c r="K54" s="2278"/>
      <c r="L54" s="2279"/>
      <c r="M54" s="2278"/>
      <c r="N54" s="2278"/>
      <c r="O54" s="2279"/>
      <c r="P54" s="2278"/>
      <c r="Q54" s="2278"/>
      <c r="R54" s="2280"/>
    </row>
    <row r="55" spans="2:18" s="2250" customFormat="1">
      <c r="B55" s="2278"/>
      <c r="C55" s="2278"/>
      <c r="D55" s="2278"/>
      <c r="E55" s="2278"/>
      <c r="F55" s="2278"/>
      <c r="G55" s="2279"/>
      <c r="H55" s="2278"/>
      <c r="I55" s="2279"/>
      <c r="J55" s="2278"/>
      <c r="K55" s="2278"/>
      <c r="L55" s="2279"/>
      <c r="M55" s="2278"/>
      <c r="N55" s="2278"/>
      <c r="O55" s="2279"/>
      <c r="P55" s="2278"/>
      <c r="Q55" s="2278"/>
      <c r="R55" s="2280"/>
    </row>
    <row r="56" spans="2:18" s="2250" customFormat="1">
      <c r="B56" s="2278"/>
      <c r="C56" s="2278"/>
      <c r="D56" s="2278"/>
      <c r="E56" s="2278"/>
      <c r="F56" s="2278"/>
      <c r="G56" s="2279"/>
      <c r="H56" s="2278"/>
      <c r="I56" s="2279"/>
      <c r="J56" s="2278"/>
      <c r="K56" s="2278"/>
      <c r="L56" s="2279"/>
      <c r="M56" s="2278"/>
      <c r="N56" s="2278"/>
      <c r="O56" s="2279"/>
      <c r="P56" s="2278"/>
      <c r="Q56" s="2278"/>
      <c r="R56" s="2280"/>
    </row>
    <row r="57" spans="2:18" s="2250" customFormat="1">
      <c r="B57" s="2278"/>
      <c r="C57" s="2278"/>
      <c r="D57" s="2278"/>
      <c r="E57" s="2278"/>
      <c r="F57" s="2278"/>
      <c r="G57" s="2279"/>
      <c r="H57" s="2278"/>
      <c r="I57" s="2279"/>
      <c r="J57" s="2278"/>
      <c r="K57" s="2278"/>
      <c r="L57" s="2279"/>
      <c r="M57" s="2278"/>
      <c r="N57" s="2278"/>
      <c r="O57" s="2279"/>
      <c r="P57" s="2278"/>
      <c r="Q57" s="2278"/>
      <c r="R57" s="2280"/>
    </row>
    <row r="58" spans="2:18" s="2250" customFormat="1">
      <c r="B58" s="2278"/>
      <c r="C58" s="2278"/>
      <c r="D58" s="2278"/>
      <c r="E58" s="2278"/>
      <c r="F58" s="2278"/>
      <c r="G58" s="2279"/>
      <c r="H58" s="2278"/>
      <c r="I58" s="2279"/>
      <c r="J58" s="2278"/>
      <c r="K58" s="2278"/>
      <c r="L58" s="2279"/>
      <c r="M58" s="2278"/>
      <c r="N58" s="2278"/>
      <c r="O58" s="2279"/>
      <c r="P58" s="2278"/>
      <c r="Q58" s="2278"/>
      <c r="R58" s="2280"/>
    </row>
    <row r="59" spans="2:18" s="2250" customFormat="1">
      <c r="B59" s="2278"/>
      <c r="C59" s="2278"/>
      <c r="D59" s="2278"/>
      <c r="E59" s="2278"/>
      <c r="F59" s="2278"/>
      <c r="G59" s="2279"/>
      <c r="H59" s="2278"/>
      <c r="I59" s="2279"/>
      <c r="J59" s="2278"/>
      <c r="K59" s="2278"/>
      <c r="L59" s="2279"/>
      <c r="M59" s="2278"/>
      <c r="N59" s="2278"/>
      <c r="O59" s="2279"/>
      <c r="P59" s="2278"/>
      <c r="Q59" s="2278"/>
      <c r="R59" s="2280"/>
    </row>
    <row r="60" spans="2:18" s="2250" customFormat="1">
      <c r="B60" s="2278"/>
      <c r="C60" s="2278"/>
      <c r="D60" s="2278"/>
      <c r="E60" s="2278"/>
      <c r="F60" s="2278"/>
      <c r="G60" s="2279"/>
      <c r="H60" s="2278"/>
      <c r="I60" s="2279"/>
      <c r="J60" s="2278"/>
      <c r="K60" s="2278"/>
      <c r="L60" s="2279"/>
      <c r="M60" s="2278"/>
      <c r="N60" s="2278"/>
      <c r="O60" s="2279"/>
      <c r="P60" s="2278"/>
      <c r="Q60" s="2278"/>
      <c r="R60" s="2280"/>
    </row>
    <row r="61" spans="2:18" s="2250" customFormat="1">
      <c r="B61" s="2278"/>
      <c r="C61" s="2278"/>
      <c r="D61" s="2278"/>
      <c r="E61" s="2278"/>
      <c r="F61" s="2278"/>
      <c r="G61" s="2279"/>
      <c r="H61" s="2278"/>
      <c r="I61" s="2279"/>
      <c r="J61" s="2278"/>
      <c r="K61" s="2278"/>
      <c r="L61" s="2279"/>
      <c r="M61" s="2278"/>
      <c r="N61" s="2278"/>
      <c r="O61" s="2279"/>
      <c r="P61" s="2278"/>
      <c r="Q61" s="2278"/>
      <c r="R61" s="2280"/>
    </row>
    <row r="62" spans="2:18" s="2250" customFormat="1">
      <c r="B62" s="2278"/>
      <c r="C62" s="2278"/>
      <c r="D62" s="2278"/>
      <c r="E62" s="2278"/>
      <c r="F62" s="2278"/>
      <c r="G62" s="2279"/>
      <c r="H62" s="2278"/>
      <c r="I62" s="2279"/>
      <c r="J62" s="2278"/>
      <c r="K62" s="2278"/>
      <c r="L62" s="2279"/>
      <c r="M62" s="2278"/>
      <c r="N62" s="2278"/>
      <c r="O62" s="2279"/>
      <c r="P62" s="2278"/>
      <c r="Q62" s="2278"/>
      <c r="R62" s="2280"/>
    </row>
    <row r="63" spans="2:18" s="2250" customFormat="1">
      <c r="B63" s="2278"/>
      <c r="C63" s="2278"/>
      <c r="D63" s="2278"/>
      <c r="E63" s="2278"/>
      <c r="F63" s="2278"/>
      <c r="G63" s="2279"/>
      <c r="H63" s="2278"/>
      <c r="I63" s="2279"/>
      <c r="J63" s="2278"/>
      <c r="K63" s="2278"/>
      <c r="L63" s="2279"/>
      <c r="M63" s="2278"/>
      <c r="N63" s="2278"/>
      <c r="O63" s="2279"/>
      <c r="P63" s="2278"/>
      <c r="Q63" s="2278"/>
      <c r="R63" s="2280"/>
    </row>
    <row r="64" spans="2:18" s="2250" customFormat="1">
      <c r="B64" s="2278"/>
      <c r="C64" s="2278"/>
      <c r="D64" s="2278"/>
      <c r="E64" s="2278"/>
      <c r="F64" s="2278"/>
      <c r="G64" s="2279"/>
      <c r="H64" s="2278"/>
      <c r="I64" s="2279"/>
      <c r="J64" s="2278"/>
      <c r="K64" s="2278"/>
      <c r="L64" s="2279"/>
      <c r="M64" s="2278"/>
      <c r="N64" s="2278"/>
      <c r="O64" s="2279"/>
      <c r="P64" s="2278"/>
      <c r="Q64" s="2278"/>
      <c r="R64" s="2280"/>
    </row>
    <row r="65" spans="2:18" s="2250" customFormat="1">
      <c r="B65" s="2278"/>
      <c r="C65" s="2278"/>
      <c r="D65" s="2278"/>
      <c r="E65" s="2278"/>
      <c r="F65" s="2278"/>
      <c r="G65" s="2279"/>
      <c r="H65" s="2278"/>
      <c r="I65" s="2279"/>
      <c r="J65" s="2278"/>
      <c r="K65" s="2278"/>
      <c r="L65" s="2279"/>
      <c r="M65" s="2278"/>
      <c r="N65" s="2278"/>
      <c r="O65" s="2279"/>
      <c r="P65" s="2278"/>
      <c r="Q65" s="2278"/>
      <c r="R65" s="2280"/>
    </row>
    <row r="66" spans="2:18" s="2250" customFormat="1">
      <c r="B66" s="2278"/>
      <c r="C66" s="2278"/>
      <c r="D66" s="2278"/>
      <c r="E66" s="2278"/>
      <c r="F66" s="2278"/>
      <c r="G66" s="2279"/>
      <c r="H66" s="2278"/>
      <c r="I66" s="2279"/>
      <c r="J66" s="2278"/>
      <c r="K66" s="2278"/>
      <c r="L66" s="2279"/>
      <c r="M66" s="2278"/>
      <c r="N66" s="2278"/>
      <c r="O66" s="2279"/>
      <c r="P66" s="2278"/>
      <c r="Q66" s="2278"/>
      <c r="R66" s="2280"/>
    </row>
    <row r="67" spans="2:18" s="2250" customFormat="1">
      <c r="B67" s="2278"/>
      <c r="C67" s="2278"/>
      <c r="D67" s="2278"/>
      <c r="E67" s="2278"/>
      <c r="F67" s="2278"/>
      <c r="G67" s="2279"/>
      <c r="H67" s="2278"/>
      <c r="I67" s="2279"/>
      <c r="J67" s="2278"/>
      <c r="K67" s="2278"/>
      <c r="L67" s="2279"/>
      <c r="M67" s="2278"/>
      <c r="N67" s="2278"/>
      <c r="O67" s="2279"/>
      <c r="P67" s="2278"/>
      <c r="Q67" s="2278"/>
      <c r="R67" s="2280"/>
    </row>
    <row r="68" spans="2:18" s="2250" customFormat="1">
      <c r="B68" s="2278"/>
      <c r="C68" s="2278"/>
      <c r="D68" s="2278"/>
      <c r="E68" s="2278"/>
      <c r="F68" s="2278"/>
      <c r="G68" s="2279"/>
      <c r="H68" s="2278"/>
      <c r="I68" s="2279"/>
      <c r="J68" s="2278"/>
      <c r="K68" s="2278"/>
      <c r="L68" s="2279"/>
      <c r="M68" s="2278"/>
      <c r="N68" s="2278"/>
      <c r="O68" s="2279"/>
      <c r="P68" s="2278"/>
      <c r="Q68" s="2278"/>
      <c r="R68" s="2280"/>
    </row>
    <row r="69" spans="2:18" s="2250" customFormat="1">
      <c r="B69" s="2278"/>
      <c r="C69" s="2278"/>
      <c r="D69" s="2278"/>
      <c r="E69" s="2278"/>
      <c r="F69" s="2278"/>
      <c r="G69" s="2279"/>
      <c r="H69" s="2278"/>
      <c r="I69" s="2279"/>
      <c r="J69" s="2278"/>
      <c r="K69" s="2278"/>
      <c r="L69" s="2279"/>
      <c r="M69" s="2278"/>
      <c r="N69" s="2278"/>
      <c r="O69" s="2279"/>
      <c r="P69" s="2278"/>
      <c r="Q69" s="2278"/>
      <c r="R69" s="2280"/>
    </row>
    <row r="70" spans="2:18" s="2250" customFormat="1">
      <c r="B70" s="2278"/>
      <c r="C70" s="2278"/>
      <c r="D70" s="2278"/>
      <c r="E70" s="2278"/>
      <c r="F70" s="2278"/>
      <c r="G70" s="2279"/>
      <c r="H70" s="2278"/>
      <c r="I70" s="2279"/>
      <c r="J70" s="2278"/>
      <c r="K70" s="2278"/>
      <c r="L70" s="2279"/>
      <c r="M70" s="2278"/>
      <c r="N70" s="2278"/>
      <c r="O70" s="2279"/>
      <c r="P70" s="2278"/>
      <c r="Q70" s="2278"/>
      <c r="R70" s="2280"/>
    </row>
    <row r="71" spans="2:18" s="2250" customFormat="1">
      <c r="B71" s="2278"/>
      <c r="C71" s="2278"/>
      <c r="D71" s="2278"/>
      <c r="E71" s="2278"/>
      <c r="F71" s="2278"/>
      <c r="G71" s="2279"/>
      <c r="H71" s="2278"/>
      <c r="I71" s="2279"/>
      <c r="J71" s="2278"/>
      <c r="K71" s="2278"/>
      <c r="L71" s="2279"/>
      <c r="M71" s="2278"/>
      <c r="N71" s="2278"/>
      <c r="O71" s="2279"/>
      <c r="P71" s="2278"/>
      <c r="Q71" s="2278"/>
      <c r="R71" s="2280"/>
    </row>
    <row r="72" spans="2:18" s="2250" customFormat="1">
      <c r="B72" s="2278"/>
      <c r="C72" s="2278"/>
      <c r="D72" s="2278"/>
      <c r="E72" s="2278"/>
      <c r="F72" s="2278"/>
      <c r="G72" s="2279"/>
      <c r="H72" s="2278"/>
      <c r="I72" s="2279"/>
      <c r="J72" s="2278"/>
      <c r="K72" s="2278"/>
      <c r="L72" s="2279"/>
      <c r="M72" s="2278"/>
      <c r="N72" s="2278"/>
      <c r="O72" s="2279"/>
      <c r="P72" s="2278"/>
      <c r="Q72" s="2278"/>
      <c r="R72" s="2280"/>
    </row>
    <row r="73" spans="2:18" s="2250" customFormat="1">
      <c r="B73" s="2278"/>
      <c r="C73" s="2278"/>
      <c r="D73" s="2278"/>
      <c r="E73" s="2278"/>
      <c r="F73" s="2278"/>
      <c r="G73" s="2279"/>
      <c r="H73" s="2278"/>
      <c r="I73" s="2279"/>
      <c r="J73" s="2278"/>
      <c r="K73" s="2278"/>
      <c r="L73" s="2279"/>
      <c r="M73" s="2278"/>
      <c r="N73" s="2278"/>
      <c r="O73" s="2279"/>
      <c r="P73" s="2278"/>
      <c r="Q73" s="2278"/>
      <c r="R73" s="2280"/>
    </row>
    <row r="74" spans="2:18" s="2250" customFormat="1">
      <c r="B74" s="2278"/>
      <c r="C74" s="2278"/>
      <c r="D74" s="2278"/>
      <c r="E74" s="2278"/>
      <c r="F74" s="2278"/>
      <c r="G74" s="2279"/>
      <c r="H74" s="2278"/>
      <c r="I74" s="2279"/>
      <c r="J74" s="2278"/>
      <c r="K74" s="2278"/>
      <c r="L74" s="2279"/>
      <c r="M74" s="2278"/>
      <c r="N74" s="2278"/>
      <c r="O74" s="2279"/>
      <c r="P74" s="2278"/>
      <c r="Q74" s="2278"/>
      <c r="R74" s="2280"/>
    </row>
    <row r="75" spans="2:18" s="2250" customFormat="1">
      <c r="B75" s="2278"/>
      <c r="C75" s="2278"/>
      <c r="D75" s="2278"/>
      <c r="E75" s="2278"/>
      <c r="F75" s="2278"/>
      <c r="G75" s="2279"/>
      <c r="H75" s="2278"/>
      <c r="I75" s="2279"/>
      <c r="J75" s="2278"/>
      <c r="K75" s="2278"/>
      <c r="L75" s="2279"/>
      <c r="M75" s="2278"/>
      <c r="N75" s="2278"/>
      <c r="O75" s="2279"/>
      <c r="P75" s="2278"/>
      <c r="Q75" s="2278"/>
      <c r="R75" s="2280"/>
    </row>
    <row r="76" spans="2:18" s="2250" customFormat="1">
      <c r="B76" s="2278"/>
      <c r="C76" s="2278"/>
      <c r="D76" s="2278"/>
      <c r="E76" s="2278"/>
      <c r="F76" s="2278"/>
      <c r="G76" s="2279"/>
      <c r="H76" s="2278"/>
      <c r="I76" s="2279"/>
      <c r="J76" s="2278"/>
      <c r="K76" s="2278"/>
      <c r="L76" s="2279"/>
      <c r="M76" s="2278"/>
      <c r="N76" s="2278"/>
      <c r="O76" s="2279"/>
      <c r="P76" s="2278"/>
      <c r="Q76" s="2278"/>
      <c r="R76" s="2280"/>
    </row>
    <row r="77" spans="2:18" s="2250" customFormat="1">
      <c r="B77" s="2278"/>
      <c r="C77" s="2278"/>
      <c r="D77" s="2278"/>
      <c r="E77" s="2278"/>
      <c r="F77" s="2278"/>
      <c r="G77" s="2279"/>
      <c r="H77" s="2278"/>
      <c r="I77" s="2279"/>
      <c r="J77" s="2278"/>
      <c r="K77" s="2278"/>
      <c r="L77" s="2279"/>
      <c r="M77" s="2278"/>
      <c r="N77" s="2278"/>
      <c r="O77" s="2279"/>
      <c r="P77" s="2278"/>
      <c r="Q77" s="2278"/>
      <c r="R77" s="2280"/>
    </row>
    <row r="78" spans="2:18" s="2250" customFormat="1">
      <c r="B78" s="2278"/>
      <c r="C78" s="2278"/>
      <c r="D78" s="2278"/>
      <c r="E78" s="2278"/>
      <c r="F78" s="2278"/>
      <c r="G78" s="2279"/>
      <c r="H78" s="2278"/>
      <c r="I78" s="2279"/>
      <c r="J78" s="2278"/>
      <c r="K78" s="2278"/>
      <c r="L78" s="2279"/>
      <c r="M78" s="2278"/>
      <c r="N78" s="2278"/>
      <c r="O78" s="2279"/>
      <c r="P78" s="2278"/>
      <c r="Q78" s="2278"/>
      <c r="R78" s="2280"/>
    </row>
    <row r="79" spans="2:18" s="2250" customFormat="1">
      <c r="B79" s="2278"/>
      <c r="C79" s="2278"/>
      <c r="D79" s="2278"/>
      <c r="E79" s="2278"/>
      <c r="F79" s="2278"/>
      <c r="G79" s="2279"/>
      <c r="H79" s="2278"/>
      <c r="I79" s="2279"/>
      <c r="J79" s="2278"/>
      <c r="K79" s="2278"/>
      <c r="L79" s="2279"/>
      <c r="M79" s="2278"/>
      <c r="N79" s="2278"/>
      <c r="O79" s="2279"/>
      <c r="P79" s="2278"/>
      <c r="Q79" s="2278"/>
      <c r="R79" s="2280"/>
    </row>
    <row r="80" spans="2:18" s="2250" customFormat="1">
      <c r="B80" s="2278"/>
      <c r="C80" s="2278"/>
      <c r="D80" s="2278"/>
      <c r="E80" s="2278"/>
      <c r="F80" s="2278"/>
      <c r="G80" s="2279"/>
      <c r="H80" s="2278"/>
      <c r="I80" s="2279"/>
      <c r="J80" s="2278"/>
      <c r="K80" s="2278"/>
      <c r="L80" s="2279"/>
      <c r="M80" s="2278"/>
      <c r="N80" s="2278"/>
      <c r="O80" s="2279"/>
      <c r="P80" s="2278"/>
      <c r="Q80" s="2278"/>
      <c r="R80" s="2280"/>
    </row>
    <row r="81" spans="2:18" s="2250" customFormat="1">
      <c r="B81" s="2278"/>
      <c r="C81" s="2278"/>
      <c r="D81" s="2278"/>
      <c r="E81" s="2278"/>
      <c r="F81" s="2278"/>
      <c r="G81" s="2279"/>
      <c r="H81" s="2278"/>
      <c r="I81" s="2279"/>
      <c r="J81" s="2278"/>
      <c r="K81" s="2278"/>
      <c r="L81" s="2279"/>
      <c r="M81" s="2278"/>
      <c r="N81" s="2278"/>
      <c r="O81" s="2279"/>
      <c r="P81" s="2278"/>
      <c r="Q81" s="2278"/>
      <c r="R81" s="2280"/>
    </row>
    <row r="82" spans="2:18" s="2250" customFormat="1">
      <c r="B82" s="2278"/>
      <c r="C82" s="2278"/>
      <c r="D82" s="2278"/>
      <c r="E82" s="2278"/>
      <c r="F82" s="2278"/>
      <c r="G82" s="2279"/>
      <c r="H82" s="2278"/>
      <c r="I82" s="2279"/>
      <c r="J82" s="2278"/>
      <c r="K82" s="2278"/>
      <c r="L82" s="2279"/>
      <c r="M82" s="2278"/>
      <c r="N82" s="2278"/>
      <c r="O82" s="2279"/>
      <c r="P82" s="2278"/>
      <c r="Q82" s="2278"/>
      <c r="R82" s="2280"/>
    </row>
    <row r="83" spans="2:18" s="2250" customFormat="1">
      <c r="B83" s="2278"/>
      <c r="C83" s="2278"/>
      <c r="D83" s="2278"/>
      <c r="E83" s="2278"/>
      <c r="F83" s="2278"/>
      <c r="G83" s="2279"/>
      <c r="H83" s="2278"/>
      <c r="I83" s="2279"/>
      <c r="J83" s="2278"/>
      <c r="K83" s="2278"/>
      <c r="L83" s="2279"/>
      <c r="M83" s="2278"/>
      <c r="N83" s="2278"/>
      <c r="O83" s="2279"/>
      <c r="P83" s="2278"/>
      <c r="Q83" s="2278"/>
      <c r="R83" s="2280"/>
    </row>
    <row r="84" spans="2:18" s="2250" customFormat="1">
      <c r="B84" s="2278"/>
      <c r="C84" s="2278"/>
      <c r="D84" s="2278"/>
      <c r="E84" s="2278"/>
      <c r="F84" s="2278"/>
      <c r="G84" s="2279"/>
      <c r="H84" s="2278"/>
      <c r="I84" s="2279"/>
      <c r="J84" s="2278"/>
      <c r="K84" s="2278"/>
      <c r="L84" s="2279"/>
      <c r="M84" s="2278"/>
      <c r="N84" s="2278"/>
      <c r="O84" s="2279"/>
      <c r="P84" s="2278"/>
      <c r="Q84" s="2278"/>
      <c r="R84" s="2280"/>
    </row>
    <row r="85" spans="2:18" s="2250" customFormat="1">
      <c r="B85" s="2278"/>
      <c r="C85" s="2278"/>
      <c r="D85" s="2278"/>
      <c r="E85" s="2278"/>
      <c r="F85" s="2278"/>
      <c r="G85" s="2279"/>
      <c r="H85" s="2278"/>
      <c r="I85" s="2279"/>
      <c r="J85" s="2278"/>
      <c r="K85" s="2278"/>
      <c r="L85" s="2279"/>
      <c r="M85" s="2278"/>
      <c r="N85" s="2278"/>
      <c r="O85" s="2279"/>
      <c r="P85" s="2278"/>
      <c r="Q85" s="2278"/>
      <c r="R85" s="2280"/>
    </row>
    <row r="86" spans="2:18" s="2250" customFormat="1">
      <c r="B86" s="2278"/>
      <c r="C86" s="2278"/>
      <c r="D86" s="2278"/>
      <c r="E86" s="2278"/>
      <c r="F86" s="2278"/>
      <c r="G86" s="2279"/>
      <c r="H86" s="2278"/>
      <c r="I86" s="2279"/>
      <c r="J86" s="2278"/>
      <c r="K86" s="2278"/>
      <c r="L86" s="2279"/>
      <c r="M86" s="2278"/>
      <c r="N86" s="2278"/>
      <c r="O86" s="2279"/>
      <c r="P86" s="2278"/>
      <c r="Q86" s="2278"/>
      <c r="R86" s="2280"/>
    </row>
    <row r="87" spans="2:18" s="2250" customFormat="1">
      <c r="B87" s="2278"/>
      <c r="C87" s="2278"/>
      <c r="D87" s="2278"/>
      <c r="E87" s="2278"/>
      <c r="F87" s="2278"/>
      <c r="G87" s="2279"/>
      <c r="H87" s="2278"/>
      <c r="I87" s="2279"/>
      <c r="J87" s="2278"/>
      <c r="K87" s="2278"/>
      <c r="L87" s="2279"/>
      <c r="M87" s="2278"/>
      <c r="N87" s="2278"/>
      <c r="O87" s="2279"/>
      <c r="P87" s="2278"/>
      <c r="Q87" s="2278"/>
      <c r="R87" s="2280"/>
    </row>
    <row r="88" spans="2:18" s="2250" customFormat="1">
      <c r="B88" s="2278"/>
      <c r="C88" s="2278"/>
      <c r="D88" s="2278"/>
      <c r="E88" s="2278"/>
      <c r="F88" s="2278"/>
      <c r="G88" s="2279"/>
      <c r="H88" s="2278"/>
      <c r="I88" s="2279"/>
      <c r="J88" s="2278"/>
      <c r="K88" s="2278"/>
      <c r="L88" s="2279"/>
      <c r="M88" s="2278"/>
      <c r="N88" s="2278"/>
      <c r="O88" s="2279"/>
      <c r="P88" s="2278"/>
      <c r="Q88" s="2278"/>
      <c r="R88" s="2280"/>
    </row>
    <row r="89" spans="2:18" s="2250" customFormat="1">
      <c r="B89" s="2278"/>
      <c r="C89" s="2278"/>
      <c r="D89" s="2278"/>
      <c r="E89" s="2278"/>
      <c r="F89" s="2278"/>
      <c r="G89" s="2279"/>
      <c r="H89" s="2278"/>
      <c r="I89" s="2279"/>
      <c r="J89" s="2278"/>
      <c r="K89" s="2278"/>
      <c r="L89" s="2279"/>
      <c r="M89" s="2278"/>
      <c r="N89" s="2278"/>
      <c r="O89" s="2279"/>
      <c r="P89" s="2278"/>
      <c r="Q89" s="2278"/>
      <c r="R89" s="2280"/>
    </row>
    <row r="90" spans="2:18" s="2250" customFormat="1">
      <c r="B90" s="2278"/>
      <c r="C90" s="2278"/>
      <c r="D90" s="2278"/>
      <c r="E90" s="2278"/>
      <c r="F90" s="2278"/>
      <c r="G90" s="2279"/>
      <c r="H90" s="2278"/>
      <c r="I90" s="2279"/>
      <c r="J90" s="2278"/>
      <c r="K90" s="2278"/>
      <c r="L90" s="2279"/>
      <c r="M90" s="2278"/>
      <c r="N90" s="2278"/>
      <c r="O90" s="2279"/>
      <c r="P90" s="2278"/>
      <c r="Q90" s="2278"/>
      <c r="R90" s="2280"/>
    </row>
    <row r="91" spans="2:18" s="2250" customFormat="1">
      <c r="B91" s="2278"/>
      <c r="C91" s="2278"/>
      <c r="D91" s="2278"/>
      <c r="E91" s="2278"/>
      <c r="F91" s="2278"/>
      <c r="G91" s="2279"/>
      <c r="H91" s="2278"/>
      <c r="I91" s="2279"/>
      <c r="J91" s="2278"/>
      <c r="K91" s="2278"/>
      <c r="L91" s="2279"/>
      <c r="M91" s="2278"/>
      <c r="N91" s="2278"/>
      <c r="O91" s="2279"/>
      <c r="P91" s="2278"/>
      <c r="Q91" s="2278"/>
      <c r="R91" s="2280"/>
    </row>
    <row r="92" spans="2:18" s="2250" customFormat="1">
      <c r="B92" s="2278"/>
      <c r="C92" s="2278"/>
      <c r="D92" s="2278"/>
      <c r="E92" s="2278"/>
      <c r="F92" s="2278"/>
      <c r="G92" s="2279"/>
      <c r="H92" s="2278"/>
      <c r="I92" s="2279"/>
      <c r="J92" s="2278"/>
      <c r="K92" s="2278"/>
      <c r="L92" s="2279"/>
      <c r="M92" s="2278"/>
      <c r="N92" s="2278"/>
      <c r="O92" s="2279"/>
      <c r="P92" s="2278"/>
      <c r="Q92" s="2278"/>
      <c r="R92" s="2280"/>
    </row>
    <row r="93" spans="2:18" s="2250" customFormat="1">
      <c r="B93" s="2278"/>
      <c r="C93" s="2278"/>
      <c r="D93" s="2278"/>
      <c r="E93" s="2278"/>
      <c r="F93" s="2278"/>
      <c r="G93" s="2279"/>
      <c r="H93" s="2278"/>
      <c r="I93" s="2279"/>
      <c r="J93" s="2278"/>
      <c r="K93" s="2278"/>
      <c r="L93" s="2279"/>
      <c r="M93" s="2278"/>
      <c r="N93" s="2278"/>
      <c r="O93" s="2279"/>
      <c r="P93" s="2278"/>
      <c r="Q93" s="2278"/>
      <c r="R93" s="2280"/>
    </row>
    <row r="94" spans="2:18" s="2250" customFormat="1">
      <c r="B94" s="2278"/>
      <c r="C94" s="2278"/>
      <c r="D94" s="2278"/>
      <c r="E94" s="2278"/>
      <c r="F94" s="2278"/>
      <c r="G94" s="2279"/>
      <c r="H94" s="2278"/>
      <c r="I94" s="2279"/>
      <c r="J94" s="2278"/>
      <c r="K94" s="2278"/>
      <c r="L94" s="2279"/>
      <c r="M94" s="2278"/>
      <c r="N94" s="2278"/>
      <c r="O94" s="2279"/>
      <c r="P94" s="2278"/>
      <c r="Q94" s="2278"/>
      <c r="R94" s="2280"/>
    </row>
    <row r="95" spans="2:18" s="2250" customFormat="1">
      <c r="B95" s="2278"/>
      <c r="C95" s="2278"/>
      <c r="D95" s="2278"/>
      <c r="E95" s="2278"/>
      <c r="F95" s="2278"/>
      <c r="G95" s="2279"/>
      <c r="H95" s="2278"/>
      <c r="I95" s="2279"/>
      <c r="J95" s="2278"/>
      <c r="K95" s="2278"/>
      <c r="L95" s="2279"/>
      <c r="M95" s="2278"/>
      <c r="N95" s="2278"/>
      <c r="O95" s="2279"/>
      <c r="P95" s="2278"/>
      <c r="Q95" s="2278"/>
      <c r="R95" s="2280"/>
    </row>
    <row r="96" spans="2:18" s="2250" customFormat="1">
      <c r="B96" s="2278"/>
      <c r="C96" s="2278"/>
      <c r="D96" s="2278"/>
      <c r="E96" s="2278"/>
      <c r="F96" s="2278"/>
      <c r="G96" s="2279"/>
      <c r="H96" s="2278"/>
      <c r="I96" s="2279"/>
      <c r="J96" s="2278"/>
      <c r="K96" s="2278"/>
      <c r="L96" s="2279"/>
      <c r="M96" s="2278"/>
      <c r="N96" s="2278"/>
      <c r="O96" s="2279"/>
      <c r="P96" s="2278"/>
      <c r="Q96" s="2278"/>
      <c r="R96" s="2280"/>
    </row>
    <row r="97" spans="2:18" s="2250" customFormat="1">
      <c r="B97" s="2278"/>
      <c r="C97" s="2278"/>
      <c r="D97" s="2278"/>
      <c r="E97" s="2278"/>
      <c r="F97" s="2278"/>
      <c r="G97" s="2279"/>
      <c r="H97" s="2278"/>
      <c r="I97" s="2279"/>
      <c r="J97" s="2278"/>
      <c r="K97" s="2278"/>
      <c r="L97" s="2279"/>
      <c r="M97" s="2278"/>
      <c r="N97" s="2278"/>
      <c r="O97" s="2279"/>
      <c r="P97" s="2278"/>
      <c r="Q97" s="2278"/>
      <c r="R97" s="2280"/>
    </row>
    <row r="98" spans="2:18" s="2250" customFormat="1">
      <c r="B98" s="2278"/>
      <c r="C98" s="2278"/>
      <c r="D98" s="2278"/>
      <c r="E98" s="2278"/>
      <c r="F98" s="2278"/>
      <c r="G98" s="2279"/>
      <c r="H98" s="2278"/>
      <c r="I98" s="2279"/>
      <c r="J98" s="2278"/>
      <c r="K98" s="2278"/>
      <c r="L98" s="2279"/>
      <c r="M98" s="2278"/>
      <c r="N98" s="2278"/>
      <c r="O98" s="2279"/>
      <c r="P98" s="2278"/>
      <c r="Q98" s="2278"/>
      <c r="R98" s="2280"/>
    </row>
    <row r="99" spans="2:18" s="2250" customFormat="1">
      <c r="B99" s="2278"/>
      <c r="C99" s="2278"/>
      <c r="D99" s="2278"/>
      <c r="E99" s="2278"/>
      <c r="F99" s="2278"/>
      <c r="G99" s="2279"/>
      <c r="H99" s="2278"/>
      <c r="I99" s="2279"/>
      <c r="J99" s="2278"/>
      <c r="K99" s="2278"/>
      <c r="L99" s="2279"/>
      <c r="M99" s="2278"/>
      <c r="N99" s="2278"/>
      <c r="O99" s="2279"/>
      <c r="P99" s="2278"/>
      <c r="Q99" s="2278"/>
      <c r="R99" s="2280"/>
    </row>
    <row r="100" spans="2:18" s="2250" customFormat="1">
      <c r="B100" s="2278"/>
      <c r="C100" s="2278"/>
      <c r="D100" s="2278"/>
      <c r="E100" s="2278"/>
      <c r="F100" s="2278"/>
      <c r="G100" s="2279"/>
      <c r="H100" s="2278"/>
      <c r="I100" s="2279"/>
      <c r="J100" s="2278"/>
      <c r="K100" s="2278"/>
      <c r="L100" s="2279"/>
      <c r="M100" s="2278"/>
      <c r="N100" s="2278"/>
      <c r="O100" s="2279"/>
      <c r="P100" s="2278"/>
      <c r="Q100" s="2278"/>
      <c r="R100" s="2280"/>
    </row>
    <row r="101" spans="2:18" s="2250" customFormat="1">
      <c r="B101" s="2278"/>
      <c r="C101" s="2278"/>
      <c r="D101" s="2278"/>
      <c r="E101" s="2278"/>
      <c r="F101" s="2278"/>
      <c r="G101" s="2279"/>
      <c r="H101" s="2278"/>
      <c r="I101" s="2279"/>
      <c r="J101" s="2278"/>
      <c r="K101" s="2278"/>
      <c r="L101" s="2279"/>
      <c r="M101" s="2278"/>
      <c r="N101" s="2278"/>
      <c r="O101" s="2279"/>
      <c r="P101" s="2278"/>
      <c r="Q101" s="2278"/>
      <c r="R101" s="2280"/>
    </row>
    <row r="102" spans="2:18" s="2250" customFormat="1">
      <c r="B102" s="2278"/>
      <c r="C102" s="2278"/>
      <c r="D102" s="2278"/>
      <c r="E102" s="2278"/>
      <c r="F102" s="2278"/>
      <c r="G102" s="2279"/>
      <c r="H102" s="2278"/>
      <c r="I102" s="2279"/>
      <c r="J102" s="2278"/>
      <c r="K102" s="2278"/>
      <c r="L102" s="2279"/>
      <c r="M102" s="2278"/>
      <c r="N102" s="2278"/>
      <c r="O102" s="2279"/>
      <c r="P102" s="2278"/>
      <c r="Q102" s="2278"/>
      <c r="R102" s="2280"/>
    </row>
    <row r="103" spans="2:18" s="2250" customFormat="1">
      <c r="B103" s="2278"/>
      <c r="C103" s="2278"/>
      <c r="D103" s="2278"/>
      <c r="E103" s="2278"/>
      <c r="F103" s="2278"/>
      <c r="G103" s="2279"/>
      <c r="H103" s="2278"/>
      <c r="I103" s="2279"/>
      <c r="J103" s="2278"/>
      <c r="K103" s="2278"/>
      <c r="L103" s="2279"/>
      <c r="M103" s="2278"/>
      <c r="N103" s="2278"/>
      <c r="O103" s="2279"/>
      <c r="P103" s="2278"/>
      <c r="Q103" s="2278"/>
      <c r="R103" s="2280"/>
    </row>
    <row r="104" spans="2:18" s="2250" customFormat="1">
      <c r="B104" s="2278"/>
      <c r="C104" s="2278"/>
      <c r="D104" s="2278"/>
      <c r="E104" s="2278"/>
      <c r="F104" s="2278"/>
      <c r="G104" s="2279"/>
      <c r="H104" s="2278"/>
      <c r="I104" s="2279"/>
      <c r="J104" s="2278"/>
      <c r="K104" s="2278"/>
      <c r="L104" s="2279"/>
      <c r="M104" s="2278"/>
      <c r="N104" s="2278"/>
      <c r="O104" s="2279"/>
      <c r="P104" s="2278"/>
      <c r="Q104" s="2278"/>
      <c r="R104" s="2280"/>
    </row>
    <row r="105" spans="2:18" s="2250" customFormat="1">
      <c r="B105" s="2278"/>
      <c r="C105" s="2278"/>
      <c r="D105" s="2278"/>
      <c r="E105" s="2278"/>
      <c r="F105" s="2278"/>
      <c r="G105" s="2279"/>
      <c r="H105" s="2278"/>
      <c r="I105" s="2279"/>
      <c r="J105" s="2278"/>
      <c r="K105" s="2278"/>
      <c r="L105" s="2279"/>
      <c r="M105" s="2278"/>
      <c r="N105" s="2278"/>
      <c r="O105" s="2279"/>
      <c r="P105" s="2278"/>
      <c r="Q105" s="2278"/>
      <c r="R105" s="2280"/>
    </row>
    <row r="106" spans="2:18" s="2250" customFormat="1">
      <c r="B106" s="2278"/>
      <c r="C106" s="2278"/>
      <c r="D106" s="2278"/>
      <c r="E106" s="2278"/>
      <c r="F106" s="2278"/>
      <c r="G106" s="2279"/>
      <c r="H106" s="2278"/>
      <c r="I106" s="2279"/>
      <c r="J106" s="2278"/>
      <c r="K106" s="2278"/>
      <c r="L106" s="2279"/>
      <c r="M106" s="2278"/>
      <c r="N106" s="2278"/>
      <c r="O106" s="2279"/>
      <c r="P106" s="2278"/>
      <c r="Q106" s="2278"/>
      <c r="R106" s="2280"/>
    </row>
    <row r="107" spans="2:18" s="2250" customFormat="1">
      <c r="B107" s="2278"/>
      <c r="C107" s="2278"/>
      <c r="D107" s="2278"/>
      <c r="E107" s="2278"/>
      <c r="F107" s="2278"/>
      <c r="G107" s="2279"/>
      <c r="H107" s="2278"/>
      <c r="I107" s="2279"/>
      <c r="J107" s="2278"/>
      <c r="K107" s="2278"/>
      <c r="L107" s="2279"/>
      <c r="M107" s="2278"/>
      <c r="N107" s="2278"/>
      <c r="O107" s="2279"/>
      <c r="P107" s="2278"/>
      <c r="Q107" s="2278"/>
      <c r="R107" s="2280"/>
    </row>
    <row r="108" spans="2:18" s="2250" customFormat="1">
      <c r="B108" s="2278"/>
      <c r="C108" s="2278"/>
      <c r="D108" s="2278"/>
      <c r="E108" s="2278"/>
      <c r="F108" s="2278"/>
      <c r="G108" s="2279"/>
      <c r="H108" s="2278"/>
      <c r="I108" s="2279"/>
      <c r="J108" s="2278"/>
      <c r="K108" s="2278"/>
      <c r="L108" s="2279"/>
      <c r="M108" s="2278"/>
      <c r="N108" s="2278"/>
      <c r="O108" s="2279"/>
      <c r="P108" s="2278"/>
      <c r="Q108" s="2278"/>
      <c r="R108" s="2280"/>
    </row>
    <row r="109" spans="2:18" s="2250" customFormat="1">
      <c r="B109" s="2278"/>
      <c r="C109" s="2278"/>
      <c r="D109" s="2278"/>
      <c r="E109" s="2278"/>
      <c r="F109" s="2278"/>
      <c r="G109" s="2279"/>
      <c r="H109" s="2278"/>
      <c r="I109" s="2279"/>
      <c r="J109" s="2278"/>
      <c r="K109" s="2278"/>
      <c r="L109" s="2279"/>
      <c r="M109" s="2278"/>
      <c r="N109" s="2278"/>
      <c r="O109" s="2279"/>
      <c r="P109" s="2278"/>
      <c r="Q109" s="2278"/>
      <c r="R109" s="2280"/>
    </row>
    <row r="110" spans="2:18" s="2250" customFormat="1">
      <c r="B110" s="2278"/>
      <c r="C110" s="2278"/>
      <c r="D110" s="2278"/>
      <c r="E110" s="2278"/>
      <c r="F110" s="2278"/>
      <c r="G110" s="2279"/>
      <c r="H110" s="2278"/>
      <c r="I110" s="2279"/>
      <c r="J110" s="2278"/>
      <c r="K110" s="2278"/>
      <c r="L110" s="2279"/>
      <c r="M110" s="2278"/>
      <c r="N110" s="2278"/>
      <c r="O110" s="2279"/>
      <c r="P110" s="2278"/>
      <c r="Q110" s="2278"/>
      <c r="R110" s="2280"/>
    </row>
    <row r="111" spans="2:18" s="2250" customFormat="1">
      <c r="B111" s="2278"/>
      <c r="C111" s="2278"/>
      <c r="D111" s="2278"/>
      <c r="E111" s="2278"/>
      <c r="F111" s="2278"/>
      <c r="G111" s="2279"/>
      <c r="H111" s="2278"/>
      <c r="I111" s="2279"/>
      <c r="J111" s="2278"/>
      <c r="K111" s="2278"/>
      <c r="L111" s="2279"/>
      <c r="M111" s="2278"/>
      <c r="N111" s="2278"/>
      <c r="O111" s="2279"/>
      <c r="P111" s="2278"/>
      <c r="Q111" s="2278"/>
      <c r="R111" s="2280"/>
    </row>
    <row r="112" spans="2:18" s="2250" customFormat="1">
      <c r="B112" s="2278"/>
      <c r="C112" s="2278"/>
      <c r="D112" s="2278"/>
      <c r="E112" s="2278"/>
      <c r="F112" s="2278"/>
      <c r="G112" s="2279"/>
      <c r="H112" s="2278"/>
      <c r="I112" s="2279"/>
      <c r="J112" s="2278"/>
      <c r="K112" s="2278"/>
      <c r="L112" s="2279"/>
      <c r="M112" s="2278"/>
      <c r="N112" s="2278"/>
      <c r="O112" s="2279"/>
      <c r="P112" s="2278"/>
      <c r="Q112" s="2278"/>
      <c r="R112" s="2280"/>
    </row>
    <row r="113" spans="2:18" s="2250" customFormat="1">
      <c r="B113" s="2278"/>
      <c r="C113" s="2278"/>
      <c r="D113" s="2278"/>
      <c r="E113" s="2278"/>
      <c r="F113" s="2278"/>
      <c r="G113" s="2279"/>
      <c r="H113" s="2278"/>
      <c r="I113" s="2279"/>
      <c r="J113" s="2278"/>
      <c r="K113" s="2278"/>
      <c r="L113" s="2279"/>
      <c r="M113" s="2278"/>
      <c r="N113" s="2278"/>
      <c r="O113" s="2279"/>
      <c r="P113" s="2278"/>
      <c r="Q113" s="2278"/>
      <c r="R113" s="2280"/>
    </row>
    <row r="114" spans="2:18" s="2250" customFormat="1">
      <c r="B114" s="2278"/>
      <c r="C114" s="2278"/>
      <c r="D114" s="2278"/>
      <c r="E114" s="2278"/>
      <c r="F114" s="2278"/>
      <c r="G114" s="2279"/>
      <c r="H114" s="2278"/>
      <c r="I114" s="2279"/>
      <c r="J114" s="2278"/>
      <c r="K114" s="2278"/>
      <c r="L114" s="2279"/>
      <c r="M114" s="2278"/>
      <c r="N114" s="2278"/>
      <c r="O114" s="2279"/>
      <c r="P114" s="2278"/>
      <c r="Q114" s="2278"/>
      <c r="R114" s="2280"/>
    </row>
    <row r="115" spans="2:18" s="2250" customFormat="1">
      <c r="B115" s="2278"/>
      <c r="C115" s="2278"/>
      <c r="D115" s="2278"/>
      <c r="E115" s="2278"/>
      <c r="F115" s="2278"/>
      <c r="G115" s="2279"/>
      <c r="H115" s="2278"/>
      <c r="I115" s="2279"/>
      <c r="J115" s="2278"/>
      <c r="K115" s="2278"/>
      <c r="L115" s="2279"/>
      <c r="M115" s="2278"/>
      <c r="N115" s="2278"/>
      <c r="O115" s="2279"/>
      <c r="P115" s="2278"/>
      <c r="Q115" s="2278"/>
      <c r="R115" s="2280"/>
    </row>
    <row r="116" spans="2:18" s="2250" customFormat="1">
      <c r="B116" s="2278"/>
      <c r="C116" s="2278"/>
      <c r="D116" s="2278"/>
      <c r="E116" s="2278"/>
      <c r="F116" s="2278"/>
      <c r="G116" s="2279"/>
      <c r="H116" s="2278"/>
      <c r="I116" s="2279"/>
      <c r="J116" s="2278"/>
      <c r="K116" s="2278"/>
      <c r="L116" s="2279"/>
      <c r="M116" s="2278"/>
      <c r="N116" s="2278"/>
      <c r="O116" s="2279"/>
      <c r="P116" s="2278"/>
      <c r="Q116" s="2278"/>
      <c r="R116" s="2280"/>
    </row>
    <row r="117" spans="2:18" s="2250" customFormat="1">
      <c r="B117" s="2278"/>
      <c r="C117" s="2278"/>
      <c r="D117" s="2278"/>
      <c r="E117" s="2278"/>
      <c r="F117" s="2278"/>
      <c r="G117" s="2279"/>
      <c r="H117" s="2278"/>
      <c r="I117" s="2279"/>
      <c r="J117" s="2278"/>
      <c r="K117" s="2278"/>
      <c r="L117" s="2279"/>
      <c r="M117" s="2278"/>
      <c r="N117" s="2278"/>
      <c r="O117" s="2279"/>
      <c r="P117" s="2278"/>
      <c r="Q117" s="2278"/>
      <c r="R117" s="2280"/>
    </row>
    <row r="118" spans="2:18" s="2250" customFormat="1">
      <c r="B118" s="2278"/>
      <c r="C118" s="2278"/>
      <c r="D118" s="2278"/>
      <c r="E118" s="2278"/>
      <c r="F118" s="2278"/>
      <c r="G118" s="2279"/>
      <c r="H118" s="2278"/>
      <c r="I118" s="2279"/>
      <c r="J118" s="2278"/>
      <c r="K118" s="2278"/>
      <c r="L118" s="2279"/>
      <c r="M118" s="2278"/>
      <c r="N118" s="2278"/>
      <c r="O118" s="2279"/>
      <c r="P118" s="2278"/>
      <c r="Q118" s="2278"/>
      <c r="R118" s="2280"/>
    </row>
    <row r="119" spans="2:18" s="2250" customFormat="1">
      <c r="B119" s="2278"/>
      <c r="C119" s="2278"/>
      <c r="D119" s="2278"/>
      <c r="E119" s="2278"/>
      <c r="F119" s="2278"/>
      <c r="G119" s="2279"/>
      <c r="H119" s="2278"/>
      <c r="I119" s="2279"/>
      <c r="J119" s="2278"/>
      <c r="K119" s="2278"/>
      <c r="L119" s="2279"/>
      <c r="M119" s="2278"/>
      <c r="N119" s="2278"/>
      <c r="O119" s="2279"/>
      <c r="P119" s="2278"/>
      <c r="Q119" s="2278"/>
      <c r="R119" s="2280"/>
    </row>
    <row r="120" spans="2:18" s="2250" customFormat="1">
      <c r="B120" s="2278"/>
      <c r="C120" s="2278"/>
      <c r="D120" s="2278"/>
      <c r="E120" s="2278"/>
      <c r="F120" s="2278"/>
      <c r="G120" s="2279"/>
      <c r="H120" s="2278"/>
      <c r="I120" s="2279"/>
      <c r="J120" s="2278"/>
      <c r="K120" s="2278"/>
      <c r="L120" s="2279"/>
      <c r="M120" s="2278"/>
      <c r="N120" s="2278"/>
      <c r="O120" s="2279"/>
      <c r="P120" s="2278"/>
      <c r="Q120" s="2278"/>
      <c r="R120" s="2280"/>
    </row>
    <row r="121" spans="2:18" s="2250" customFormat="1">
      <c r="B121" s="2278"/>
      <c r="C121" s="2278"/>
      <c r="D121" s="2278"/>
      <c r="E121" s="2278"/>
      <c r="F121" s="2278"/>
      <c r="G121" s="2279"/>
      <c r="H121" s="2278"/>
      <c r="I121" s="2279"/>
      <c r="J121" s="2278"/>
      <c r="K121" s="2278"/>
      <c r="L121" s="2279"/>
      <c r="M121" s="2278"/>
      <c r="N121" s="2278"/>
      <c r="O121" s="2279"/>
      <c r="P121" s="2278"/>
      <c r="Q121" s="2278"/>
      <c r="R121" s="2280"/>
    </row>
    <row r="122" spans="2:18" s="2250" customFormat="1">
      <c r="B122" s="2278"/>
      <c r="C122" s="2278"/>
      <c r="D122" s="2278"/>
      <c r="E122" s="2278"/>
      <c r="F122" s="2278"/>
      <c r="G122" s="2279"/>
      <c r="H122" s="2278"/>
      <c r="I122" s="2279"/>
      <c r="J122" s="2278"/>
      <c r="K122" s="2278"/>
      <c r="L122" s="2279"/>
      <c r="M122" s="2278"/>
      <c r="N122" s="2278"/>
      <c r="O122" s="2279"/>
      <c r="P122" s="2278"/>
      <c r="Q122" s="2278"/>
      <c r="R122" s="2280"/>
    </row>
    <row r="123" spans="2:18" s="2250" customFormat="1">
      <c r="B123" s="2278"/>
      <c r="C123" s="2278"/>
      <c r="D123" s="2278"/>
      <c r="E123" s="2278"/>
      <c r="F123" s="2278"/>
      <c r="G123" s="2279"/>
      <c r="H123" s="2278"/>
      <c r="I123" s="2279"/>
      <c r="J123" s="2278"/>
      <c r="K123" s="2278"/>
      <c r="L123" s="2279"/>
      <c r="M123" s="2278"/>
      <c r="N123" s="2278"/>
      <c r="O123" s="2279"/>
      <c r="P123" s="2278"/>
      <c r="Q123" s="2278"/>
      <c r="R123" s="2280"/>
    </row>
    <row r="124" spans="2:18" s="2250" customFormat="1">
      <c r="B124" s="2278"/>
      <c r="C124" s="2278"/>
      <c r="D124" s="2278"/>
      <c r="E124" s="2278"/>
      <c r="F124" s="2278"/>
      <c r="G124" s="2279"/>
      <c r="H124" s="2278"/>
      <c r="I124" s="2279"/>
      <c r="J124" s="2278"/>
      <c r="K124" s="2278"/>
      <c r="L124" s="2279"/>
      <c r="M124" s="2278"/>
      <c r="N124" s="2278"/>
      <c r="O124" s="2279"/>
      <c r="P124" s="2278"/>
      <c r="Q124" s="2278"/>
      <c r="R124" s="2280"/>
    </row>
    <row r="125" spans="2:18" s="2250" customFormat="1">
      <c r="B125" s="2278"/>
      <c r="C125" s="2278"/>
      <c r="D125" s="2278"/>
      <c r="E125" s="2278"/>
      <c r="F125" s="2278"/>
      <c r="G125" s="2279"/>
      <c r="H125" s="2278"/>
      <c r="I125" s="2279"/>
      <c r="J125" s="2278"/>
      <c r="K125" s="2278"/>
      <c r="L125" s="2279"/>
      <c r="M125" s="2278"/>
      <c r="N125" s="2278"/>
      <c r="O125" s="2279"/>
      <c r="P125" s="2278"/>
      <c r="Q125" s="2278"/>
      <c r="R125" s="2280"/>
    </row>
    <row r="126" spans="2:18" s="2250" customFormat="1">
      <c r="B126" s="2278"/>
      <c r="C126" s="2278"/>
      <c r="D126" s="2278"/>
      <c r="E126" s="2278"/>
      <c r="F126" s="2278"/>
      <c r="G126" s="2279"/>
      <c r="H126" s="2278"/>
      <c r="I126" s="2279"/>
      <c r="J126" s="2278"/>
      <c r="K126" s="2278"/>
      <c r="L126" s="2279"/>
      <c r="M126" s="2278"/>
      <c r="N126" s="2278"/>
      <c r="O126" s="2279"/>
      <c r="P126" s="2278"/>
      <c r="Q126" s="2278"/>
      <c r="R126" s="2280"/>
    </row>
    <row r="127" spans="2:18" s="2250" customFormat="1">
      <c r="B127" s="2278"/>
      <c r="C127" s="2278"/>
      <c r="D127" s="2278"/>
      <c r="E127" s="2278"/>
      <c r="F127" s="2278"/>
      <c r="G127" s="2279"/>
      <c r="H127" s="2278"/>
      <c r="I127" s="2279"/>
      <c r="J127" s="2278"/>
      <c r="K127" s="2278"/>
      <c r="L127" s="2279"/>
      <c r="M127" s="2278"/>
      <c r="N127" s="2278"/>
      <c r="O127" s="2279"/>
      <c r="P127" s="2278"/>
      <c r="Q127" s="2278"/>
      <c r="R127" s="2280"/>
    </row>
    <row r="128" spans="2:18" s="2250" customFormat="1">
      <c r="B128" s="2278"/>
      <c r="C128" s="2278"/>
      <c r="D128" s="2278"/>
      <c r="E128" s="2278"/>
      <c r="F128" s="2278"/>
      <c r="G128" s="2279"/>
      <c r="H128" s="2278"/>
      <c r="I128" s="2279"/>
      <c r="J128" s="2278"/>
      <c r="K128" s="2278"/>
      <c r="L128" s="2279"/>
      <c r="M128" s="2278"/>
      <c r="N128" s="2278"/>
      <c r="O128" s="2279"/>
      <c r="P128" s="2278"/>
      <c r="Q128" s="2278"/>
      <c r="R128" s="2280"/>
    </row>
    <row r="129" spans="2:18" s="2250" customFormat="1">
      <c r="B129" s="2278"/>
      <c r="C129" s="2278"/>
      <c r="D129" s="2278"/>
      <c r="E129" s="2278"/>
      <c r="F129" s="2278"/>
      <c r="G129" s="2279"/>
      <c r="H129" s="2278"/>
      <c r="I129" s="2279"/>
      <c r="J129" s="2278"/>
      <c r="K129" s="2278"/>
      <c r="L129" s="2279"/>
      <c r="M129" s="2278"/>
      <c r="N129" s="2278"/>
      <c r="O129" s="2279"/>
      <c r="P129" s="2278"/>
      <c r="Q129" s="2278"/>
      <c r="R129" s="2280"/>
    </row>
    <row r="130" spans="2:18" s="2250" customFormat="1">
      <c r="B130" s="2278"/>
      <c r="C130" s="2278"/>
      <c r="D130" s="2278"/>
      <c r="E130" s="2278"/>
      <c r="F130" s="2278"/>
      <c r="G130" s="2279"/>
      <c r="H130" s="2278"/>
      <c r="I130" s="2279"/>
      <c r="J130" s="2278"/>
      <c r="K130" s="2278"/>
      <c r="L130" s="2279"/>
      <c r="M130" s="2278"/>
      <c r="N130" s="2278"/>
      <c r="O130" s="2279"/>
      <c r="P130" s="2278"/>
      <c r="Q130" s="2278"/>
      <c r="R130" s="2280"/>
    </row>
    <row r="131" spans="2:18" s="2250" customFormat="1">
      <c r="B131" s="2278"/>
      <c r="C131" s="2278"/>
      <c r="D131" s="2278"/>
      <c r="E131" s="2278"/>
      <c r="F131" s="2278"/>
      <c r="G131" s="2279"/>
      <c r="H131" s="2278"/>
      <c r="I131" s="2279"/>
      <c r="J131" s="2278"/>
      <c r="K131" s="2278"/>
      <c r="L131" s="2279"/>
      <c r="M131" s="2278"/>
      <c r="N131" s="2278"/>
      <c r="O131" s="2279"/>
      <c r="P131" s="2278"/>
      <c r="Q131" s="2278"/>
      <c r="R131" s="2280"/>
    </row>
    <row r="132" spans="2:18" s="2250" customFormat="1">
      <c r="B132" s="2278"/>
      <c r="C132" s="2278"/>
      <c r="D132" s="2278"/>
      <c r="E132" s="2278"/>
      <c r="F132" s="2278"/>
      <c r="G132" s="2279"/>
      <c r="H132" s="2278"/>
      <c r="I132" s="2279"/>
      <c r="J132" s="2278"/>
      <c r="K132" s="2278"/>
      <c r="L132" s="2279"/>
      <c r="M132" s="2278"/>
      <c r="N132" s="2278"/>
      <c r="O132" s="2279"/>
      <c r="P132" s="2278"/>
      <c r="Q132" s="2278"/>
      <c r="R132" s="2280"/>
    </row>
    <row r="133" spans="2:18" s="2250" customFormat="1">
      <c r="B133" s="2278"/>
      <c r="C133" s="2278"/>
      <c r="D133" s="2278"/>
      <c r="E133" s="2278"/>
      <c r="F133" s="2278"/>
      <c r="G133" s="2279"/>
      <c r="H133" s="2278"/>
      <c r="I133" s="2279"/>
      <c r="J133" s="2278"/>
      <c r="K133" s="2278"/>
      <c r="L133" s="2279"/>
      <c r="M133" s="2278"/>
      <c r="N133" s="2278"/>
      <c r="O133" s="2279"/>
      <c r="P133" s="2278"/>
      <c r="Q133" s="2278"/>
      <c r="R133" s="2280"/>
    </row>
    <row r="134" spans="2:18" s="2250" customFormat="1">
      <c r="B134" s="2278"/>
      <c r="C134" s="2278"/>
      <c r="D134" s="2278"/>
      <c r="E134" s="2278"/>
      <c r="F134" s="2278"/>
      <c r="G134" s="2279"/>
      <c r="H134" s="2278"/>
      <c r="I134" s="2279"/>
      <c r="J134" s="2278"/>
      <c r="K134" s="2278"/>
      <c r="L134" s="2279"/>
      <c r="M134" s="2278"/>
      <c r="N134" s="2278"/>
      <c r="O134" s="2279"/>
      <c r="P134" s="2278"/>
      <c r="Q134" s="2278"/>
      <c r="R134" s="2280"/>
    </row>
    <row r="135" spans="2:18" s="2250" customFormat="1">
      <c r="B135" s="2278"/>
      <c r="C135" s="2278"/>
      <c r="D135" s="2278"/>
      <c r="E135" s="2278"/>
      <c r="F135" s="2278"/>
      <c r="G135" s="2279"/>
      <c r="H135" s="2278"/>
      <c r="I135" s="2279"/>
      <c r="J135" s="2278"/>
      <c r="K135" s="2278"/>
      <c r="L135" s="2279"/>
      <c r="M135" s="2278"/>
      <c r="N135" s="2278"/>
      <c r="O135" s="2279"/>
      <c r="P135" s="2278"/>
      <c r="Q135" s="2278"/>
      <c r="R135" s="2280"/>
    </row>
    <row r="136" spans="2:18" s="2250" customFormat="1">
      <c r="B136" s="2278"/>
      <c r="C136" s="2278"/>
      <c r="D136" s="2278"/>
      <c r="E136" s="2278"/>
      <c r="F136" s="2278"/>
      <c r="G136" s="2279"/>
      <c r="H136" s="2278"/>
      <c r="I136" s="2279"/>
      <c r="J136" s="2278"/>
      <c r="K136" s="2278"/>
      <c r="L136" s="2279"/>
      <c r="M136" s="2278"/>
      <c r="N136" s="2278"/>
      <c r="O136" s="2279"/>
      <c r="P136" s="2278"/>
      <c r="Q136" s="2278"/>
      <c r="R136" s="2280"/>
    </row>
    <row r="137" spans="2:18" s="2250" customFormat="1">
      <c r="B137" s="2278"/>
      <c r="C137" s="2278"/>
      <c r="D137" s="2278"/>
      <c r="E137" s="2278"/>
      <c r="F137" s="2278"/>
      <c r="G137" s="2279"/>
      <c r="H137" s="2278"/>
      <c r="I137" s="2279"/>
      <c r="J137" s="2278"/>
      <c r="K137" s="2278"/>
      <c r="L137" s="2279"/>
      <c r="M137" s="2278"/>
      <c r="N137" s="2278"/>
      <c r="O137" s="2279"/>
      <c r="P137" s="2278"/>
      <c r="Q137" s="2278"/>
      <c r="R137" s="2280"/>
    </row>
    <row r="138" spans="2:18" s="2250" customFormat="1">
      <c r="B138" s="2278"/>
      <c r="C138" s="2278"/>
      <c r="D138" s="2278"/>
      <c r="E138" s="2278"/>
      <c r="F138" s="2278"/>
      <c r="G138" s="2279"/>
      <c r="H138" s="2278"/>
      <c r="I138" s="2279"/>
      <c r="J138" s="2278"/>
      <c r="K138" s="2278"/>
      <c r="L138" s="2279"/>
      <c r="M138" s="2278"/>
      <c r="N138" s="2278"/>
      <c r="O138" s="2279"/>
      <c r="P138" s="2278"/>
      <c r="Q138" s="2278"/>
      <c r="R138" s="2280"/>
    </row>
    <row r="139" spans="2:18" s="2250" customFormat="1">
      <c r="B139" s="2278"/>
      <c r="C139" s="2278"/>
      <c r="D139" s="2278"/>
      <c r="E139" s="2278"/>
      <c r="F139" s="2278"/>
      <c r="G139" s="2279"/>
      <c r="H139" s="2278"/>
      <c r="I139" s="2279"/>
      <c r="J139" s="2278"/>
      <c r="K139" s="2278"/>
      <c r="L139" s="2279"/>
      <c r="M139" s="2278"/>
      <c r="N139" s="2278"/>
      <c r="O139" s="2279"/>
      <c r="P139" s="2278"/>
      <c r="Q139" s="2278"/>
      <c r="R139" s="2280"/>
    </row>
    <row r="140" spans="2:18" s="2250" customFormat="1">
      <c r="B140" s="2278"/>
      <c r="C140" s="2278"/>
      <c r="D140" s="2278"/>
      <c r="E140" s="2278"/>
      <c r="F140" s="2278"/>
      <c r="G140" s="2279"/>
      <c r="H140" s="2278"/>
      <c r="I140" s="2279"/>
      <c r="J140" s="2278"/>
      <c r="K140" s="2278"/>
      <c r="L140" s="2279"/>
      <c r="M140" s="2278"/>
      <c r="N140" s="2278"/>
      <c r="O140" s="2279"/>
      <c r="P140" s="2278"/>
      <c r="Q140" s="2278"/>
      <c r="R140" s="2280"/>
    </row>
    <row r="141" spans="2:18" s="2250" customFormat="1">
      <c r="B141" s="2278"/>
      <c r="C141" s="2278"/>
      <c r="D141" s="2278"/>
      <c r="E141" s="2278"/>
      <c r="F141" s="2278"/>
      <c r="G141" s="2279"/>
      <c r="H141" s="2278"/>
      <c r="I141" s="2279"/>
      <c r="J141" s="2278"/>
      <c r="K141" s="2278"/>
      <c r="L141" s="2279"/>
      <c r="M141" s="2278"/>
      <c r="N141" s="2278"/>
      <c r="O141" s="2279"/>
      <c r="P141" s="2278"/>
      <c r="Q141" s="2278"/>
      <c r="R141" s="2280"/>
    </row>
    <row r="142" spans="2:18" s="2250" customFormat="1">
      <c r="B142" s="2278"/>
      <c r="C142" s="2278"/>
      <c r="D142" s="2278"/>
      <c r="E142" s="2278"/>
      <c r="F142" s="2278"/>
      <c r="G142" s="2279"/>
      <c r="H142" s="2278"/>
      <c r="I142" s="2279"/>
      <c r="J142" s="2278"/>
      <c r="K142" s="2278"/>
      <c r="L142" s="2279"/>
      <c r="M142" s="2278"/>
      <c r="N142" s="2278"/>
      <c r="O142" s="2279"/>
      <c r="P142" s="2278"/>
      <c r="Q142" s="2278"/>
      <c r="R142" s="2280"/>
    </row>
    <row r="143" spans="2:18" s="2250" customFormat="1">
      <c r="B143" s="2278"/>
      <c r="C143" s="2278"/>
      <c r="D143" s="2278"/>
      <c r="E143" s="2278"/>
      <c r="F143" s="2278"/>
      <c r="G143" s="2279"/>
      <c r="H143" s="2278"/>
      <c r="I143" s="2279"/>
      <c r="J143" s="2278"/>
      <c r="K143" s="2278"/>
      <c r="L143" s="2279"/>
      <c r="M143" s="2278"/>
      <c r="N143" s="2278"/>
      <c r="O143" s="2279"/>
      <c r="P143" s="2278"/>
      <c r="Q143" s="2278"/>
      <c r="R143" s="2280"/>
    </row>
    <row r="144" spans="2:18" s="2250" customFormat="1">
      <c r="B144" s="2278"/>
      <c r="C144" s="2278"/>
      <c r="D144" s="2278"/>
      <c r="E144" s="2278"/>
      <c r="F144" s="2278"/>
      <c r="G144" s="2279"/>
      <c r="H144" s="2278"/>
      <c r="I144" s="2279"/>
      <c r="J144" s="2278"/>
      <c r="K144" s="2278"/>
      <c r="L144" s="2279"/>
      <c r="M144" s="2278"/>
      <c r="N144" s="2278"/>
      <c r="O144" s="2279"/>
      <c r="P144" s="2278"/>
      <c r="Q144" s="2278"/>
      <c r="R144" s="2280"/>
    </row>
    <row r="145" spans="2:18" s="2250" customFormat="1">
      <c r="B145" s="2278"/>
      <c r="C145" s="2278"/>
      <c r="D145" s="2278"/>
      <c r="E145" s="2278"/>
      <c r="F145" s="2278"/>
      <c r="G145" s="2279"/>
      <c r="H145" s="2278"/>
      <c r="I145" s="2279"/>
      <c r="J145" s="2278"/>
      <c r="K145" s="2278"/>
      <c r="L145" s="2279"/>
      <c r="M145" s="2278"/>
      <c r="N145" s="2278"/>
      <c r="O145" s="2279"/>
      <c r="P145" s="2278"/>
      <c r="Q145" s="2278"/>
      <c r="R145" s="2280"/>
    </row>
    <row r="146" spans="2:18" s="2250" customFormat="1">
      <c r="B146" s="2278"/>
      <c r="C146" s="2278"/>
      <c r="D146" s="2278"/>
      <c r="E146" s="2278"/>
      <c r="F146" s="2278"/>
      <c r="G146" s="2279"/>
      <c r="H146" s="2278"/>
      <c r="I146" s="2279"/>
      <c r="J146" s="2278"/>
      <c r="K146" s="2278"/>
      <c r="L146" s="2279"/>
      <c r="M146" s="2278"/>
      <c r="N146" s="2278"/>
      <c r="O146" s="2279"/>
      <c r="P146" s="2278"/>
      <c r="Q146" s="2278"/>
      <c r="R146" s="2280"/>
    </row>
    <row r="147" spans="2:18" s="2250" customFormat="1">
      <c r="B147" s="2278"/>
      <c r="C147" s="2278"/>
      <c r="D147" s="2278"/>
      <c r="E147" s="2278"/>
      <c r="F147" s="2278"/>
      <c r="G147" s="2279"/>
      <c r="H147" s="2278"/>
      <c r="I147" s="2279"/>
      <c r="J147" s="2278"/>
      <c r="K147" s="2278"/>
      <c r="L147" s="2279"/>
      <c r="M147" s="2278"/>
      <c r="N147" s="2278"/>
      <c r="O147" s="2279"/>
      <c r="P147" s="2278"/>
      <c r="Q147" s="2278"/>
      <c r="R147" s="2280"/>
    </row>
    <row r="148" spans="2:18" s="2250" customFormat="1">
      <c r="B148" s="2278"/>
      <c r="C148" s="2278"/>
      <c r="D148" s="2278"/>
      <c r="E148" s="2278"/>
      <c r="F148" s="2278"/>
      <c r="G148" s="2279"/>
      <c r="H148" s="2278"/>
      <c r="I148" s="2279"/>
      <c r="J148" s="2278"/>
      <c r="K148" s="2278"/>
      <c r="L148" s="2279"/>
      <c r="M148" s="2278"/>
      <c r="N148" s="2278"/>
      <c r="O148" s="2279"/>
      <c r="P148" s="2278"/>
      <c r="Q148" s="2278"/>
      <c r="R148" s="2280"/>
    </row>
    <row r="149" spans="2:18" s="2250" customFormat="1">
      <c r="B149" s="2278"/>
      <c r="C149" s="2278"/>
      <c r="D149" s="2278"/>
      <c r="E149" s="2278"/>
      <c r="F149" s="2278"/>
      <c r="G149" s="2279"/>
      <c r="H149" s="2278"/>
      <c r="I149" s="2279"/>
      <c r="J149" s="2278"/>
      <c r="K149" s="2278"/>
      <c r="L149" s="2279"/>
      <c r="M149" s="2278"/>
      <c r="N149" s="2278"/>
      <c r="O149" s="2279"/>
      <c r="P149" s="2278"/>
      <c r="Q149" s="2278"/>
      <c r="R149" s="2280"/>
    </row>
    <row r="150" spans="2:18" s="2250" customFormat="1">
      <c r="B150" s="2278"/>
      <c r="C150" s="2278"/>
      <c r="D150" s="2278"/>
      <c r="E150" s="2278"/>
      <c r="F150" s="2278"/>
      <c r="G150" s="2279"/>
      <c r="H150" s="2278"/>
      <c r="I150" s="2279"/>
      <c r="J150" s="2278"/>
      <c r="K150" s="2278"/>
      <c r="L150" s="2279"/>
      <c r="M150" s="2278"/>
      <c r="N150" s="2278"/>
      <c r="O150" s="2279"/>
      <c r="P150" s="2278"/>
      <c r="Q150" s="2278"/>
      <c r="R150" s="2280"/>
    </row>
    <row r="151" spans="2:18" s="2250" customFormat="1">
      <c r="B151" s="2278"/>
      <c r="C151" s="2278"/>
      <c r="D151" s="2278"/>
      <c r="E151" s="2278"/>
      <c r="F151" s="2278"/>
      <c r="G151" s="2279"/>
      <c r="H151" s="2278"/>
      <c r="I151" s="2279"/>
      <c r="J151" s="2278"/>
      <c r="K151" s="2278"/>
      <c r="L151" s="2279"/>
      <c r="M151" s="2278"/>
      <c r="N151" s="2278"/>
      <c r="O151" s="2279"/>
      <c r="P151" s="2278"/>
      <c r="Q151" s="2278"/>
      <c r="R151" s="2280"/>
    </row>
    <row r="152" spans="2:18" s="2250" customFormat="1">
      <c r="B152" s="2278"/>
      <c r="C152" s="2278"/>
      <c r="D152" s="2278"/>
      <c r="E152" s="2278"/>
      <c r="F152" s="2278"/>
      <c r="G152" s="2279"/>
      <c r="H152" s="2278"/>
      <c r="I152" s="2279"/>
      <c r="J152" s="2278"/>
      <c r="K152" s="2278"/>
      <c r="L152" s="2279"/>
      <c r="M152" s="2278"/>
      <c r="N152" s="2278"/>
      <c r="O152" s="2279"/>
      <c r="P152" s="2278"/>
      <c r="Q152" s="2278"/>
      <c r="R152" s="2280"/>
    </row>
    <row r="153" spans="2:18" s="2250" customFormat="1">
      <c r="B153" s="2278"/>
      <c r="C153" s="2278"/>
      <c r="D153" s="2278"/>
      <c r="E153" s="2278"/>
      <c r="F153" s="2278"/>
      <c r="G153" s="2279"/>
      <c r="H153" s="2278"/>
      <c r="I153" s="2279"/>
      <c r="J153" s="2278"/>
      <c r="K153" s="2278"/>
      <c r="L153" s="2279"/>
      <c r="M153" s="2278"/>
      <c r="N153" s="2278"/>
      <c r="O153" s="2279"/>
      <c r="P153" s="2278"/>
      <c r="Q153" s="2278"/>
      <c r="R153" s="2280"/>
    </row>
    <row r="154" spans="2:18" s="2250" customFormat="1">
      <c r="B154" s="2278"/>
      <c r="C154" s="2278"/>
      <c r="D154" s="2278"/>
      <c r="E154" s="2278"/>
      <c r="F154" s="2278"/>
      <c r="G154" s="2279"/>
      <c r="H154" s="2278"/>
      <c r="I154" s="2279"/>
      <c r="J154" s="2278"/>
      <c r="K154" s="2278"/>
      <c r="L154" s="2279"/>
      <c r="M154" s="2278"/>
      <c r="N154" s="2278"/>
      <c r="O154" s="2279"/>
      <c r="P154" s="2278"/>
      <c r="Q154" s="2278"/>
      <c r="R154" s="2280"/>
    </row>
    <row r="155" spans="2:18" s="2250" customFormat="1">
      <c r="B155" s="2278"/>
      <c r="C155" s="2278"/>
      <c r="D155" s="2278"/>
      <c r="E155" s="2278"/>
      <c r="F155" s="2278"/>
      <c r="G155" s="2279"/>
      <c r="H155" s="2278"/>
      <c r="I155" s="2279"/>
      <c r="J155" s="2278"/>
      <c r="K155" s="2278"/>
      <c r="L155" s="2279"/>
      <c r="M155" s="2278"/>
      <c r="N155" s="2278"/>
      <c r="O155" s="2279"/>
      <c r="P155" s="2278"/>
      <c r="Q155" s="2278"/>
      <c r="R155" s="2280"/>
    </row>
    <row r="156" spans="2:18" s="2250" customFormat="1">
      <c r="B156" s="2278"/>
      <c r="C156" s="2278"/>
      <c r="D156" s="2278"/>
      <c r="E156" s="2278"/>
      <c r="F156" s="2278"/>
      <c r="G156" s="2279"/>
      <c r="H156" s="2278"/>
      <c r="I156" s="2279"/>
      <c r="J156" s="2278"/>
      <c r="K156" s="2278"/>
      <c r="L156" s="2279"/>
      <c r="M156" s="2278"/>
      <c r="N156" s="2278"/>
      <c r="O156" s="2279"/>
      <c r="P156" s="2278"/>
      <c r="Q156" s="2278"/>
      <c r="R156" s="2280"/>
    </row>
    <row r="157" spans="2:18" s="2250" customFormat="1">
      <c r="B157" s="2278"/>
      <c r="C157" s="2278"/>
      <c r="D157" s="2278"/>
      <c r="E157" s="2278"/>
      <c r="F157" s="2278"/>
      <c r="G157" s="2279"/>
      <c r="H157" s="2278"/>
      <c r="I157" s="2279"/>
      <c r="J157" s="2278"/>
      <c r="K157" s="2278"/>
      <c r="L157" s="2279"/>
      <c r="M157" s="2278"/>
      <c r="N157" s="2278"/>
      <c r="O157" s="2279"/>
      <c r="P157" s="2278"/>
      <c r="Q157" s="2278"/>
      <c r="R157" s="2280"/>
    </row>
    <row r="158" spans="2:18" s="2250" customFormat="1">
      <c r="B158" s="2278"/>
      <c r="C158" s="2278"/>
      <c r="D158" s="2278"/>
      <c r="E158" s="2278"/>
      <c r="F158" s="2278"/>
      <c r="G158" s="2279"/>
      <c r="H158" s="2278"/>
      <c r="I158" s="2279"/>
      <c r="J158" s="2278"/>
      <c r="K158" s="2278"/>
      <c r="L158" s="2279"/>
      <c r="M158" s="2278"/>
      <c r="N158" s="2278"/>
      <c r="O158" s="2279"/>
      <c r="P158" s="2278"/>
      <c r="Q158" s="2278"/>
      <c r="R158" s="2280"/>
    </row>
    <row r="159" spans="2:18" s="2250" customFormat="1">
      <c r="B159" s="2278"/>
      <c r="C159" s="2278"/>
      <c r="D159" s="2278"/>
      <c r="E159" s="2278"/>
      <c r="F159" s="2278"/>
      <c r="G159" s="2279"/>
      <c r="H159" s="2278"/>
      <c r="I159" s="2279"/>
      <c r="J159" s="2278"/>
      <c r="K159" s="2278"/>
      <c r="L159" s="2279"/>
      <c r="M159" s="2278"/>
      <c r="N159" s="2278"/>
      <c r="O159" s="2279"/>
      <c r="P159" s="2278"/>
      <c r="Q159" s="2278"/>
      <c r="R159" s="2280"/>
    </row>
    <row r="160" spans="2:18" s="2250" customFormat="1">
      <c r="B160" s="2278"/>
      <c r="C160" s="2278"/>
      <c r="D160" s="2278"/>
      <c r="E160" s="2278"/>
      <c r="F160" s="2278"/>
      <c r="G160" s="2279"/>
      <c r="H160" s="2278"/>
      <c r="I160" s="2279"/>
      <c r="J160" s="2278"/>
      <c r="K160" s="2278"/>
      <c r="L160" s="2279"/>
      <c r="M160" s="2278"/>
      <c r="N160" s="2278"/>
      <c r="O160" s="2279"/>
      <c r="P160" s="2278"/>
      <c r="Q160" s="2278"/>
      <c r="R160" s="2280"/>
    </row>
    <row r="161" spans="2:18" s="2250" customFormat="1">
      <c r="B161" s="2278"/>
      <c r="C161" s="2278"/>
      <c r="D161" s="2278"/>
      <c r="E161" s="2278"/>
      <c r="F161" s="2278"/>
      <c r="G161" s="2279"/>
      <c r="H161" s="2278"/>
      <c r="I161" s="2279"/>
      <c r="J161" s="2278"/>
      <c r="K161" s="2278"/>
      <c r="L161" s="2279"/>
      <c r="M161" s="2278"/>
      <c r="N161" s="2278"/>
      <c r="O161" s="2279"/>
      <c r="P161" s="2278"/>
      <c r="Q161" s="2278"/>
      <c r="R161" s="2280"/>
    </row>
    <row r="162" spans="2:18" s="2250" customFormat="1">
      <c r="B162" s="2278"/>
      <c r="C162" s="2278"/>
      <c r="D162" s="2278"/>
      <c r="E162" s="2278"/>
      <c r="F162" s="2278"/>
      <c r="G162" s="2279"/>
      <c r="H162" s="2278"/>
      <c r="I162" s="2279"/>
      <c r="J162" s="2278"/>
      <c r="K162" s="2278"/>
      <c r="L162" s="2279"/>
      <c r="M162" s="2278"/>
      <c r="N162" s="2278"/>
      <c r="O162" s="2279"/>
      <c r="P162" s="2278"/>
      <c r="Q162" s="2278"/>
      <c r="R162" s="2280"/>
    </row>
    <row r="163" spans="2:18" s="2250" customFormat="1">
      <c r="B163" s="2278"/>
      <c r="C163" s="2278"/>
      <c r="D163" s="2278"/>
      <c r="E163" s="2278"/>
      <c r="F163" s="2278"/>
      <c r="G163" s="2279"/>
      <c r="H163" s="2278"/>
      <c r="I163" s="2279"/>
      <c r="J163" s="2278"/>
      <c r="K163" s="2278"/>
      <c r="L163" s="2279"/>
      <c r="M163" s="2278"/>
      <c r="N163" s="2278"/>
      <c r="O163" s="2279"/>
      <c r="P163" s="2278"/>
      <c r="Q163" s="2278"/>
      <c r="R163" s="2280"/>
    </row>
    <row r="164" spans="2:18" s="2250" customFormat="1">
      <c r="B164" s="2278"/>
      <c r="C164" s="2278"/>
      <c r="D164" s="2278"/>
      <c r="E164" s="2278"/>
      <c r="F164" s="2278"/>
      <c r="G164" s="2279"/>
      <c r="H164" s="2278"/>
      <c r="I164" s="2279"/>
      <c r="J164" s="2278"/>
      <c r="K164" s="2278"/>
      <c r="L164" s="2279"/>
      <c r="M164" s="2278"/>
      <c r="N164" s="2278"/>
      <c r="O164" s="2279"/>
      <c r="P164" s="2278"/>
      <c r="Q164" s="2278"/>
      <c r="R164" s="2280"/>
    </row>
    <row r="165" spans="2:18" s="2250" customFormat="1">
      <c r="B165" s="2278"/>
      <c r="C165" s="2278"/>
      <c r="D165" s="2278"/>
      <c r="E165" s="2278"/>
      <c r="F165" s="2278"/>
      <c r="G165" s="2279"/>
      <c r="H165" s="2278"/>
      <c r="I165" s="2279"/>
      <c r="J165" s="2278"/>
      <c r="K165" s="2278"/>
      <c r="L165" s="2279"/>
      <c r="M165" s="2278"/>
      <c r="N165" s="2278"/>
      <c r="O165" s="2279"/>
      <c r="P165" s="2278"/>
      <c r="Q165" s="2278"/>
      <c r="R165" s="2280"/>
    </row>
    <row r="166" spans="2:18" s="2250" customFormat="1">
      <c r="B166" s="2278"/>
      <c r="C166" s="2278"/>
      <c r="D166" s="2278"/>
      <c r="E166" s="2278"/>
      <c r="F166" s="2278"/>
      <c r="G166" s="2279"/>
      <c r="H166" s="2278"/>
      <c r="I166" s="2279"/>
      <c r="J166" s="2278"/>
      <c r="K166" s="2278"/>
      <c r="L166" s="2279"/>
      <c r="M166" s="2278"/>
      <c r="N166" s="2278"/>
      <c r="O166" s="2279"/>
      <c r="P166" s="2278"/>
      <c r="Q166" s="2278"/>
      <c r="R166" s="2280"/>
    </row>
    <row r="167" spans="2:18" s="2250" customFormat="1">
      <c r="B167" s="2278"/>
      <c r="C167" s="2278"/>
      <c r="D167" s="2278"/>
      <c r="E167" s="2278"/>
      <c r="F167" s="2278"/>
      <c r="G167" s="2279"/>
      <c r="H167" s="2278"/>
      <c r="I167" s="2279"/>
      <c r="J167" s="2278"/>
      <c r="K167" s="2278"/>
      <c r="L167" s="2279"/>
      <c r="M167" s="2278"/>
      <c r="N167" s="2278"/>
      <c r="O167" s="2279"/>
      <c r="P167" s="2278"/>
      <c r="Q167" s="2278"/>
      <c r="R167" s="2280"/>
    </row>
    <row r="168" spans="2:18" s="2250" customFormat="1">
      <c r="B168" s="2278"/>
      <c r="C168" s="2278"/>
      <c r="D168" s="2278"/>
      <c r="E168" s="2278"/>
      <c r="F168" s="2278"/>
      <c r="G168" s="2279"/>
      <c r="H168" s="2278"/>
      <c r="I168" s="2279"/>
      <c r="J168" s="2278"/>
      <c r="K168" s="2278"/>
      <c r="L168" s="2279"/>
      <c r="M168" s="2278"/>
      <c r="N168" s="2278"/>
      <c r="O168" s="2279"/>
      <c r="P168" s="2278"/>
      <c r="Q168" s="2278"/>
      <c r="R168" s="2280"/>
    </row>
    <row r="169" spans="2:18" s="2250" customFormat="1">
      <c r="B169" s="2278"/>
      <c r="C169" s="2278"/>
      <c r="D169" s="2278"/>
      <c r="E169" s="2278"/>
      <c r="F169" s="2278"/>
      <c r="G169" s="2279"/>
      <c r="H169" s="2278"/>
      <c r="I169" s="2279"/>
      <c r="J169" s="2278"/>
      <c r="K169" s="2278"/>
      <c r="L169" s="2279"/>
      <c r="M169" s="2278"/>
      <c r="N169" s="2278"/>
      <c r="O169" s="2279"/>
      <c r="P169" s="2278"/>
      <c r="Q169" s="2278"/>
      <c r="R169" s="2280"/>
    </row>
    <row r="170" spans="2:18" s="2250" customFormat="1">
      <c r="B170" s="2278"/>
      <c r="C170" s="2278"/>
      <c r="D170" s="2278"/>
      <c r="E170" s="2278"/>
      <c r="F170" s="2278"/>
      <c r="G170" s="2279"/>
      <c r="H170" s="2278"/>
      <c r="I170" s="2279"/>
      <c r="J170" s="2278"/>
      <c r="K170" s="2278"/>
      <c r="L170" s="2279"/>
      <c r="M170" s="2278"/>
      <c r="N170" s="2278"/>
      <c r="O170" s="2279"/>
      <c r="P170" s="2278"/>
      <c r="Q170" s="2278"/>
      <c r="R170" s="2280"/>
    </row>
    <row r="171" spans="2:18" s="2250" customFormat="1">
      <c r="B171" s="2278"/>
      <c r="C171" s="2278"/>
      <c r="D171" s="2278"/>
      <c r="E171" s="2278"/>
      <c r="F171" s="2278"/>
      <c r="G171" s="2279"/>
      <c r="H171" s="2278"/>
      <c r="I171" s="2279"/>
      <c r="J171" s="2278"/>
      <c r="K171" s="2278"/>
      <c r="L171" s="2279"/>
      <c r="M171" s="2278"/>
      <c r="N171" s="2278"/>
      <c r="O171" s="2279"/>
      <c r="P171" s="2278"/>
      <c r="Q171" s="2278"/>
      <c r="R171" s="2280"/>
    </row>
    <row r="172" spans="2:18" s="2250" customFormat="1">
      <c r="B172" s="2278"/>
      <c r="C172" s="2278"/>
      <c r="D172" s="2278"/>
      <c r="E172" s="2278"/>
      <c r="F172" s="2278"/>
      <c r="G172" s="2279"/>
      <c r="H172" s="2278"/>
      <c r="I172" s="2279"/>
      <c r="J172" s="2278"/>
      <c r="K172" s="2278"/>
      <c r="L172" s="2279"/>
      <c r="M172" s="2278"/>
      <c r="N172" s="2278"/>
      <c r="O172" s="2279"/>
      <c r="P172" s="2278"/>
      <c r="Q172" s="2278"/>
      <c r="R172" s="2280"/>
    </row>
    <row r="173" spans="2:18" s="2250" customFormat="1">
      <c r="B173" s="2278"/>
      <c r="C173" s="2278"/>
      <c r="D173" s="2278"/>
      <c r="E173" s="2278"/>
      <c r="F173" s="2278"/>
      <c r="G173" s="2279"/>
      <c r="H173" s="2278"/>
      <c r="I173" s="2279"/>
      <c r="J173" s="2278"/>
      <c r="K173" s="2278"/>
      <c r="L173" s="2279"/>
      <c r="M173" s="2278"/>
      <c r="N173" s="2278"/>
      <c r="O173" s="2279"/>
      <c r="P173" s="2278"/>
      <c r="Q173" s="2278"/>
      <c r="R173" s="2280"/>
    </row>
    <row r="174" spans="2:18" s="2250" customFormat="1">
      <c r="B174" s="2278"/>
      <c r="C174" s="2278"/>
      <c r="D174" s="2278"/>
      <c r="E174" s="2278"/>
      <c r="F174" s="2278"/>
      <c r="G174" s="2279"/>
      <c r="H174" s="2278"/>
      <c r="I174" s="2279"/>
      <c r="J174" s="2278"/>
      <c r="K174" s="2278"/>
      <c r="L174" s="2279"/>
      <c r="M174" s="2278"/>
      <c r="N174" s="2278"/>
      <c r="O174" s="2279"/>
      <c r="P174" s="2278"/>
      <c r="Q174" s="2278"/>
      <c r="R174" s="2280"/>
    </row>
    <row r="175" spans="2:18" s="2250" customFormat="1">
      <c r="B175" s="2278"/>
      <c r="C175" s="2278"/>
      <c r="D175" s="2278"/>
      <c r="E175" s="2278"/>
      <c r="F175" s="2278"/>
      <c r="G175" s="2279"/>
      <c r="H175" s="2278"/>
      <c r="I175" s="2279"/>
      <c r="J175" s="2278"/>
      <c r="K175" s="2278"/>
      <c r="L175" s="2279"/>
      <c r="M175" s="2278"/>
      <c r="N175" s="2278"/>
      <c r="O175" s="2279"/>
      <c r="P175" s="2278"/>
      <c r="Q175" s="2278"/>
      <c r="R175" s="2280"/>
    </row>
    <row r="176" spans="2:18" s="2250" customFormat="1">
      <c r="B176" s="2278"/>
      <c r="C176" s="2278"/>
      <c r="D176" s="2278"/>
      <c r="E176" s="2278"/>
      <c r="F176" s="2278"/>
      <c r="G176" s="2279"/>
      <c r="H176" s="2278"/>
      <c r="I176" s="2279"/>
      <c r="J176" s="2278"/>
      <c r="K176" s="2278"/>
      <c r="L176" s="2279"/>
      <c r="M176" s="2278"/>
      <c r="N176" s="2278"/>
      <c r="O176" s="2279"/>
      <c r="P176" s="2278"/>
      <c r="Q176" s="2278"/>
      <c r="R176" s="2280"/>
    </row>
    <row r="177" spans="1:18" s="2250" customFormat="1">
      <c r="B177" s="2278"/>
      <c r="C177" s="2278"/>
      <c r="D177" s="2278"/>
      <c r="E177" s="2278"/>
      <c r="F177" s="2278"/>
      <c r="G177" s="2279"/>
      <c r="H177" s="2278"/>
      <c r="I177" s="2279"/>
      <c r="J177" s="2278"/>
      <c r="K177" s="2278"/>
      <c r="L177" s="2279"/>
      <c r="M177" s="2278"/>
      <c r="N177" s="2278"/>
      <c r="O177" s="2279"/>
      <c r="P177" s="2278"/>
      <c r="Q177" s="2278"/>
      <c r="R177" s="2280"/>
    </row>
    <row r="178" spans="1:18" s="2250" customFormat="1">
      <c r="B178" s="2278"/>
      <c r="C178" s="2278"/>
      <c r="D178" s="2278"/>
      <c r="E178" s="2278"/>
      <c r="F178" s="2278"/>
      <c r="G178" s="2279"/>
      <c r="H178" s="2278"/>
      <c r="I178" s="2279"/>
      <c r="J178" s="2278"/>
      <c r="K178" s="2278"/>
      <c r="L178" s="2279"/>
      <c r="M178" s="2278"/>
      <c r="N178" s="2278"/>
      <c r="O178" s="2279"/>
      <c r="P178" s="2278"/>
      <c r="Q178" s="2278"/>
      <c r="R178" s="2280"/>
    </row>
    <row r="179" spans="1:18" s="2250" customFormat="1">
      <c r="B179" s="2278"/>
      <c r="C179" s="2278"/>
      <c r="D179" s="2278"/>
      <c r="E179" s="2278"/>
      <c r="F179" s="2278"/>
      <c r="G179" s="2279"/>
      <c r="H179" s="2278"/>
      <c r="I179" s="2279"/>
      <c r="J179" s="2278"/>
      <c r="K179" s="2278"/>
      <c r="L179" s="2279"/>
      <c r="M179" s="2278"/>
      <c r="N179" s="2278"/>
      <c r="O179" s="2279"/>
      <c r="P179" s="2278"/>
      <c r="Q179" s="2278"/>
      <c r="R179" s="2280"/>
    </row>
    <row r="180" spans="1:18" s="2250" customFormat="1">
      <c r="B180" s="2278"/>
      <c r="C180" s="2278"/>
      <c r="D180" s="2278"/>
      <c r="E180" s="2278"/>
      <c r="F180" s="2278"/>
      <c r="G180" s="2279"/>
      <c r="H180" s="2278"/>
      <c r="I180" s="2279"/>
      <c r="J180" s="2278"/>
      <c r="K180" s="2278"/>
      <c r="L180" s="2279"/>
      <c r="M180" s="2278"/>
      <c r="N180" s="2278"/>
      <c r="O180" s="2279"/>
      <c r="P180" s="2278"/>
      <c r="Q180" s="2278"/>
      <c r="R180" s="2280"/>
    </row>
    <row r="181" spans="1:18" s="2250" customFormat="1">
      <c r="B181" s="2278"/>
      <c r="C181" s="2278"/>
      <c r="D181" s="2278"/>
      <c r="E181" s="2278"/>
      <c r="F181" s="2278"/>
      <c r="G181" s="2279"/>
      <c r="H181" s="2278"/>
      <c r="I181" s="2279"/>
      <c r="J181" s="2278"/>
      <c r="K181" s="2278"/>
      <c r="L181" s="2279"/>
      <c r="M181" s="2278"/>
      <c r="N181" s="2278"/>
      <c r="O181" s="2279"/>
      <c r="P181" s="2278"/>
      <c r="Q181" s="2278"/>
      <c r="R181" s="2280"/>
    </row>
    <row r="182" spans="1:18" s="2250" customFormat="1">
      <c r="B182" s="2278"/>
      <c r="C182" s="2278"/>
      <c r="D182" s="2278"/>
      <c r="E182" s="2278"/>
      <c r="F182" s="2278"/>
      <c r="G182" s="2279"/>
      <c r="H182" s="2278"/>
      <c r="I182" s="2279"/>
      <c r="J182" s="2278"/>
      <c r="K182" s="2278"/>
      <c r="L182" s="2279"/>
      <c r="M182" s="2278"/>
      <c r="N182" s="2278"/>
      <c r="O182" s="2279"/>
      <c r="P182" s="2278"/>
      <c r="Q182" s="2278"/>
      <c r="R182" s="2280"/>
    </row>
    <row r="183" spans="1:18" s="2250" customFormat="1">
      <c r="B183" s="2278"/>
      <c r="C183" s="2278"/>
      <c r="D183" s="2278"/>
      <c r="E183" s="2278"/>
      <c r="F183" s="2278"/>
      <c r="G183" s="2279"/>
      <c r="H183" s="2278"/>
      <c r="I183" s="2279"/>
      <c r="J183" s="2278"/>
      <c r="K183" s="2278"/>
      <c r="L183" s="2279"/>
      <c r="M183" s="2278"/>
      <c r="N183" s="2278"/>
      <c r="O183" s="2279"/>
      <c r="P183" s="2278"/>
      <c r="Q183" s="2278"/>
      <c r="R183" s="2280"/>
    </row>
    <row r="184" spans="1:18" s="2250" customFormat="1">
      <c r="B184" s="2278"/>
      <c r="C184" s="2278"/>
      <c r="D184" s="2278"/>
      <c r="E184" s="2278"/>
      <c r="F184" s="2278"/>
      <c r="G184" s="2279"/>
      <c r="H184" s="2278"/>
      <c r="I184" s="2279"/>
      <c r="J184" s="2278"/>
      <c r="K184" s="2278"/>
      <c r="L184" s="2279"/>
      <c r="M184" s="2278"/>
      <c r="N184" s="2278"/>
      <c r="O184" s="2279"/>
      <c r="P184" s="2278"/>
      <c r="Q184" s="2278"/>
      <c r="R184" s="2280"/>
    </row>
    <row r="185" spans="1:18" s="2250"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50"/>
      <c r="B186" s="2278"/>
      <c r="C186" s="2278"/>
      <c r="E186" s="2278"/>
      <c r="F186" s="2278"/>
      <c r="G186" s="2279"/>
    </row>
    <row r="187" spans="1:18">
      <c r="A187" s="2250"/>
      <c r="B187" s="2278"/>
      <c r="C187" s="2278"/>
      <c r="E187" s="2278"/>
      <c r="F187" s="2278"/>
      <c r="G187" s="227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5" sqref="F15"/>
    </sheetView>
  </sheetViews>
  <sheetFormatPr defaultRowHeight="13.5"/>
  <cols>
    <col min="1" max="1" width="23.375" style="1724" customWidth="1"/>
    <col min="2" max="9" width="15.75" style="1724" customWidth="1"/>
    <col min="10" max="16384" width="9" style="1724"/>
  </cols>
  <sheetData>
    <row r="1" spans="1:10" ht="16.5">
      <c r="A1" s="1729" t="s">
        <v>1364</v>
      </c>
      <c r="B1" s="1729">
        <f>SUM(B14:B23)</f>
        <v>26965.789999999994</v>
      </c>
      <c r="C1" s="1728"/>
      <c r="D1" s="1728"/>
      <c r="E1" s="1728"/>
      <c r="F1" s="1728"/>
      <c r="G1" s="1726"/>
    </row>
    <row r="2" spans="1:10" ht="16.5">
      <c r="A2" s="1729" t="s">
        <v>1352</v>
      </c>
      <c r="B2" s="1729">
        <f>SUM(C14:C23)</f>
        <v>2719.43</v>
      </c>
      <c r="C2" s="1728"/>
      <c r="D2" s="1728"/>
      <c r="E2" s="1728"/>
      <c r="F2" s="1728"/>
      <c r="G2" s="1726"/>
    </row>
    <row r="3" spans="1:10" ht="16.5">
      <c r="A3" s="1729" t="s">
        <v>1361</v>
      </c>
      <c r="B3" s="1730">
        <f>项目基本情况!D3</f>
        <v>43161</v>
      </c>
      <c r="C3" s="1728"/>
      <c r="D3" s="1728"/>
      <c r="E3" s="1728"/>
      <c r="F3" s="1728"/>
      <c r="G3" s="1726"/>
    </row>
    <row r="4" spans="1:10" ht="33">
      <c r="A4" s="1729" t="s">
        <v>1360</v>
      </c>
      <c r="B4" s="1729" t="s">
        <v>1359</v>
      </c>
      <c r="C4" s="1729" t="s">
        <v>1358</v>
      </c>
      <c r="D4" s="1729" t="s">
        <v>1357</v>
      </c>
      <c r="E4" s="1728"/>
      <c r="F4" s="1726"/>
      <c r="G4" s="1726"/>
    </row>
    <row r="5" spans="1:10" ht="16.5">
      <c r="A5" s="1729" t="s">
        <v>1356</v>
      </c>
      <c r="B5" s="1729">
        <f ca="1">SUM(D14:D23)</f>
        <v>161498</v>
      </c>
      <c r="C5" s="1729">
        <f ca="1">ROUND(B5*10000/$B$1,0)</f>
        <v>59890</v>
      </c>
      <c r="D5" s="1729">
        <f ca="1">ROUND(B5*10000/$B$2,0)</f>
        <v>593867</v>
      </c>
      <c r="E5" s="1728"/>
      <c r="F5" s="1726"/>
      <c r="G5" s="1726"/>
    </row>
    <row r="6" spans="1:10" ht="16.5">
      <c r="A6" s="1729" t="s">
        <v>1355</v>
      </c>
      <c r="B6" s="1729">
        <f>SUM(G14:G23)</f>
        <v>0</v>
      </c>
      <c r="C6" s="1729">
        <f>ROUND(B6*10000/$B$1,0)</f>
        <v>0</v>
      </c>
      <c r="D6" s="1729">
        <f>ROUND(B6*10000/$B$2,0)</f>
        <v>0</v>
      </c>
      <c r="E6" s="1728"/>
      <c r="F6" s="1726"/>
      <c r="G6" s="1726"/>
    </row>
    <row r="7" spans="1:10" ht="16.5">
      <c r="A7" s="1729" t="s">
        <v>1363</v>
      </c>
      <c r="B7" s="1729">
        <f ca="1">SUM(H14:H23)</f>
        <v>161498</v>
      </c>
      <c r="C7" s="1729">
        <f ca="1">ROUND(B7*10000/$B$1,0)</f>
        <v>59890</v>
      </c>
      <c r="D7" s="1729">
        <f ca="1">ROUND(B7*10000/$B$2,0)</f>
        <v>593867</v>
      </c>
      <c r="E7" s="1728"/>
      <c r="F7" s="1726"/>
      <c r="G7" s="1726"/>
    </row>
    <row r="8" spans="1:10" ht="16.5">
      <c r="A8" s="1729" t="s">
        <v>1285</v>
      </c>
      <c r="B8" s="1729">
        <f>SUM(I14:I23)</f>
        <v>0</v>
      </c>
      <c r="C8" s="1729">
        <f>ROUND(B8*10000/$B$1,0)</f>
        <v>0</v>
      </c>
      <c r="D8" s="1729">
        <f>ROUND(B8*10000/$B$2,0)</f>
        <v>0</v>
      </c>
      <c r="E8" s="1728"/>
      <c r="F8" s="1726"/>
      <c r="G8" s="1726"/>
    </row>
    <row r="9" spans="1:10" ht="16.5">
      <c r="A9" s="1729" t="s">
        <v>1354</v>
      </c>
      <c r="B9" s="1731"/>
      <c r="C9" s="1728"/>
      <c r="D9" s="1728"/>
      <c r="E9" s="1728"/>
      <c r="F9" s="1726"/>
      <c r="G9" s="1726"/>
    </row>
    <row r="10" spans="1:10" ht="16.5">
      <c r="A10" s="1729" t="s">
        <v>1353</v>
      </c>
      <c r="B10" s="1731"/>
      <c r="C10" s="1728"/>
      <c r="D10" s="1728"/>
      <c r="E10" s="1728"/>
      <c r="F10" s="1726"/>
      <c r="G10" s="1726"/>
    </row>
    <row r="11" spans="1:10" ht="16.5">
      <c r="A11" s="1729" t="s">
        <v>1369</v>
      </c>
      <c r="B11" s="1731"/>
      <c r="C11" s="1728"/>
      <c r="D11" s="1728"/>
      <c r="E11" s="1728"/>
      <c r="F11" s="1726"/>
      <c r="G11" s="1726"/>
    </row>
    <row r="12" spans="1:10" ht="16.5">
      <c r="A12" s="1728"/>
      <c r="B12" s="1728"/>
      <c r="C12" s="1728"/>
      <c r="D12" s="1728"/>
      <c r="E12" s="1728"/>
      <c r="F12" s="1726"/>
      <c r="G12" s="1726"/>
    </row>
    <row r="13" spans="1:10" ht="33">
      <c r="A13" s="1734" t="s">
        <v>1368</v>
      </c>
      <c r="B13" s="1727" t="s">
        <v>1365</v>
      </c>
      <c r="C13" s="1727" t="s">
        <v>1367</v>
      </c>
      <c r="D13" s="1727" t="s">
        <v>1366</v>
      </c>
      <c r="E13" s="1729" t="s">
        <v>1358</v>
      </c>
      <c r="F13" s="1729" t="s">
        <v>1357</v>
      </c>
      <c r="G13" s="1727" t="s">
        <v>1351</v>
      </c>
      <c r="H13" s="1727" t="s">
        <v>1362</v>
      </c>
      <c r="I13" s="1727" t="s">
        <v>1350</v>
      </c>
      <c r="J13" s="1726"/>
    </row>
    <row r="14" spans="1:10" ht="16.5">
      <c r="A14" s="1725" t="s">
        <v>1349</v>
      </c>
      <c r="B14" s="3021">
        <f>'数据-汇总表'!F20+'数据-汇总表'!F21</f>
        <v>25370.109999999993</v>
      </c>
      <c r="C14" s="3021">
        <f>结果表!C118</f>
        <v>2719.43</v>
      </c>
      <c r="D14" s="3021">
        <f ca="1">结果表汇总!G5</f>
        <v>153994</v>
      </c>
      <c r="E14" s="1727">
        <f ca="1">ROUND(D14*10000/B14,0)</f>
        <v>60699</v>
      </c>
      <c r="F14" s="1727">
        <f ca="1">ROUND(D14*10000/C14,0)</f>
        <v>566273</v>
      </c>
      <c r="G14" s="3021" t="str">
        <f>结果表!D122</f>
        <v>——</v>
      </c>
      <c r="H14" s="3021">
        <f ca="1">D14</f>
        <v>153994</v>
      </c>
      <c r="I14" s="3021" t="str">
        <f>结果表!D126</f>
        <v>——</v>
      </c>
      <c r="J14" s="1726"/>
    </row>
    <row r="15" spans="1:10" ht="16.5">
      <c r="A15" s="1725" t="s">
        <v>3679</v>
      </c>
      <c r="B15" s="1727">
        <f>'数据-汇总表'!F19</f>
        <v>1595.68</v>
      </c>
      <c r="C15" s="1727">
        <v>0</v>
      </c>
      <c r="D15" s="1727">
        <f ca="1">结果表汇总!G8</f>
        <v>7504</v>
      </c>
      <c r="E15" s="1727">
        <f t="shared" ref="E15:E23" ca="1" si="0">ROUND(D15*10000/B15,0)</f>
        <v>47027</v>
      </c>
      <c r="F15" s="1727" t="e">
        <f ca="1">ROUND(D15*10000/C15,0)</f>
        <v>#DIV/0!</v>
      </c>
      <c r="G15" s="1727" t="s">
        <v>3680</v>
      </c>
      <c r="H15" s="1727">
        <f ca="1">D15</f>
        <v>7504</v>
      </c>
      <c r="I15" s="1727" t="s">
        <v>3680</v>
      </c>
      <c r="J15" s="1726"/>
    </row>
    <row r="16" spans="1:10" ht="16.5">
      <c r="A16" s="1725" t="s">
        <v>1348</v>
      </c>
      <c r="B16" s="1732"/>
      <c r="C16" s="1732"/>
      <c r="D16" s="1732"/>
      <c r="E16" s="1727" t="e">
        <f t="shared" si="0"/>
        <v>#DIV/0!</v>
      </c>
      <c r="F16" s="1727" t="e">
        <f t="shared" ref="F15:F23" si="1">ROUND(D16*10000/C16,0)</f>
        <v>#DIV/0!</v>
      </c>
      <c r="G16" s="1733"/>
      <c r="H16" s="1733"/>
      <c r="I16" s="1732"/>
    </row>
    <row r="17" spans="1:9" ht="16.5">
      <c r="A17" s="1725" t="s">
        <v>1347</v>
      </c>
      <c r="B17" s="1732"/>
      <c r="C17" s="1732"/>
      <c r="D17" s="1732"/>
      <c r="E17" s="1727" t="e">
        <f t="shared" si="0"/>
        <v>#DIV/0!</v>
      </c>
      <c r="F17" s="1727" t="e">
        <f t="shared" si="1"/>
        <v>#DIV/0!</v>
      </c>
      <c r="G17" s="1733"/>
      <c r="H17" s="1733"/>
      <c r="I17" s="1732"/>
    </row>
    <row r="18" spans="1:9" ht="16.5">
      <c r="A18" s="1725" t="s">
        <v>1346</v>
      </c>
      <c r="B18" s="1732"/>
      <c r="C18" s="1732"/>
      <c r="D18" s="1732"/>
      <c r="E18" s="1727" t="e">
        <f t="shared" si="0"/>
        <v>#DIV/0!</v>
      </c>
      <c r="F18" s="1727" t="e">
        <f t="shared" si="1"/>
        <v>#DIV/0!</v>
      </c>
      <c r="G18" s="1732"/>
      <c r="H18" s="1732"/>
      <c r="I18" s="1732"/>
    </row>
    <row r="19" spans="1:9" ht="16.5">
      <c r="A19" s="1725" t="s">
        <v>1345</v>
      </c>
      <c r="B19" s="1732"/>
      <c r="C19" s="1732"/>
      <c r="D19" s="1732"/>
      <c r="E19" s="1727" t="e">
        <f t="shared" si="0"/>
        <v>#DIV/0!</v>
      </c>
      <c r="F19" s="1727" t="e">
        <f t="shared" si="1"/>
        <v>#DIV/0!</v>
      </c>
      <c r="G19" s="1732"/>
      <c r="H19" s="1732"/>
      <c r="I19" s="1732"/>
    </row>
    <row r="20" spans="1:9" ht="16.5">
      <c r="A20" s="1725" t="s">
        <v>1344</v>
      </c>
      <c r="B20" s="1732"/>
      <c r="C20" s="1732"/>
      <c r="D20" s="1732"/>
      <c r="E20" s="1727" t="e">
        <f t="shared" si="0"/>
        <v>#DIV/0!</v>
      </c>
      <c r="F20" s="1727" t="e">
        <f t="shared" si="1"/>
        <v>#DIV/0!</v>
      </c>
      <c r="G20" s="1732"/>
      <c r="H20" s="1732"/>
      <c r="I20" s="1732"/>
    </row>
    <row r="21" spans="1:9" ht="16.5">
      <c r="A21" s="1725" t="s">
        <v>1343</v>
      </c>
      <c r="B21" s="1732"/>
      <c r="C21" s="1732"/>
      <c r="D21" s="1732"/>
      <c r="E21" s="1727" t="e">
        <f t="shared" si="0"/>
        <v>#DIV/0!</v>
      </c>
      <c r="F21" s="1727" t="e">
        <f t="shared" si="1"/>
        <v>#DIV/0!</v>
      </c>
      <c r="G21" s="1732"/>
      <c r="H21" s="1732"/>
      <c r="I21" s="1732"/>
    </row>
    <row r="22" spans="1:9" ht="16.5">
      <c r="A22" s="1725" t="s">
        <v>1342</v>
      </c>
      <c r="B22" s="1732"/>
      <c r="C22" s="1732"/>
      <c r="D22" s="1732"/>
      <c r="E22" s="1727" t="e">
        <f t="shared" si="0"/>
        <v>#DIV/0!</v>
      </c>
      <c r="F22" s="1727" t="e">
        <f t="shared" si="1"/>
        <v>#DIV/0!</v>
      </c>
      <c r="G22" s="1732"/>
      <c r="H22" s="1732"/>
      <c r="I22" s="1732"/>
    </row>
    <row r="23" spans="1:9" ht="16.5">
      <c r="A23" s="1725" t="s">
        <v>1341</v>
      </c>
      <c r="B23" s="1732"/>
      <c r="C23" s="1732"/>
      <c r="D23" s="1732"/>
      <c r="E23" s="1729" t="e">
        <f t="shared" si="0"/>
        <v>#DIV/0!</v>
      </c>
      <c r="F23" s="1729" t="e">
        <f t="shared" si="1"/>
        <v>#DIV/0!</v>
      </c>
      <c r="G23" s="1732"/>
      <c r="H23" s="1732"/>
      <c r="I23" s="1732"/>
    </row>
  </sheetData>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5" zoomScaleNormal="100" zoomScaleSheetLayoutView="85" zoomScalePageLayoutView="80" workbookViewId="0">
      <selection activeCell="F24" sqref="F24"/>
    </sheetView>
  </sheetViews>
  <sheetFormatPr defaultColWidth="12.625" defaultRowHeight="21.75" customHeight="1"/>
  <cols>
    <col min="1" max="2" width="12.625" style="2307"/>
    <col min="3" max="4" width="12.625" style="2307" customWidth="1"/>
    <col min="5" max="9" width="12.625" style="2307"/>
    <col min="10" max="11" width="12.625" style="794" customWidth="1"/>
    <col min="12" max="12" width="12.625" style="794"/>
    <col min="13" max="13" width="14.125" style="794" bestFit="1" customWidth="1"/>
    <col min="14" max="26" width="12.625" style="794"/>
    <col min="27" max="35" width="12.625" style="2306"/>
    <col min="36" max="16384" width="12.625" style="2307"/>
  </cols>
  <sheetData>
    <row r="1" spans="1:12" ht="21.75" customHeight="1" thickBot="1">
      <c r="A1" s="2108" t="s">
        <v>2030</v>
      </c>
      <c r="B1" s="2301"/>
      <c r="C1" s="2302"/>
      <c r="D1" s="2301"/>
      <c r="E1" s="2301"/>
      <c r="F1" s="2303" t="s">
        <v>2031</v>
      </c>
      <c r="G1" s="2015" t="s">
        <v>3441</v>
      </c>
      <c r="H1" s="2304" t="str">
        <f>IF(G1="现房","——","估价对象范围")</f>
        <v>——</v>
      </c>
      <c r="I1" s="2305" t="s">
        <v>3595</v>
      </c>
    </row>
    <row r="2" spans="1:12" ht="21.75" customHeight="1" thickBot="1">
      <c r="A2" s="3175" t="str">
        <f>项目基本情况!S2</f>
        <v>北京市朝阳区东四环中路58号楼配套商业、酒店式公寓用房房地产</v>
      </c>
      <c r="B2" s="3176"/>
      <c r="C2" s="3176"/>
      <c r="D2" s="3176"/>
      <c r="E2" s="3176"/>
      <c r="F2" s="3176"/>
      <c r="G2" s="3176"/>
      <c r="H2" s="3176"/>
      <c r="I2" s="3177"/>
    </row>
    <row r="3" spans="1:12" ht="12.75">
      <c r="A3" s="3179" t="s">
        <v>2032</v>
      </c>
      <c r="B3" s="3180"/>
      <c r="C3" s="3180"/>
      <c r="D3" s="3180"/>
      <c r="E3" s="3180"/>
      <c r="F3" s="3180"/>
      <c r="G3" s="3180"/>
      <c r="H3" s="3180"/>
      <c r="I3" s="3180"/>
    </row>
    <row r="4" spans="1:12" ht="14.25">
      <c r="A4" s="2308" t="s">
        <v>2033</v>
      </c>
      <c r="B4" s="2309" t="s">
        <v>2034</v>
      </c>
      <c r="C4" s="2310" t="s">
        <v>3596</v>
      </c>
      <c r="D4" s="2310" t="s">
        <v>3623</v>
      </c>
      <c r="E4" s="3172" t="s">
        <v>2035</v>
      </c>
      <c r="F4" s="3173"/>
      <c r="G4" s="3173"/>
      <c r="H4" s="3173"/>
      <c r="I4" s="3181"/>
      <c r="K4" s="2311" t="str">
        <f>IF(ISNUMBER(FIND("比较法",结果表!C4)),"比较法",IF(ISNUMBER(FIND("成本法",结果表!C4)),"成本法",IF(ISNUMBER(FIND("假设开发法",结果表!C4)),"假设开发法",IF(ISNUMBER(FIND("收益法",结果表!C4)),"收益法","基准地价系数修正法"))))</f>
        <v>比较法</v>
      </c>
      <c r="L4" s="2311" t="str">
        <f>IF(ISNUMBER(FIND("比较法",结果表!D4)),"比较法",IF(ISNUMBER(FIND("成本法",结果表!D4)),"成本法",IF(ISNUMBER(FIND("假设开发法",结果表!D4)),"假设开发法",IF(ISNUMBER(FIND("收益法",结果表!D4)),"收益法","基准地价系数修正法"))))</f>
        <v>成本法</v>
      </c>
    </row>
    <row r="5" spans="1:12" ht="12.75" hidden="1">
      <c r="A5" s="3155" t="s">
        <v>2036</v>
      </c>
      <c r="B5" s="3142">
        <v>25</v>
      </c>
      <c r="C5" s="3158"/>
      <c r="D5" s="3178"/>
      <c r="E5" s="140" t="s">
        <v>2037</v>
      </c>
      <c r="F5" s="2312"/>
      <c r="G5" s="2312"/>
      <c r="H5" s="2312"/>
      <c r="I5" s="1817"/>
    </row>
    <row r="6" spans="1:12" ht="12.75" hidden="1">
      <c r="A6" s="3155"/>
      <c r="B6" s="3142"/>
      <c r="C6" s="3159"/>
      <c r="D6" s="3178"/>
      <c r="E6" s="140" t="s">
        <v>2038</v>
      </c>
      <c r="F6" s="2312"/>
      <c r="G6" s="2312"/>
      <c r="H6" s="2312"/>
      <c r="I6" s="1817"/>
    </row>
    <row r="7" spans="1:12" ht="12.75" hidden="1">
      <c r="A7" s="3155"/>
      <c r="B7" s="3142"/>
      <c r="C7" s="3160"/>
      <c r="D7" s="3178"/>
      <c r="E7" s="140" t="s">
        <v>2039</v>
      </c>
      <c r="F7" s="2312"/>
      <c r="G7" s="2312"/>
      <c r="H7" s="2312"/>
      <c r="I7" s="1817"/>
    </row>
    <row r="8" spans="1:12" ht="12.75" hidden="1">
      <c r="A8" s="3155" t="s">
        <v>2040</v>
      </c>
      <c r="B8" s="3142">
        <v>15</v>
      </c>
      <c r="C8" s="3158"/>
      <c r="D8" s="3178"/>
      <c r="E8" s="140" t="s">
        <v>2041</v>
      </c>
      <c r="F8" s="2312"/>
      <c r="G8" s="2312"/>
      <c r="H8" s="2312"/>
      <c r="I8" s="1817"/>
    </row>
    <row r="9" spans="1:12" ht="12.75" hidden="1">
      <c r="A9" s="3155"/>
      <c r="B9" s="3142"/>
      <c r="C9" s="3160"/>
      <c r="D9" s="3178"/>
      <c r="E9" s="140" t="s">
        <v>2042</v>
      </c>
      <c r="F9" s="2312"/>
      <c r="G9" s="2312"/>
      <c r="H9" s="2312"/>
      <c r="I9" s="1817"/>
    </row>
    <row r="10" spans="1:12" ht="12.75" hidden="1">
      <c r="A10" s="3155" t="s">
        <v>2043</v>
      </c>
      <c r="B10" s="3142">
        <v>15</v>
      </c>
      <c r="C10" s="3158"/>
      <c r="D10" s="3178"/>
      <c r="E10" s="140" t="s">
        <v>2044</v>
      </c>
      <c r="F10" s="2312"/>
      <c r="G10" s="2312"/>
      <c r="H10" s="2312"/>
      <c r="I10" s="1817"/>
    </row>
    <row r="11" spans="1:12" ht="12.75" hidden="1">
      <c r="A11" s="3155"/>
      <c r="B11" s="3142"/>
      <c r="C11" s="3160"/>
      <c r="D11" s="3178"/>
      <c r="E11" s="140" t="s">
        <v>2045</v>
      </c>
      <c r="F11" s="2312"/>
      <c r="G11" s="2312"/>
      <c r="H11" s="2312"/>
      <c r="I11" s="1817"/>
    </row>
    <row r="12" spans="1:12" ht="12.75" hidden="1">
      <c r="A12" s="3155" t="s">
        <v>2046</v>
      </c>
      <c r="B12" s="3142">
        <v>15</v>
      </c>
      <c r="C12" s="3158"/>
      <c r="D12" s="3178"/>
      <c r="E12" s="140" t="s">
        <v>2047</v>
      </c>
      <c r="F12" s="2312"/>
      <c r="G12" s="2312"/>
      <c r="H12" s="2312"/>
      <c r="I12" s="1817"/>
    </row>
    <row r="13" spans="1:12" ht="12.75" hidden="1">
      <c r="A13" s="3155"/>
      <c r="B13" s="3142"/>
      <c r="C13" s="3160"/>
      <c r="D13" s="3178"/>
      <c r="E13" s="140" t="s">
        <v>2048</v>
      </c>
      <c r="F13" s="2312"/>
      <c r="G13" s="2312"/>
      <c r="H13" s="2312"/>
      <c r="I13" s="1817"/>
    </row>
    <row r="14" spans="1:12" ht="12.75" hidden="1">
      <c r="A14" s="3155" t="s">
        <v>2049</v>
      </c>
      <c r="B14" s="3142">
        <v>30</v>
      </c>
      <c r="C14" s="3158">
        <v>80</v>
      </c>
      <c r="D14" s="3178">
        <f>100-C14</f>
        <v>20</v>
      </c>
      <c r="E14" s="140" t="s">
        <v>2050</v>
      </c>
      <c r="F14" s="2312"/>
      <c r="G14" s="2312"/>
      <c r="H14" s="2312"/>
      <c r="I14" s="1817"/>
    </row>
    <row r="15" spans="1:12" ht="12.75" hidden="1">
      <c r="A15" s="3155"/>
      <c r="B15" s="3142"/>
      <c r="C15" s="3159"/>
      <c r="D15" s="3178"/>
      <c r="E15" s="140" t="s">
        <v>2051</v>
      </c>
      <c r="F15" s="2312"/>
      <c r="G15" s="2312"/>
      <c r="H15" s="2312"/>
      <c r="I15" s="1817"/>
    </row>
    <row r="16" spans="1:12" ht="12.75">
      <c r="A16" s="3155"/>
      <c r="B16" s="3142"/>
      <c r="C16" s="3160"/>
      <c r="D16" s="3178"/>
      <c r="E16" s="140" t="s">
        <v>2052</v>
      </c>
      <c r="F16" s="2312"/>
      <c r="G16" s="2312"/>
      <c r="H16" s="2312"/>
      <c r="I16" s="1817"/>
    </row>
    <row r="17" spans="1:35" ht="15">
      <c r="A17" s="2313" t="s">
        <v>2053</v>
      </c>
      <c r="B17" s="64"/>
      <c r="C17" s="141">
        <f>SUM(C5:C16)</f>
        <v>80</v>
      </c>
      <c r="D17" s="141">
        <f>SUM(D5:D16)</f>
        <v>20</v>
      </c>
      <c r="E17" s="138"/>
      <c r="F17" s="138"/>
      <c r="G17" s="138"/>
      <c r="H17" s="138"/>
      <c r="I17" s="138"/>
      <c r="K17" s="2311"/>
      <c r="L17" s="2314" t="s">
        <v>2054</v>
      </c>
      <c r="M17" s="2314" t="s">
        <v>2055</v>
      </c>
    </row>
    <row r="18" spans="1:35" ht="15.75" thickBot="1">
      <c r="A18" s="2315" t="s">
        <v>2056</v>
      </c>
      <c r="B18" s="2316"/>
      <c r="C18" s="142">
        <f>ROUND(C17/SUM(C17:D17),2)</f>
        <v>0.8</v>
      </c>
      <c r="D18" s="142">
        <f>1-C18</f>
        <v>0.19999999999999996</v>
      </c>
      <c r="E18" s="138"/>
      <c r="F18" s="138"/>
      <c r="G18" s="138"/>
      <c r="H18" s="138"/>
      <c r="I18" s="138"/>
      <c r="K18" s="2311" t="s">
        <v>2057</v>
      </c>
      <c r="L18" s="2311">
        <f>IF(C1="",'数据-汇总表'!E3,SUMIF(项目类型,C1,'数据-汇总表'!E17:E26)+SUMIF(项目类型,C1,'数据-汇总表'!I17:I26))</f>
        <v>26965.789999999986</v>
      </c>
      <c r="M18" s="2311">
        <f>IF(C1="",'数据-汇总表'!E3,SUMIF(项目类型,C1,'数据-汇总表'!E17:E26))</f>
        <v>26965.789999999986</v>
      </c>
    </row>
    <row r="19" spans="1:35" ht="15">
      <c r="A19" s="2317" t="s">
        <v>2058</v>
      </c>
      <c r="B19" s="2318" t="s">
        <v>2059</v>
      </c>
      <c r="C19" s="143">
        <f ca="1">SUMIF(INDIRECT("'"&amp;C4&amp;"'"&amp;"!A:A"),结果表!B19,INDIRECT("'"&amp;C4&amp;"'"&amp;"!B:B"))</f>
        <v>544</v>
      </c>
      <c r="D19" s="144">
        <f ca="1">SUMIF(INDIRECT("'"&amp;D4&amp;"'"&amp;"!A:A"),结果表!B19,INDIRECT("'"&amp;D4&amp;"'"&amp;"!B:B"))</f>
        <v>148487</v>
      </c>
      <c r="E19" s="2317" t="s">
        <v>2060</v>
      </c>
      <c r="F19" s="2318" t="s">
        <v>2059</v>
      </c>
      <c r="G19" s="145">
        <f ca="1">ROUND(C19*$C$18+D19*$D$18,0)</f>
        <v>30133</v>
      </c>
      <c r="H19" s="2319" t="s">
        <v>2061</v>
      </c>
      <c r="I19" s="138"/>
      <c r="K19" s="2311" t="s">
        <v>2062</v>
      </c>
      <c r="L19" s="2311">
        <f>IF(C1="",'数据-汇总表'!D3,SUMIF(项目类型,C1,'数据-汇总表'!D17:D26)+SUMIF(项目类型,C1,'数据-汇总表'!H17:H27))</f>
        <v>2719.43</v>
      </c>
      <c r="M19" s="2311">
        <f>IF(C1="",'数据-汇总表'!D3,SUMIF(项目类型,C1,'数据-汇总表'!D17:D26))</f>
        <v>2719.43</v>
      </c>
    </row>
    <row r="20" spans="1:35" ht="15.75" thickBot="1">
      <c r="A20" s="2320"/>
      <c r="B20" s="1234" t="s">
        <v>2063</v>
      </c>
      <c r="C20" s="146">
        <f ca="1">SUMIF(INDIRECT("'"&amp;C4&amp;"'"&amp;"!A:A"),结果表!B20,INDIRECT("'"&amp;C4&amp;"'"&amp;"!B:B"))</f>
        <v>61843</v>
      </c>
      <c r="D20" s="147">
        <f ca="1">SUMIF(INDIRECT("'"&amp;D4&amp;"'"&amp;"!A:A"),结果表!B20,INDIRECT("'"&amp;D4&amp;"'"&amp;"!B:B"))</f>
        <v>58528</v>
      </c>
      <c r="E20" s="2320"/>
      <c r="F20" s="1234" t="s">
        <v>2063</v>
      </c>
      <c r="G20" s="148">
        <f ca="1">ROUND(C20*$C$18+D20*$D$18,0)</f>
        <v>61180</v>
      </c>
      <c r="H20" s="981" t="s">
        <v>2064</v>
      </c>
      <c r="I20" s="138"/>
    </row>
    <row r="21" spans="1:35" ht="15" hidden="1" customHeight="1" thickBot="1">
      <c r="A21" s="1001"/>
      <c r="B21" s="2321" t="s">
        <v>2065</v>
      </c>
      <c r="C21" s="788">
        <f ca="1">ROUND(C19*10000/L19,0)</f>
        <v>2000</v>
      </c>
      <c r="D21" s="789">
        <f ca="1">ROUND(D19*10000/L19,0)</f>
        <v>546023</v>
      </c>
      <c r="E21" s="1001"/>
      <c r="F21" s="2321" t="s">
        <v>2065</v>
      </c>
      <c r="G21" s="149">
        <f ca="1">ROUND(G19*10000/L19,0)</f>
        <v>110806</v>
      </c>
      <c r="H21" s="2322" t="s">
        <v>2064</v>
      </c>
      <c r="I21" s="138"/>
    </row>
    <row r="22" spans="1:35" ht="15" thickBot="1">
      <c r="A22" s="2163" t="s">
        <v>2066</v>
      </c>
      <c r="B22" s="2323"/>
      <c r="C22" s="2324"/>
      <c r="D22" s="790">
        <f ca="1">IF(C19&lt;D19,D19/C19-1,C19/D19-1)</f>
        <v>271.95404411764707</v>
      </c>
      <c r="E22" s="138"/>
      <c r="F22" s="138"/>
      <c r="G22" s="138"/>
      <c r="H22" s="138"/>
      <c r="I22" s="138"/>
    </row>
    <row r="23" spans="1:35" ht="13.5" thickBot="1">
      <c r="A23" s="2301"/>
      <c r="B23" s="2301"/>
      <c r="C23" s="2301"/>
      <c r="D23" s="2301"/>
      <c r="E23" s="138"/>
      <c r="F23" s="138"/>
      <c r="G23" s="138"/>
      <c r="H23" s="138"/>
      <c r="I23" s="138"/>
    </row>
    <row r="24" spans="1:35" ht="14.25">
      <c r="A24" s="3149" t="s">
        <v>2067</v>
      </c>
      <c r="B24" s="2318" t="s">
        <v>2059</v>
      </c>
      <c r="C24" s="145">
        <f>IF(B30=0,0,D30)</f>
        <v>0</v>
      </c>
      <c r="D24" s="2325"/>
      <c r="E24" s="138"/>
      <c r="F24" s="138"/>
      <c r="G24" s="138"/>
      <c r="H24" s="138"/>
      <c r="I24" s="138"/>
    </row>
    <row r="25" spans="1:35" ht="14.25">
      <c r="A25" s="3150"/>
      <c r="B25" s="1234" t="s">
        <v>2063</v>
      </c>
      <c r="C25" s="150">
        <f>IF(B30=0,0,C30)</f>
        <v>0</v>
      </c>
      <c r="D25" s="2326"/>
      <c r="E25" s="138"/>
      <c r="F25" s="138"/>
      <c r="G25" s="138"/>
      <c r="H25" s="138"/>
      <c r="I25" s="138"/>
    </row>
    <row r="26" spans="1:35" ht="13.5" customHeight="1">
      <c r="A26" s="2327" t="s">
        <v>2068</v>
      </c>
      <c r="B26" s="151" t="s">
        <v>2069</v>
      </c>
      <c r="C26" s="151" t="s">
        <v>2070</v>
      </c>
      <c r="D26" s="152" t="s">
        <v>2071</v>
      </c>
      <c r="E26" s="138"/>
      <c r="F26" s="138"/>
      <c r="G26" s="138"/>
      <c r="H26" s="138"/>
      <c r="I26" s="138"/>
    </row>
    <row r="27" spans="1:35" ht="14.25">
      <c r="A27" s="2327"/>
      <c r="B27" s="151">
        <v>0</v>
      </c>
      <c r="C27" s="151">
        <v>0</v>
      </c>
      <c r="D27" s="152">
        <f>ROUND(C27*B27/10000,0)</f>
        <v>0</v>
      </c>
      <c r="E27" s="138"/>
      <c r="F27" s="138"/>
      <c r="G27" s="138"/>
      <c r="H27" s="138"/>
      <c r="I27" s="138"/>
    </row>
    <row r="28" spans="1:35" ht="14.25">
      <c r="A28" s="2327"/>
      <c r="B28" s="151"/>
      <c r="C28" s="151"/>
      <c r="D28" s="152"/>
      <c r="E28" s="138"/>
      <c r="F28" s="138"/>
      <c r="G28" s="138"/>
      <c r="H28" s="138"/>
      <c r="I28" s="138"/>
    </row>
    <row r="29" spans="1:35" ht="14.25">
      <c r="A29" s="2327"/>
      <c r="B29" s="151"/>
      <c r="C29" s="151"/>
      <c r="D29" s="152"/>
      <c r="E29" s="138"/>
      <c r="F29" s="138"/>
      <c r="G29" s="138"/>
      <c r="H29" s="138"/>
      <c r="I29" s="138"/>
    </row>
    <row r="30" spans="1:35" ht="15" thickBot="1">
      <c r="A30" s="151" t="s">
        <v>2072</v>
      </c>
      <c r="B30" s="151"/>
      <c r="C30" s="151"/>
      <c r="D30" s="151"/>
      <c r="E30" s="2808" t="s">
        <v>2943</v>
      </c>
      <c r="F30" s="138"/>
      <c r="G30" s="138"/>
      <c r="H30" s="138"/>
      <c r="I30" s="138"/>
    </row>
    <row r="31" spans="1:35" s="2329" customFormat="1" ht="15" hidden="1" thickBot="1">
      <c r="A31" s="2328"/>
      <c r="B31" s="2328"/>
      <c r="C31" s="2328"/>
      <c r="D31" s="2328"/>
      <c r="E31" s="138"/>
      <c r="F31" s="138"/>
      <c r="G31" s="138"/>
      <c r="H31" s="138"/>
      <c r="I31" s="138"/>
      <c r="J31" s="794"/>
      <c r="K31" s="794"/>
      <c r="L31" s="794"/>
      <c r="M31" s="794"/>
      <c r="N31" s="794"/>
      <c r="O31" s="794"/>
      <c r="P31" s="794"/>
      <c r="Q31" s="794"/>
      <c r="R31" s="794"/>
      <c r="S31" s="794"/>
      <c r="T31" s="794"/>
      <c r="U31" s="794"/>
      <c r="V31" s="794"/>
      <c r="W31" s="794"/>
      <c r="X31" s="794"/>
      <c r="Y31" s="794"/>
      <c r="Z31" s="794"/>
      <c r="AA31" s="2306"/>
      <c r="AB31" s="2306"/>
      <c r="AC31" s="2306"/>
      <c r="AD31" s="2306"/>
      <c r="AE31" s="2306"/>
      <c r="AF31" s="2306"/>
      <c r="AG31" s="2306"/>
      <c r="AH31" s="2306"/>
      <c r="AI31" s="2306"/>
    </row>
    <row r="32" spans="1:35" ht="15.75" hidden="1" thickBot="1">
      <c r="A32" s="2330" t="s">
        <v>2073</v>
      </c>
      <c r="B32" s="2331"/>
      <c r="C32" s="153">
        <f ca="1">IF(D32="总价",G19-C24,G20-C25)</f>
        <v>30133</v>
      </c>
      <c r="D32" s="2332" t="s">
        <v>2074</v>
      </c>
      <c r="E32" s="138"/>
      <c r="F32" s="138"/>
      <c r="G32" s="138"/>
      <c r="H32" s="138"/>
      <c r="I32" s="138"/>
    </row>
    <row r="33" spans="1:15" ht="15.75" hidden="1" thickBot="1">
      <c r="A33" s="958" t="s">
        <v>2075</v>
      </c>
      <c r="B33" s="2333"/>
      <c r="C33" s="2334"/>
      <c r="D33" s="2335"/>
      <c r="E33" s="2336" t="s">
        <v>2076</v>
      </c>
      <c r="F33" s="2337" t="str">
        <f>IF(D32="楼面单价","取值（单价）","取值（总价）")</f>
        <v>取值（总价）</v>
      </c>
      <c r="G33" s="138"/>
      <c r="H33" s="138"/>
      <c r="I33" s="138"/>
    </row>
    <row r="34" spans="1:15" ht="15" hidden="1">
      <c r="A34" s="2338"/>
      <c r="B34" s="2339" t="s">
        <v>2077</v>
      </c>
      <c r="C34" s="157" t="e">
        <f ca="1">IF(C33="自定义",F34,C32-C35)</f>
        <v>#REF!</v>
      </c>
      <c r="D34" s="1050" t="e">
        <f ca="1">IF(C33="自定义",ROUND(C34/C32,3),IF(C33="收益比率",SUMIF(INDIRECT("'"&amp;D33&amp;"'"&amp;"!b:b"),"土地收益比率",INDIRECT("'"&amp;D33&amp;"'"&amp;"!c:c")),SUMIF(INDIRECT("'"&amp;D33&amp;"'"&amp;"!b:b"),"土地成本比率",INDIRECT("'"&amp;D33&amp;"'"&amp;"!c:c"))))</f>
        <v>#REF!</v>
      </c>
      <c r="E34" s="2340" t="s">
        <v>2078</v>
      </c>
      <c r="F34" s="1722"/>
      <c r="G34" s="138"/>
      <c r="H34" s="138"/>
      <c r="I34" s="138"/>
    </row>
    <row r="35" spans="1:15" ht="15.75" hidden="1" thickBot="1">
      <c r="A35" s="2341"/>
      <c r="B35" s="2342" t="s">
        <v>2079</v>
      </c>
      <c r="C35" s="1428" t="e">
        <f ca="1">IF(C33="自定义",F35,ROUND(C32*D35,0))</f>
        <v>#REF!</v>
      </c>
      <c r="D35" s="1429" t="e">
        <f ca="1">IF(C33="自定义",ROUND(C35/C32,3),IF(C33="收益比率",SUMIF(INDIRECT("'"&amp;D33&amp;"'"&amp;"!b:b"),"建筑物收益比率",INDIRECT("'"&amp;D33&amp;"'"&amp;"!c:c")),SUMIF(INDIRECT("'"&amp;D33&amp;"'"&amp;"!b:b"),"建筑物成本比率",INDIRECT("'"&amp;D33&amp;"'"&amp;"!c:c"))))</f>
        <v>#REF!</v>
      </c>
      <c r="E35" s="2343" t="s">
        <v>2080</v>
      </c>
      <c r="F35" s="163"/>
      <c r="G35" s="138"/>
      <c r="H35" s="138"/>
      <c r="I35" s="138"/>
    </row>
    <row r="36" spans="1:15" ht="15.75" thickBot="1">
      <c r="A36" s="3167" t="s">
        <v>2081</v>
      </c>
      <c r="B36" s="2344" t="s">
        <v>2082</v>
      </c>
      <c r="C36" s="154"/>
      <c r="D36" s="2345"/>
      <c r="E36" s="2346"/>
      <c r="F36" s="2347"/>
      <c r="G36" s="138"/>
      <c r="H36" s="138"/>
      <c r="I36" s="138"/>
    </row>
    <row r="37" spans="1:15" ht="15.75" thickBot="1">
      <c r="A37" s="3168"/>
      <c r="B37" s="2149" t="s">
        <v>2083</v>
      </c>
      <c r="C37" s="156"/>
      <c r="D37" s="1379"/>
      <c r="E37" s="1379"/>
      <c r="F37" s="2347"/>
      <c r="G37" s="138"/>
      <c r="H37" s="138"/>
      <c r="I37" s="138"/>
    </row>
    <row r="38" spans="1:15" ht="15.75" thickBot="1">
      <c r="A38" s="3169"/>
      <c r="B38" s="2348" t="s">
        <v>2084</v>
      </c>
      <c r="C38" s="726"/>
      <c r="D38" s="2349" t="s">
        <v>2085</v>
      </c>
      <c r="E38" s="1379"/>
      <c r="F38" s="2347"/>
      <c r="G38" s="138"/>
      <c r="H38" s="138"/>
      <c r="I38" s="138"/>
    </row>
    <row r="39" spans="1:15" ht="15">
      <c r="A39" s="2320" t="s">
        <v>2086</v>
      </c>
      <c r="B39" s="2350" t="s">
        <v>2087</v>
      </c>
      <c r="C39" s="2351" t="s">
        <v>2088</v>
      </c>
      <c r="D39" s="2351" t="s">
        <v>2089</v>
      </c>
      <c r="E39" s="2352" t="s">
        <v>2090</v>
      </c>
      <c r="F39" s="2347"/>
      <c r="G39" s="138"/>
      <c r="H39" s="138"/>
      <c r="I39" s="138"/>
    </row>
    <row r="40" spans="1:15" ht="14.25">
      <c r="A40" s="2353" t="s">
        <v>2091</v>
      </c>
      <c r="B40" s="158"/>
      <c r="C40" s="159"/>
      <c r="D40" s="159"/>
      <c r="E40" s="160"/>
      <c r="F40" s="2347"/>
      <c r="G40" s="138"/>
      <c r="H40" s="138"/>
      <c r="I40" s="138"/>
    </row>
    <row r="41" spans="1:15" ht="14.25">
      <c r="A41" s="2353" t="s">
        <v>2092</v>
      </c>
      <c r="B41" s="158"/>
      <c r="C41" s="159"/>
      <c r="D41" s="159"/>
      <c r="E41" s="160"/>
      <c r="F41" s="2347"/>
      <c r="G41" s="138"/>
      <c r="H41" s="138"/>
      <c r="I41" s="138"/>
    </row>
    <row r="42" spans="1:15" ht="15" thickBot="1">
      <c r="A42" s="2354"/>
      <c r="B42" s="161"/>
      <c r="C42" s="162"/>
      <c r="D42" s="162"/>
      <c r="E42" s="163"/>
      <c r="F42" s="2347"/>
      <c r="G42" s="138"/>
      <c r="H42" s="138"/>
      <c r="I42" s="138"/>
    </row>
    <row r="43" spans="1:15" ht="12.75" hidden="1">
      <c r="A43" s="2048"/>
      <c r="B43" s="2048"/>
      <c r="C43" s="2048"/>
      <c r="D43" s="2048"/>
      <c r="E43" s="2048"/>
      <c r="F43" s="2355"/>
      <c r="G43" s="2355"/>
      <c r="H43" s="2355"/>
      <c r="I43" s="2356"/>
    </row>
    <row r="44" spans="1:15" ht="18.75" hidden="1">
      <c r="A44" s="2357" t="s">
        <v>2093</v>
      </c>
      <c r="B44" s="2358"/>
      <c r="C44" s="2358"/>
      <c r="D44" s="2359"/>
      <c r="E44" s="2359"/>
      <c r="F44" s="2360"/>
      <c r="G44" s="2360"/>
      <c r="H44" s="2360"/>
      <c r="I44" s="2360"/>
      <c r="J44" s="2361" t="s">
        <v>2094</v>
      </c>
      <c r="K44" s="2362"/>
      <c r="L44" s="2362"/>
      <c r="M44" s="2362"/>
      <c r="N44" s="2362"/>
      <c r="O44" s="2362"/>
    </row>
    <row r="45" spans="1:15" ht="14.25" hidden="1" customHeight="1" thickBot="1">
      <c r="A45" s="3146" t="s">
        <v>2095</v>
      </c>
      <c r="B45" s="3147"/>
      <c r="C45" s="3148"/>
      <c r="D45" s="164">
        <f ca="1">ROUND(H101*F45,0)</f>
        <v>30133</v>
      </c>
      <c r="E45" s="165" t="s">
        <v>2096</v>
      </c>
      <c r="F45" s="166">
        <v>1</v>
      </c>
      <c r="G45" s="167" t="s">
        <v>2097</v>
      </c>
      <c r="H45" s="138"/>
      <c r="I45" s="138"/>
      <c r="J45" s="3206" t="s">
        <v>2098</v>
      </c>
      <c r="K45" s="3206"/>
      <c r="L45" s="3206"/>
      <c r="M45" s="3206"/>
      <c r="N45" s="3206"/>
      <c r="O45" s="3206"/>
    </row>
    <row r="46" spans="1:15" ht="14.25" hidden="1" customHeight="1">
      <c r="A46" s="3143" t="s">
        <v>2099</v>
      </c>
      <c r="B46" s="3144"/>
      <c r="C46" s="3144"/>
      <c r="D46" s="3144"/>
      <c r="E46" s="3144"/>
      <c r="F46" s="3144"/>
      <c r="G46" s="3145"/>
      <c r="H46" s="2363"/>
      <c r="I46" s="168"/>
      <c r="J46" s="1795">
        <v>1</v>
      </c>
      <c r="K46" s="3206" t="s">
        <v>2100</v>
      </c>
      <c r="L46" s="3206"/>
      <c r="M46" s="3226"/>
      <c r="N46" s="3226"/>
      <c r="O46" s="3226"/>
    </row>
    <row r="47" spans="1:15" ht="12" hidden="1" customHeight="1">
      <c r="A47" s="169" t="s">
        <v>2101</v>
      </c>
      <c r="B47" s="170"/>
      <c r="C47" s="171"/>
      <c r="D47" s="172" t="s">
        <v>2102</v>
      </c>
      <c r="E47" s="24" t="s">
        <v>2103</v>
      </c>
      <c r="F47" s="173" t="s">
        <v>2104</v>
      </c>
      <c r="G47" s="174" t="s">
        <v>2105</v>
      </c>
      <c r="H47" s="2363"/>
      <c r="I47" s="168"/>
      <c r="J47" s="1795">
        <v>2</v>
      </c>
      <c r="K47" s="3206" t="s">
        <v>2106</v>
      </c>
      <c r="L47" s="3206"/>
      <c r="M47" s="3227">
        <f>'数据-取费表'!B2</f>
        <v>43161</v>
      </c>
      <c r="N47" s="3227"/>
      <c r="O47" s="3227"/>
    </row>
    <row r="48" spans="1:15" ht="25.5" hidden="1">
      <c r="A48" s="3174" t="s">
        <v>2107</v>
      </c>
      <c r="B48" s="3157"/>
      <c r="C48" s="3157"/>
      <c r="D48" s="140">
        <f>IF(H48="情况1",0,IF(H48="情况2",D52,IF(H48="情况3",D53,IF(H48="情况4",D54))))</f>
        <v>0</v>
      </c>
      <c r="E48" s="1784" t="str">
        <f>IF(H48="情况4","(销售额-原购置价)×税（费）率","销售额×税（费）率")</f>
        <v>销售额×税（费）率</v>
      </c>
      <c r="F48" s="175" t="str">
        <f>IF(H48="情况1","免征",'数据-取费表'!B41)</f>
        <v>免征</v>
      </c>
      <c r="G48" s="2364" t="s">
        <v>2108</v>
      </c>
      <c r="H48" s="2365" t="s">
        <v>2109</v>
      </c>
      <c r="I48" s="2363"/>
      <c r="J48" s="1795">
        <v>3</v>
      </c>
      <c r="K48" s="3206" t="s">
        <v>2110</v>
      </c>
      <c r="L48" s="3206"/>
      <c r="M48" s="3228">
        <f ca="1">H101</f>
        <v>30133</v>
      </c>
      <c r="N48" s="3228"/>
      <c r="O48" s="3228"/>
    </row>
    <row r="49" spans="1:35" ht="25.5" hidden="1" customHeight="1">
      <c r="A49" s="176" t="s">
        <v>2111</v>
      </c>
      <c r="B49" s="3141" t="s">
        <v>2112</v>
      </c>
      <c r="C49" s="3141"/>
      <c r="D49" s="177">
        <v>0</v>
      </c>
      <c r="E49" s="23" t="s">
        <v>2113</v>
      </c>
      <c r="F49" s="28" t="s">
        <v>34</v>
      </c>
      <c r="G49" s="3212"/>
      <c r="H49" s="138"/>
      <c r="I49" s="2366"/>
      <c r="J49" s="1795">
        <v>4</v>
      </c>
      <c r="K49" s="3206" t="str">
        <f>IF(项目基本情况!E8="房地产抵押价值","房地产抵押价值","抵押担保权已注销时的房地产抵押价值")</f>
        <v>抵押担保权已注销时的房地产抵押价值</v>
      </c>
      <c r="L49" s="3206"/>
      <c r="M49" s="3228">
        <f ca="1">IF(项目基本情况!E8="房地产抵押价值",H107,H109)</f>
        <v>30133</v>
      </c>
      <c r="N49" s="3228"/>
      <c r="O49" s="3228"/>
    </row>
    <row r="50" spans="1:35" ht="25.5" hidden="1" customHeight="1">
      <c r="A50" s="178"/>
      <c r="B50" s="3141" t="s">
        <v>2114</v>
      </c>
      <c r="C50" s="3141"/>
      <c r="D50" s="179"/>
      <c r="E50" s="31"/>
      <c r="F50" s="180"/>
      <c r="G50" s="3213"/>
      <c r="H50" s="138"/>
      <c r="I50" s="2366"/>
      <c r="J50" s="3206" t="s">
        <v>2115</v>
      </c>
      <c r="K50" s="3206"/>
      <c r="L50" s="3206"/>
      <c r="M50" s="3206"/>
      <c r="N50" s="3206"/>
      <c r="O50" s="3206"/>
    </row>
    <row r="51" spans="1:35" ht="12" hidden="1" customHeight="1">
      <c r="A51" s="181"/>
      <c r="B51" s="3141" t="s">
        <v>2116</v>
      </c>
      <c r="C51" s="3141"/>
      <c r="D51" s="182"/>
      <c r="E51" s="30"/>
      <c r="F51" s="180"/>
      <c r="G51" s="3214"/>
      <c r="H51" s="138"/>
      <c r="I51" s="2366"/>
      <c r="J51" s="2367" t="s">
        <v>2117</v>
      </c>
      <c r="K51" s="3206" t="s">
        <v>2118</v>
      </c>
      <c r="L51" s="3206"/>
      <c r="M51" s="2367" t="s">
        <v>2119</v>
      </c>
      <c r="N51" s="2367" t="s">
        <v>2120</v>
      </c>
      <c r="O51" s="2367" t="s">
        <v>2121</v>
      </c>
    </row>
    <row r="52" spans="1:35" ht="24" hidden="1" customHeight="1">
      <c r="A52" s="183" t="s">
        <v>2122</v>
      </c>
      <c r="B52" s="3141" t="s">
        <v>2123</v>
      </c>
      <c r="C52" s="3141"/>
      <c r="D52" s="182">
        <f ca="1">ROUND(D45*'数据-取费表'!B41/(1+'数据-取费表'!C42),0)</f>
        <v>1607</v>
      </c>
      <c r="E52" s="11" t="s">
        <v>2124</v>
      </c>
      <c r="F52" s="184">
        <f>'数据-取费表'!B41</f>
        <v>5.6000000000000001E-2</v>
      </c>
      <c r="G52" s="2368"/>
      <c r="H52" s="138"/>
      <c r="I52" s="2366"/>
      <c r="J52" s="1795">
        <v>1</v>
      </c>
      <c r="K52" s="3207" t="s">
        <v>2125</v>
      </c>
      <c r="L52" s="3207"/>
      <c r="M52" s="1737">
        <f>D48</f>
        <v>0</v>
      </c>
      <c r="N52" s="1795" t="str">
        <f>E48</f>
        <v>销售额×税（费）率</v>
      </c>
      <c r="O52" s="1738" t="str">
        <f>F48</f>
        <v>免征</v>
      </c>
    </row>
    <row r="53" spans="1:35" ht="12" hidden="1" customHeight="1">
      <c r="A53" s="183" t="s">
        <v>2126</v>
      </c>
      <c r="B53" s="3165" t="s">
        <v>2127</v>
      </c>
      <c r="C53" s="3166"/>
      <c r="D53" s="182">
        <f ca="1">ROUND(D45*'数据-取费表'!B41/(1+'数据-取费表'!C42),0)</f>
        <v>1607</v>
      </c>
      <c r="E53" s="11" t="s">
        <v>2124</v>
      </c>
      <c r="F53" s="184">
        <f>'数据-取费表'!B41</f>
        <v>5.6000000000000001E-2</v>
      </c>
      <c r="G53" s="2368"/>
      <c r="H53" s="138"/>
      <c r="I53" s="2366"/>
      <c r="J53" s="1795">
        <v>2</v>
      </c>
      <c r="K53" s="3207" t="s">
        <v>2128</v>
      </c>
      <c r="L53" s="3207"/>
      <c r="M53" s="1737">
        <f t="shared" ref="M53:O54" ca="1" si="0">D55</f>
        <v>15</v>
      </c>
      <c r="N53" s="1795" t="str">
        <f t="shared" si="0"/>
        <v>销售额×税（费）率</v>
      </c>
      <c r="O53" s="1738">
        <f t="shared" si="0"/>
        <v>5.0000000000000001E-4</v>
      </c>
    </row>
    <row r="54" spans="1:35" ht="12" hidden="1" customHeight="1">
      <c r="A54" s="183" t="s">
        <v>2129</v>
      </c>
      <c r="B54" s="3165" t="s">
        <v>2130</v>
      </c>
      <c r="C54" s="3166"/>
      <c r="D54" s="182">
        <f ca="1">C68</f>
        <v>1607</v>
      </c>
      <c r="E54" s="30" t="s">
        <v>2131</v>
      </c>
      <c r="F54" s="184">
        <f>'数据-取费表'!B41</f>
        <v>5.6000000000000001E-2</v>
      </c>
      <c r="G54" s="2368"/>
      <c r="H54" s="2369"/>
      <c r="I54" s="2366"/>
      <c r="J54" s="1795">
        <v>3</v>
      </c>
      <c r="K54" s="3207" t="s">
        <v>2132</v>
      </c>
      <c r="L54" s="3207"/>
      <c r="M54" s="1737">
        <f t="shared" ca="1" si="0"/>
        <v>17055</v>
      </c>
      <c r="N54" s="1795" t="str">
        <f t="shared" si="0"/>
        <v>增值额×税（费）率</v>
      </c>
      <c r="O54" s="1739" t="str">
        <f t="shared" si="0"/>
        <v>——</v>
      </c>
    </row>
    <row r="55" spans="1:35" ht="24" hidden="1" customHeight="1">
      <c r="A55" s="3156" t="s">
        <v>2133</v>
      </c>
      <c r="B55" s="3157"/>
      <c r="C55" s="3157"/>
      <c r="D55" s="185">
        <f ca="1">IF(H55="个人住宅",0,ROUND(D45*I55,0))</f>
        <v>15</v>
      </c>
      <c r="E55" s="11" t="s">
        <v>2134</v>
      </c>
      <c r="F55" s="184">
        <f>IF(H55="正常",I55,"免征")</f>
        <v>5.0000000000000001E-4</v>
      </c>
      <c r="G55" s="2368"/>
      <c r="H55" s="2365" t="s">
        <v>2135</v>
      </c>
      <c r="I55" s="186">
        <f>'数据-取费表'!B49</f>
        <v>5.0000000000000001E-4</v>
      </c>
      <c r="J55" s="1795" t="str">
        <f>IF(H59="非个人房产","",4)</f>
        <v/>
      </c>
      <c r="K55" s="3207" t="str">
        <f>IF(H59="非个人房产","——","个人所得税")</f>
        <v>——</v>
      </c>
      <c r="L55" s="3207"/>
      <c r="M55" s="1740" t="str">
        <f>D59</f>
        <v>——</v>
      </c>
      <c r="N55" s="1793" t="str">
        <f>E59</f>
        <v>——</v>
      </c>
      <c r="O55" s="1741" t="str">
        <f>F59</f>
        <v>——</v>
      </c>
    </row>
    <row r="56" spans="1:35" ht="24.75" hidden="1">
      <c r="A56" s="3156" t="s">
        <v>2136</v>
      </c>
      <c r="B56" s="3157"/>
      <c r="C56" s="3157"/>
      <c r="D56" s="185">
        <f ca="1">IF(H56="个人住宅",D57,D58)</f>
        <v>17055</v>
      </c>
      <c r="E56" s="11" t="s">
        <v>2137</v>
      </c>
      <c r="F56" s="184" t="str">
        <f>IF(H56="正常",F58,"免征")</f>
        <v>——</v>
      </c>
      <c r="G56" s="2370" t="s">
        <v>2138</v>
      </c>
      <c r="H56" s="2371" t="s">
        <v>2135</v>
      </c>
      <c r="I56" s="2372"/>
      <c r="J56" s="1795" t="str">
        <f>IF(项目基本情况!K6="上海银行",IF(J55="",4,J55+1),"")</f>
        <v/>
      </c>
      <c r="K56" s="3230" t="str">
        <f>IF(项目基本情况!K6="上海银行","其他处置费用","")</f>
        <v/>
      </c>
      <c r="L56" s="3231"/>
      <c r="M56" s="1737" t="str">
        <f>IF(项目基本情况!K6="上海银行",M69,"")</f>
        <v/>
      </c>
      <c r="N56" s="3233" t="str">
        <f>IF(项目基本情况!K6="上海银行","包含处置中涉及的律师、诉讼、拍卖、评估等费用","")</f>
        <v/>
      </c>
      <c r="O56" s="3234"/>
    </row>
    <row r="57" spans="1:35" ht="12.75" hidden="1">
      <c r="A57" s="183" t="s">
        <v>2111</v>
      </c>
      <c r="B57" s="3172" t="s">
        <v>2139</v>
      </c>
      <c r="C57" s="3181"/>
      <c r="D57" s="187">
        <v>0</v>
      </c>
      <c r="E57" s="23" t="s">
        <v>2113</v>
      </c>
      <c r="F57" s="155"/>
      <c r="G57" s="2368"/>
      <c r="H57" s="2372"/>
      <c r="I57" s="2372"/>
      <c r="J57" s="3207">
        <f>IF(AND(J55="",J56=""),4,IF(项目基本情况!K6="上海银行",结果表!J56+1,结果表!J55+1))</f>
        <v>4</v>
      </c>
      <c r="K57" s="3207" t="s">
        <v>2140</v>
      </c>
      <c r="L57" s="2373" t="s">
        <v>2141</v>
      </c>
      <c r="M57" s="1742"/>
      <c r="N57" s="1743">
        <f ca="1">SUMIF(M52:M56,"&lt;9e307")</f>
        <v>17070</v>
      </c>
      <c r="O57" s="2374"/>
      <c r="P57" s="1736">
        <f ca="1">N57/M49</f>
        <v>0.56648856735140873</v>
      </c>
    </row>
    <row r="58" spans="1:35" ht="24.75" hidden="1">
      <c r="A58" s="183" t="s">
        <v>2122</v>
      </c>
      <c r="B58" s="3172" t="s">
        <v>2142</v>
      </c>
      <c r="C58" s="3173"/>
      <c r="D58" s="185">
        <f ca="1">IF(H58="转让取得",C81,C97)</f>
        <v>17055</v>
      </c>
      <c r="E58" s="11" t="s">
        <v>2137</v>
      </c>
      <c r="F58" s="24" t="s">
        <v>34</v>
      </c>
      <c r="G58" s="2368"/>
      <c r="H58" s="2371" t="s">
        <v>2143</v>
      </c>
      <c r="I58" s="2372"/>
      <c r="J58" s="3207"/>
      <c r="K58" s="3207"/>
      <c r="L58" s="2373" t="s">
        <v>2144</v>
      </c>
      <c r="M58" s="1744"/>
      <c r="N58" s="2375" t="str">
        <f ca="1">NUMBERSTRING(INT(N57*10000),2)&amp;"元整"</f>
        <v>壹亿柒仟零柒拾万元整</v>
      </c>
      <c r="O58" s="2376"/>
    </row>
    <row r="59" spans="1:35" ht="24.75" hidden="1" thickBot="1">
      <c r="A59" s="3210" t="s">
        <v>2145</v>
      </c>
      <c r="B59" s="3211"/>
      <c r="C59" s="3211"/>
      <c r="D59" s="188" t="str">
        <f>IF(H59="非个人房产","——",IF(H59="个人住宅",0,ROUND(D45*I59,0)))</f>
        <v>——</v>
      </c>
      <c r="E59" s="189" t="str">
        <f>IF(H59="非个人房产","——","销售额×税（费）率")</f>
        <v>——</v>
      </c>
      <c r="F59" s="190" t="str">
        <f>IF(H59="非个人房产","——",IF(H59="个人住宅","免征",I59))</f>
        <v>——</v>
      </c>
      <c r="G59" s="2377" t="s">
        <v>2138</v>
      </c>
      <c r="H59" s="2371" t="s">
        <v>2146</v>
      </c>
      <c r="I59" s="191">
        <v>0.01</v>
      </c>
      <c r="J59" s="3208">
        <f>J57+1</f>
        <v>5</v>
      </c>
      <c r="K59" s="3207" t="s">
        <v>2147</v>
      </c>
      <c r="L59" s="1795" t="s">
        <v>2141</v>
      </c>
      <c r="M59" s="1745"/>
      <c r="N59" s="1746">
        <f ca="1">M49-N57</f>
        <v>13063</v>
      </c>
      <c r="O59" s="2378"/>
    </row>
    <row r="60" spans="1:35" ht="12" hidden="1" customHeight="1">
      <c r="A60" s="2379"/>
      <c r="B60" s="2301"/>
      <c r="C60" s="2301"/>
      <c r="D60" s="2301"/>
      <c r="E60" s="2049"/>
      <c r="F60" s="2372"/>
      <c r="G60" s="2372"/>
      <c r="H60" s="2380"/>
      <c r="I60" s="138"/>
      <c r="J60" s="3209"/>
      <c r="K60" s="3207"/>
      <c r="L60" s="2373" t="s">
        <v>2144</v>
      </c>
      <c r="M60" s="1744"/>
      <c r="N60" s="2375" t="str">
        <f ca="1">NUMBERSTRING(INT(N59*10000),2)&amp;"元整"</f>
        <v>壹亿叁仟零陆拾叁万元整</v>
      </c>
      <c r="O60" s="2376"/>
    </row>
    <row r="61" spans="1:35" ht="13.5" hidden="1" thickBot="1">
      <c r="A61" s="3154" t="s">
        <v>2148</v>
      </c>
      <c r="B61" s="3154"/>
      <c r="C61" s="3154"/>
      <c r="D61" s="3154"/>
      <c r="E61" s="3154"/>
      <c r="F61" s="2372"/>
      <c r="G61" s="2372"/>
      <c r="H61" s="2380"/>
      <c r="I61" s="138"/>
      <c r="J61" s="1795">
        <f>J59+1</f>
        <v>6</v>
      </c>
      <c r="K61" s="3207" t="s">
        <v>2149</v>
      </c>
      <c r="L61" s="3207"/>
      <c r="M61" s="1747"/>
      <c r="N61" s="1748">
        <f ca="1">ROUND(N59*10000/'数据-汇总表'!E3,0)</f>
        <v>4844</v>
      </c>
      <c r="O61" s="2381"/>
    </row>
    <row r="62" spans="1:35" ht="12.75" hidden="1">
      <c r="A62" s="3170" t="s">
        <v>2150</v>
      </c>
      <c r="B62" s="3171"/>
      <c r="C62" s="1787"/>
      <c r="D62" s="1787" t="s">
        <v>2151</v>
      </c>
      <c r="E62" s="192" t="s">
        <v>2152</v>
      </c>
      <c r="F62" s="2372"/>
      <c r="G62" s="2372"/>
      <c r="H62" s="2380"/>
      <c r="I62" s="138"/>
    </row>
    <row r="63" spans="1:35" ht="12.75" hidden="1">
      <c r="A63" s="203" t="s">
        <v>775</v>
      </c>
      <c r="B63" s="193" t="s">
        <v>2153</v>
      </c>
      <c r="C63" s="194">
        <f ca="1">ROUND((C64+C65)/(1+'数据-取费表'!C42),0)</f>
        <v>28698</v>
      </c>
      <c r="D63" s="195"/>
      <c r="E63" s="196"/>
      <c r="F63" s="2372"/>
      <c r="G63" s="2372"/>
      <c r="H63" s="2380"/>
      <c r="I63" s="138"/>
      <c r="J63" s="3232" t="s">
        <v>2154</v>
      </c>
      <c r="K63" s="2382" t="s">
        <v>2155</v>
      </c>
      <c r="L63" s="1735">
        <f ca="1">IF(M49&gt;10000,M49*0.5%,IF(AND(M49&gt;1000,M49&lt;=10000),M49*1%,IF(AND(M49&gt;100,M49&lt;=1000),M49*3%,IF(AND(M49&gt;10,M49&lt;=100),M49*5%,M49*8%))))</f>
        <v>150.66499999999999</v>
      </c>
      <c r="M63" s="24">
        <f ca="1">ROUND(L63,1)</f>
        <v>150.69999999999999</v>
      </c>
      <c r="Z63" s="2306"/>
      <c r="AI63" s="2307"/>
    </row>
    <row r="64" spans="1:35" ht="14.25" hidden="1" customHeight="1">
      <c r="A64" s="197" t="s">
        <v>770</v>
      </c>
      <c r="B64" s="198" t="s">
        <v>2156</v>
      </c>
      <c r="C64" s="199">
        <f ca="1">D45</f>
        <v>30133</v>
      </c>
      <c r="D64" s="200" t="s">
        <v>32</v>
      </c>
      <c r="E64" s="201"/>
      <c r="F64" s="2372"/>
      <c r="G64" s="2372"/>
      <c r="H64" s="2380"/>
      <c r="I64" s="138"/>
      <c r="J64" s="3232"/>
      <c r="K64" s="2382" t="s">
        <v>2157</v>
      </c>
      <c r="L64" s="1735">
        <f ca="1">IF(M49&gt;2000,M49*0.5%,IF(AND(M49&gt;1000,M49&lt;=2000),M49*0.6%,IF(AND(M49&gt;500,M49&lt;=1000),M49*0.7%,IF(AND(M49&gt;200,M49&lt;=500),M49*0.8%,IF(AND(M49&gt;100,M49&lt;=200),M49*0.9%,IF(AND(M49&gt;50,M49&lt;=100),M49*1%,IF(AND(M49&gt;20,M49&lt;=50),M49*1.5%,IF(AND(M49&gt;10,M49&lt;=20),M49*2%,IF(AND(M49&gt;1,M49&lt;=10),M49*2.5%)))))))))</f>
        <v>150.66499999999999</v>
      </c>
      <c r="M64" s="24">
        <f t="shared" ref="M64:M65" ca="1" si="1">ROUND(L64,1)</f>
        <v>150.69999999999999</v>
      </c>
      <c r="N64" s="138" t="s">
        <v>2158</v>
      </c>
      <c r="Z64" s="2306"/>
      <c r="AI64" s="2307"/>
    </row>
    <row r="65" spans="1:35" ht="14.25" hidden="1" customHeight="1">
      <c r="A65" s="197" t="s">
        <v>771</v>
      </c>
      <c r="B65" s="198" t="s">
        <v>2159</v>
      </c>
      <c r="C65" s="202"/>
      <c r="D65" s="200"/>
      <c r="E65" s="201"/>
      <c r="F65" s="2372"/>
      <c r="G65" s="2372"/>
      <c r="H65" s="2380"/>
      <c r="I65" s="138"/>
      <c r="J65" s="3232"/>
      <c r="K65" s="2382" t="s">
        <v>2160</v>
      </c>
      <c r="L65" s="1735">
        <f ca="1">IF(M49&gt;1000,M49*0.1%,IF(AND(M49&gt;500,M49&lt;=1000),M49*0.5%,IF(AND(M49&gt;50,M49&lt;=500),M49*1%,IF(AND(M49&gt;1,M49&lt;=50),M49*1.5%))))</f>
        <v>30.132999999999999</v>
      </c>
      <c r="M65" s="24">
        <f t="shared" ca="1" si="1"/>
        <v>30.1</v>
      </c>
      <c r="N65" s="138" t="s">
        <v>2158</v>
      </c>
      <c r="Z65" s="2306"/>
      <c r="AI65" s="2307"/>
    </row>
    <row r="66" spans="1:35" ht="14.25" hidden="1" customHeight="1">
      <c r="A66" s="203" t="s">
        <v>772</v>
      </c>
      <c r="B66" s="204" t="s">
        <v>2161</v>
      </c>
      <c r="C66" s="205"/>
      <c r="D66" s="206" t="s">
        <v>32</v>
      </c>
      <c r="E66" s="1759" t="s">
        <v>1370</v>
      </c>
      <c r="F66" s="2372"/>
      <c r="G66" s="2372"/>
      <c r="H66" s="2380"/>
      <c r="I66" s="138"/>
      <c r="J66" s="3232"/>
      <c r="K66" s="2382" t="s">
        <v>2162</v>
      </c>
      <c r="L66" s="1735">
        <f ca="1">M49*0.5%</f>
        <v>150.66499999999999</v>
      </c>
      <c r="M66" s="24">
        <f ca="1">IF(L66&gt;0.5,0.5,ROUND(L66,0))</f>
        <v>0.5</v>
      </c>
      <c r="N66" s="138" t="s">
        <v>2163</v>
      </c>
      <c r="Z66" s="2306"/>
      <c r="AI66" s="2307"/>
    </row>
    <row r="67" spans="1:35" ht="14.25" hidden="1" customHeight="1">
      <c r="A67" s="203" t="s">
        <v>773</v>
      </c>
      <c r="B67" s="204" t="s">
        <v>2164</v>
      </c>
      <c r="C67" s="207">
        <f ca="1">C63-C66</f>
        <v>28698</v>
      </c>
      <c r="D67" s="200" t="s">
        <v>32</v>
      </c>
      <c r="E67" s="201"/>
      <c r="F67" s="2372"/>
      <c r="G67" s="2372"/>
      <c r="H67" s="2380"/>
      <c r="I67" s="138"/>
      <c r="J67" s="3232"/>
      <c r="K67" s="2382" t="s">
        <v>2165</v>
      </c>
      <c r="L67" s="1735">
        <f ca="1">IF(M49&gt;=10000,(8.25+(M49-10000)*0.01%),IF(AND(M49&gt;=8000,M49&lt;10000),(7.85+(M49-8000)*0.02%),IF(AND(M49&gt;=5000,M49&lt;8000),(6.65+(M49-5000)*0.04%),IF(AND(M49&gt;=2000,M49&lt;5000),(4.25+(PM49-2000)*0.08%),IF(AND(M49&gt;=1000,M49&lt;2000),(2.75+(M49-1000)*0.15%),IF(AND(M49&gt;=100,M49&lt;1000),(0.5+(M49-100)*0.25%),IF(AND(M49&gt;0,M49&lt;100),M49*0.5%)))))))</f>
        <v>10.263300000000001</v>
      </c>
      <c r="M67" s="24">
        <f ca="1">ROUND(L67*0.9,1)</f>
        <v>9.1999999999999993</v>
      </c>
      <c r="Z67" s="2306"/>
      <c r="AI67" s="2307"/>
    </row>
    <row r="68" spans="1:35" ht="14.25" hidden="1" customHeight="1" thickBot="1">
      <c r="A68" s="208" t="s">
        <v>774</v>
      </c>
      <c r="B68" s="209" t="s">
        <v>2166</v>
      </c>
      <c r="C68" s="210">
        <f ca="1">IF(C67&lt;=0,0,ROUND(C67*D68,0))</f>
        <v>1607</v>
      </c>
      <c r="D68" s="211">
        <f>'数据-取费表'!B41</f>
        <v>5.6000000000000001E-2</v>
      </c>
      <c r="E68" s="212"/>
      <c r="F68" s="2372"/>
      <c r="G68" s="2372"/>
      <c r="H68" s="2380"/>
      <c r="I68" s="138"/>
      <c r="J68" s="3232"/>
      <c r="K68" s="2382" t="s">
        <v>2167</v>
      </c>
      <c r="L68" s="1735">
        <f ca="1">IF(M49&gt;10000,M49*0.5%,IF(AND(M49&gt;5000,M49&lt;=10000),M49*1%,IF(AND(M49&gt;1000,M49&lt;=5000),M49*2%,IF(AND(M49&gt;200,M49&lt;=1000),M49*3%,M49*5%))))</f>
        <v>150.66499999999999</v>
      </c>
      <c r="M68" s="24">
        <f ca="1">ROUND(L68,1)</f>
        <v>150.69999999999999</v>
      </c>
      <c r="Z68" s="2306"/>
      <c r="AI68" s="2307"/>
    </row>
    <row r="69" spans="1:35" s="2329" customFormat="1" ht="16.5" hidden="1" customHeight="1">
      <c r="A69" s="2383"/>
      <c r="B69" s="2384"/>
      <c r="C69" s="2385"/>
      <c r="D69" s="2386"/>
      <c r="E69" s="2387"/>
      <c r="F69" s="2049"/>
      <c r="G69" s="2049"/>
      <c r="H69" s="2048"/>
      <c r="I69" s="2301"/>
      <c r="J69" s="3232"/>
      <c r="K69" s="2382" t="s">
        <v>2168</v>
      </c>
      <c r="L69" s="2388"/>
      <c r="M69" s="24">
        <f ca="1">ROUND(SUM(M63:M68),0)</f>
        <v>492</v>
      </c>
      <c r="N69" s="1736">
        <f ca="1">M69/M49</f>
        <v>1.6327614243520392E-2</v>
      </c>
      <c r="O69" s="794"/>
      <c r="P69" s="794"/>
      <c r="Q69" s="794"/>
      <c r="R69" s="794"/>
      <c r="S69" s="794"/>
      <c r="T69" s="794"/>
      <c r="U69" s="794"/>
      <c r="V69" s="794"/>
      <c r="W69" s="794"/>
      <c r="X69" s="794"/>
      <c r="Y69" s="794"/>
      <c r="Z69" s="2306"/>
      <c r="AA69" s="2306"/>
      <c r="AB69" s="2306"/>
      <c r="AC69" s="2306"/>
      <c r="AD69" s="2306"/>
      <c r="AE69" s="2306"/>
      <c r="AF69" s="2306"/>
      <c r="AG69" s="2306"/>
      <c r="AH69" s="2306"/>
    </row>
    <row r="70" spans="1:35" s="2390" customFormat="1" ht="15" hidden="1" thickBot="1">
      <c r="A70" s="3191" t="s">
        <v>2169</v>
      </c>
      <c r="B70" s="3192"/>
      <c r="C70" s="3192"/>
      <c r="D70" s="3192"/>
      <c r="E70" s="3192"/>
      <c r="F70" s="3192"/>
      <c r="G70" s="3192"/>
      <c r="H70" s="3192"/>
      <c r="I70" s="2389"/>
      <c r="N70" s="2391"/>
      <c r="O70" s="2391"/>
      <c r="P70" s="2391"/>
      <c r="Q70" s="2391"/>
      <c r="R70" s="2391"/>
      <c r="S70" s="2391"/>
      <c r="T70" s="2391"/>
      <c r="U70" s="2391"/>
      <c r="V70" s="2391"/>
      <c r="W70" s="2391"/>
      <c r="X70" s="2391"/>
      <c r="Y70" s="2391"/>
      <c r="Z70" s="2391"/>
      <c r="AA70" s="2392"/>
      <c r="AB70" s="2392"/>
      <c r="AC70" s="2392"/>
      <c r="AD70" s="2392"/>
      <c r="AE70" s="2392"/>
      <c r="AF70" s="2392"/>
      <c r="AG70" s="2392"/>
      <c r="AH70" s="2392"/>
      <c r="AI70" s="2392"/>
    </row>
    <row r="71" spans="1:35" s="2390" customFormat="1" ht="14.25" hidden="1">
      <c r="A71" s="3170" t="s">
        <v>2150</v>
      </c>
      <c r="B71" s="3171"/>
      <c r="C71" s="1787"/>
      <c r="D71" s="1787" t="s">
        <v>2151</v>
      </c>
      <c r="E71" s="213" t="s">
        <v>2152</v>
      </c>
      <c r="F71" s="214"/>
      <c r="G71" s="214"/>
      <c r="H71" s="215"/>
      <c r="I71" s="2393"/>
      <c r="N71" s="2391"/>
      <c r="O71" s="2391"/>
      <c r="P71" s="2391"/>
      <c r="Q71" s="2391"/>
      <c r="R71" s="2391"/>
      <c r="S71" s="2391"/>
      <c r="T71" s="2391"/>
      <c r="U71" s="2391"/>
      <c r="V71" s="2391"/>
      <c r="W71" s="2391"/>
      <c r="X71" s="2391"/>
      <c r="Y71" s="2391"/>
      <c r="Z71" s="2391"/>
      <c r="AA71" s="2392"/>
      <c r="AB71" s="2392"/>
      <c r="AC71" s="2392"/>
      <c r="AD71" s="2392"/>
      <c r="AE71" s="2392"/>
      <c r="AF71" s="2392"/>
      <c r="AG71" s="2392"/>
      <c r="AH71" s="2392"/>
      <c r="AI71" s="2392"/>
    </row>
    <row r="72" spans="1:35" s="2390" customFormat="1" ht="14.25" hidden="1">
      <c r="A72" s="203" t="s">
        <v>775</v>
      </c>
      <c r="B72" s="204" t="s">
        <v>2170</v>
      </c>
      <c r="C72" s="207">
        <f ca="1">ROUND(D45/(1+'数据-取费表'!C42),0)</f>
        <v>28698</v>
      </c>
      <c r="D72" s="200" t="s">
        <v>32</v>
      </c>
      <c r="E72" s="1786"/>
      <c r="F72" s="1780"/>
      <c r="G72" s="1780"/>
      <c r="H72" s="216"/>
      <c r="I72" s="2393"/>
      <c r="N72" s="2391"/>
      <c r="O72" s="2391"/>
      <c r="P72" s="2391"/>
      <c r="Q72" s="2391"/>
      <c r="R72" s="2391"/>
      <c r="S72" s="2391"/>
      <c r="T72" s="2391"/>
      <c r="U72" s="2391"/>
      <c r="V72" s="2391"/>
      <c r="W72" s="2391"/>
      <c r="X72" s="2391"/>
      <c r="Y72" s="2391"/>
      <c r="Z72" s="2391"/>
      <c r="AA72" s="2392"/>
      <c r="AB72" s="2392"/>
      <c r="AC72" s="2392"/>
      <c r="AD72" s="2392"/>
      <c r="AE72" s="2392"/>
      <c r="AF72" s="2392"/>
      <c r="AG72" s="2392"/>
      <c r="AH72" s="2392"/>
      <c r="AI72" s="2392"/>
    </row>
    <row r="73" spans="1:35" s="2390" customFormat="1" ht="14.25" hidden="1">
      <c r="A73" s="203" t="s">
        <v>772</v>
      </c>
      <c r="B73" s="173" t="s">
        <v>2171</v>
      </c>
      <c r="C73" s="207">
        <f ca="1">C74+C78</f>
        <v>172</v>
      </c>
      <c r="D73" s="200" t="s">
        <v>32</v>
      </c>
      <c r="E73" s="1786"/>
      <c r="F73" s="1780"/>
      <c r="G73" s="1780"/>
      <c r="H73" s="216"/>
      <c r="I73" s="2393"/>
      <c r="J73" s="2391"/>
      <c r="K73" s="2391"/>
      <c r="L73" s="2391"/>
      <c r="M73" s="2391"/>
      <c r="N73" s="2391"/>
      <c r="O73" s="2391"/>
      <c r="P73" s="2391"/>
      <c r="Q73" s="2391"/>
      <c r="R73" s="2391"/>
      <c r="S73" s="2391"/>
      <c r="T73" s="2391"/>
      <c r="U73" s="2391"/>
      <c r="V73" s="2391"/>
      <c r="W73" s="2391"/>
      <c r="X73" s="2391"/>
      <c r="Y73" s="2391"/>
      <c r="Z73" s="2391"/>
      <c r="AA73" s="2392"/>
      <c r="AB73" s="2392"/>
      <c r="AC73" s="2392"/>
      <c r="AD73" s="2392"/>
      <c r="AE73" s="2392"/>
      <c r="AF73" s="2392"/>
      <c r="AG73" s="2392"/>
      <c r="AH73" s="2392"/>
      <c r="AI73" s="2392"/>
    </row>
    <row r="74" spans="1:35" s="2390" customFormat="1" ht="24" hidden="1">
      <c r="A74" s="217" t="s">
        <v>770</v>
      </c>
      <c r="B74" s="198" t="s">
        <v>2172</v>
      </c>
      <c r="C74" s="200">
        <f>ROUND(IF(G77="2016年5月1日后购买",C75/(1+'数据-取费表'!C42)+C76+C77,C75+C76+C77),0)</f>
        <v>0</v>
      </c>
      <c r="D74" s="200" t="s">
        <v>32</v>
      </c>
      <c r="E74" s="1786"/>
      <c r="F74" s="1780"/>
      <c r="G74" s="1780"/>
      <c r="H74" s="216"/>
      <c r="I74" s="2393"/>
      <c r="J74" s="2391"/>
      <c r="K74" s="2391"/>
      <c r="L74" s="2391"/>
      <c r="M74" s="2391"/>
      <c r="N74" s="2391"/>
      <c r="O74" s="2391"/>
      <c r="P74" s="2391"/>
      <c r="Q74" s="2391"/>
      <c r="R74" s="2391"/>
      <c r="S74" s="2391"/>
      <c r="T74" s="2391"/>
      <c r="U74" s="2391"/>
      <c r="V74" s="2391"/>
      <c r="W74" s="2391"/>
      <c r="X74" s="2391"/>
      <c r="Y74" s="2391"/>
      <c r="Z74" s="2391"/>
      <c r="AA74" s="2392"/>
      <c r="AB74" s="2392"/>
      <c r="AC74" s="2392"/>
      <c r="AD74" s="2392"/>
      <c r="AE74" s="2392"/>
      <c r="AF74" s="2392"/>
      <c r="AG74" s="2392"/>
      <c r="AH74" s="2392"/>
      <c r="AI74" s="2392"/>
    </row>
    <row r="75" spans="1:35" s="2390" customFormat="1" ht="14.25" hidden="1">
      <c r="A75" s="217" t="s">
        <v>776</v>
      </c>
      <c r="B75" s="198" t="s">
        <v>2173</v>
      </c>
      <c r="C75" s="218"/>
      <c r="D75" s="200" t="s">
        <v>32</v>
      </c>
      <c r="E75" s="219" t="s">
        <v>2174</v>
      </c>
      <c r="F75" s="2394" t="s">
        <v>2175</v>
      </c>
      <c r="G75" s="219" t="s">
        <v>2176</v>
      </c>
      <c r="H75" s="220"/>
      <c r="I75" s="2395"/>
      <c r="J75" s="2391"/>
      <c r="K75" s="2391"/>
      <c r="L75" s="2391"/>
      <c r="M75" s="2391"/>
      <c r="N75" s="2391"/>
      <c r="O75" s="2391"/>
      <c r="P75" s="2391"/>
      <c r="Q75" s="2391"/>
      <c r="R75" s="2391"/>
      <c r="S75" s="2391"/>
      <c r="T75" s="2391"/>
      <c r="U75" s="2391"/>
      <c r="V75" s="2391"/>
      <c r="W75" s="2391"/>
      <c r="X75" s="2391"/>
      <c r="Y75" s="2391"/>
      <c r="Z75" s="2391"/>
      <c r="AA75" s="2392"/>
      <c r="AB75" s="2392"/>
      <c r="AC75" s="2392"/>
      <c r="AD75" s="2392"/>
      <c r="AE75" s="2392"/>
      <c r="AF75" s="2392"/>
      <c r="AG75" s="2392"/>
      <c r="AH75" s="2392"/>
      <c r="AI75" s="2392"/>
    </row>
    <row r="76" spans="1:35" s="2390" customFormat="1" ht="24.75" hidden="1" customHeight="1">
      <c r="A76" s="217" t="s">
        <v>777</v>
      </c>
      <c r="B76" s="221" t="s">
        <v>2177</v>
      </c>
      <c r="C76" s="200">
        <f>IF(F75="购房发票",ROUND(C75*H75*D76,0),0)</f>
        <v>0</v>
      </c>
      <c r="D76" s="222">
        <v>0.05</v>
      </c>
      <c r="E76" s="3165" t="s">
        <v>2178</v>
      </c>
      <c r="F76" s="3141"/>
      <c r="G76" s="3141"/>
      <c r="H76" s="3190"/>
      <c r="I76" s="2393"/>
      <c r="J76" s="2391"/>
      <c r="K76" s="2391"/>
      <c r="L76" s="2391"/>
      <c r="M76" s="2391"/>
      <c r="N76" s="2391"/>
      <c r="O76" s="2391"/>
      <c r="P76" s="2391"/>
      <c r="Q76" s="2391"/>
      <c r="R76" s="2391"/>
      <c r="S76" s="2391"/>
      <c r="T76" s="2391"/>
      <c r="U76" s="2391"/>
      <c r="V76" s="2391"/>
      <c r="W76" s="2391"/>
      <c r="X76" s="2391"/>
      <c r="Y76" s="2391"/>
      <c r="Z76" s="2391"/>
      <c r="AA76" s="2392"/>
      <c r="AB76" s="2392"/>
      <c r="AC76" s="2392"/>
      <c r="AD76" s="2392"/>
      <c r="AE76" s="2392"/>
      <c r="AF76" s="2392"/>
      <c r="AG76" s="2392"/>
      <c r="AH76" s="2392"/>
      <c r="AI76" s="2392"/>
    </row>
    <row r="77" spans="1:35" s="2390" customFormat="1" ht="24.75" hidden="1" customHeight="1">
      <c r="A77" s="217" t="s">
        <v>778</v>
      </c>
      <c r="B77" s="198" t="s">
        <v>2179</v>
      </c>
      <c r="C77" s="200">
        <f>ROUND(IF(G77="个人住宅",0,IF(G77="2016年5月1日前购买",C75*D77,C75*D77/(1+'数据-取费表'!C42))),0)</f>
        <v>0</v>
      </c>
      <c r="D77" s="223">
        <f>'数据-取费表'!B48+'数据-取费表'!B49</f>
        <v>3.0499999999999999E-2</v>
      </c>
      <c r="E77" s="15" t="s">
        <v>2180</v>
      </c>
      <c r="F77" s="224"/>
      <c r="G77" s="2396" t="s">
        <v>2181</v>
      </c>
      <c r="H77" s="1791" t="str">
        <f>IF(G77="个人买卖住房","免征印花税"," ")</f>
        <v xml:space="preserve"> </v>
      </c>
      <c r="I77" s="2393"/>
      <c r="J77" s="2391"/>
      <c r="K77" s="2391"/>
      <c r="L77" s="2391"/>
      <c r="M77" s="2391"/>
      <c r="N77" s="2391"/>
      <c r="O77" s="2391"/>
      <c r="P77" s="2391"/>
      <c r="Q77" s="2391"/>
      <c r="R77" s="2391"/>
      <c r="S77" s="2391"/>
      <c r="T77" s="2391"/>
      <c r="U77" s="2391"/>
      <c r="V77" s="2391"/>
      <c r="W77" s="2391"/>
      <c r="X77" s="2391"/>
      <c r="Y77" s="2391"/>
      <c r="Z77" s="2391"/>
      <c r="AA77" s="2392"/>
      <c r="AB77" s="2392"/>
      <c r="AC77" s="2392"/>
      <c r="AD77" s="2392"/>
      <c r="AE77" s="2392"/>
      <c r="AF77" s="2392"/>
      <c r="AG77" s="2392"/>
      <c r="AH77" s="2392"/>
      <c r="AI77" s="2392"/>
    </row>
    <row r="78" spans="1:35" s="2390" customFormat="1" ht="24.75" hidden="1" customHeight="1">
      <c r="A78" s="217" t="s">
        <v>771</v>
      </c>
      <c r="B78" s="198" t="s">
        <v>2182</v>
      </c>
      <c r="C78" s="225">
        <f ca="1">ROUND(D45*D78/(1+'数据-取费表'!C42),0)</f>
        <v>172</v>
      </c>
      <c r="D78" s="226">
        <f>'数据-取费表'!B43</f>
        <v>6.000000000000001E-3</v>
      </c>
      <c r="E78" s="3151" t="s">
        <v>2183</v>
      </c>
      <c r="F78" s="3152"/>
      <c r="G78" s="3152"/>
      <c r="H78" s="3161"/>
      <c r="I78" s="2397"/>
      <c r="J78" s="2391"/>
      <c r="K78" s="2391"/>
      <c r="L78" s="2391"/>
      <c r="M78" s="2391"/>
      <c r="N78" s="2391"/>
      <c r="O78" s="2391"/>
      <c r="P78" s="2391"/>
      <c r="Q78" s="2391"/>
      <c r="R78" s="2391"/>
      <c r="S78" s="2391"/>
      <c r="T78" s="2391"/>
      <c r="U78" s="2391"/>
      <c r="V78" s="2391"/>
      <c r="W78" s="2391"/>
      <c r="X78" s="2391"/>
      <c r="Y78" s="2391"/>
      <c r="Z78" s="2391"/>
      <c r="AA78" s="2392"/>
      <c r="AB78" s="2392"/>
      <c r="AC78" s="2392"/>
      <c r="AD78" s="2392"/>
      <c r="AE78" s="2392"/>
      <c r="AF78" s="2392"/>
      <c r="AG78" s="2392"/>
      <c r="AH78" s="2392"/>
      <c r="AI78" s="2392"/>
    </row>
    <row r="79" spans="1:35" s="2390" customFormat="1" ht="14.25" hidden="1">
      <c r="A79" s="2398" t="s">
        <v>779</v>
      </c>
      <c r="B79" s="204" t="s">
        <v>2184</v>
      </c>
      <c r="C79" s="207">
        <f ca="1">C72-C73</f>
        <v>28526</v>
      </c>
      <c r="D79" s="200" t="s">
        <v>32</v>
      </c>
      <c r="E79" s="1786"/>
      <c r="F79" s="1780"/>
      <c r="G79" s="1780"/>
      <c r="H79" s="216"/>
      <c r="I79" s="2393"/>
      <c r="J79" s="2391"/>
      <c r="K79" s="2391"/>
      <c r="L79" s="2391"/>
      <c r="M79" s="2391"/>
      <c r="N79" s="2391"/>
      <c r="O79" s="2391"/>
      <c r="P79" s="2391"/>
      <c r="Q79" s="2391"/>
      <c r="R79" s="2391"/>
      <c r="S79" s="2391"/>
      <c r="T79" s="2391"/>
      <c r="U79" s="2391"/>
      <c r="V79" s="2391"/>
      <c r="W79" s="2391"/>
      <c r="X79" s="2391"/>
      <c r="Y79" s="2391"/>
      <c r="Z79" s="2391"/>
      <c r="AA79" s="2392"/>
      <c r="AB79" s="2392"/>
      <c r="AC79" s="2392"/>
      <c r="AD79" s="2392"/>
      <c r="AE79" s="2392"/>
      <c r="AF79" s="2392"/>
      <c r="AG79" s="2392"/>
      <c r="AH79" s="2392"/>
      <c r="AI79" s="2392"/>
    </row>
    <row r="80" spans="1:35" s="2390" customFormat="1" ht="24" hidden="1">
      <c r="A80" s="2398" t="s">
        <v>780</v>
      </c>
      <c r="B80" s="204" t="s">
        <v>2185</v>
      </c>
      <c r="C80" s="227">
        <f ca="1">IF(C79&lt;=0,0,C79/C73)</f>
        <v>165.84883720930233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16"/>
      <c r="I80" s="2393"/>
      <c r="J80" s="2391"/>
      <c r="K80" s="2391"/>
      <c r="L80" s="2391"/>
      <c r="M80" s="2391"/>
      <c r="N80" s="2391"/>
      <c r="O80" s="2391"/>
      <c r="P80" s="2391"/>
      <c r="Q80" s="2391"/>
      <c r="R80" s="2391"/>
      <c r="S80" s="2391"/>
      <c r="T80" s="2391"/>
      <c r="U80" s="2391"/>
      <c r="V80" s="2391"/>
      <c r="W80" s="2391"/>
      <c r="X80" s="2391"/>
      <c r="Y80" s="2391"/>
      <c r="Z80" s="2391"/>
      <c r="AA80" s="2392"/>
      <c r="AB80" s="2392"/>
      <c r="AC80" s="2392"/>
      <c r="AD80" s="2392"/>
      <c r="AE80" s="2392"/>
      <c r="AF80" s="2392"/>
      <c r="AG80" s="2392"/>
      <c r="AH80" s="2392"/>
      <c r="AI80" s="2392"/>
    </row>
    <row r="81" spans="1:35" s="2390" customFormat="1" ht="24.75" hidden="1" thickBot="1">
      <c r="A81" s="2399" t="s">
        <v>781</v>
      </c>
      <c r="B81" s="209" t="s">
        <v>2186</v>
      </c>
      <c r="C81" s="228">
        <f ca="1">ROUND(IF(C79&lt;=0,0,IF(C80&gt;=200%,C79*60%-C73*35%,IF(C80&gt;=100%,C79*50%-C73*15%,IF(C80&gt;=50%,C79*40%-C73*5%,IF(C80&lt;50%,C79*30%,0))))),0)</f>
        <v>17055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93"/>
      <c r="J81" s="2391"/>
      <c r="K81" s="2391"/>
      <c r="L81" s="2391"/>
      <c r="M81" s="2391"/>
      <c r="N81" s="2391"/>
      <c r="O81" s="2391"/>
      <c r="P81" s="2391"/>
      <c r="Q81" s="2391"/>
      <c r="R81" s="2391"/>
      <c r="S81" s="2391"/>
      <c r="T81" s="2391"/>
      <c r="U81" s="2391"/>
      <c r="V81" s="2391"/>
      <c r="W81" s="2391"/>
      <c r="X81" s="2391"/>
      <c r="Y81" s="2391"/>
      <c r="Z81" s="2391"/>
      <c r="AA81" s="2392"/>
      <c r="AB81" s="2392"/>
      <c r="AC81" s="2392"/>
      <c r="AD81" s="2392"/>
      <c r="AE81" s="2392"/>
      <c r="AF81" s="2392"/>
      <c r="AG81" s="2392"/>
      <c r="AH81" s="2392"/>
      <c r="AI81" s="2392"/>
    </row>
    <row r="82" spans="1:35" s="2390" customFormat="1" ht="7.5" hidden="1" customHeight="1">
      <c r="A82" s="732"/>
      <c r="B82" s="733"/>
      <c r="C82" s="7"/>
      <c r="D82" s="7"/>
      <c r="E82" s="733"/>
      <c r="F82" s="733"/>
      <c r="G82" s="733"/>
      <c r="H82" s="734"/>
      <c r="I82" s="2397"/>
      <c r="J82" s="2391"/>
      <c r="K82" s="2391"/>
      <c r="L82" s="2391"/>
      <c r="M82" s="2391"/>
      <c r="N82" s="2391"/>
      <c r="O82" s="2391"/>
      <c r="P82" s="2391"/>
      <c r="Q82" s="2391"/>
      <c r="R82" s="2391"/>
      <c r="S82" s="2391"/>
      <c r="T82" s="2391"/>
      <c r="U82" s="2391"/>
      <c r="V82" s="2391"/>
      <c r="W82" s="2391"/>
      <c r="X82" s="2391"/>
      <c r="Y82" s="2391"/>
      <c r="Z82" s="2391"/>
      <c r="AA82" s="2392"/>
      <c r="AB82" s="2392"/>
      <c r="AC82" s="2392"/>
      <c r="AD82" s="2392"/>
      <c r="AE82" s="2392"/>
      <c r="AF82" s="2392"/>
      <c r="AG82" s="2392"/>
      <c r="AH82" s="2392"/>
      <c r="AI82" s="2392"/>
    </row>
    <row r="83" spans="1:35" s="2390" customFormat="1" ht="15" hidden="1" thickBot="1">
      <c r="A83" s="3191" t="s">
        <v>2187</v>
      </c>
      <c r="B83" s="3192"/>
      <c r="C83" s="3192"/>
      <c r="D83" s="3192"/>
      <c r="E83" s="3192"/>
      <c r="F83" s="3192"/>
      <c r="G83" s="3192"/>
      <c r="H83" s="3192"/>
      <c r="I83" s="2395"/>
      <c r="J83" s="2391"/>
      <c r="K83" s="2391"/>
      <c r="L83" s="2391"/>
      <c r="M83" s="2391"/>
      <c r="N83" s="2391"/>
      <c r="O83" s="2391"/>
      <c r="P83" s="2391"/>
      <c r="Q83" s="2391"/>
      <c r="R83" s="2391"/>
      <c r="S83" s="2391"/>
      <c r="T83" s="2391"/>
      <c r="U83" s="2391"/>
      <c r="V83" s="2391"/>
      <c r="W83" s="2391"/>
      <c r="X83" s="2391"/>
      <c r="Y83" s="2391"/>
      <c r="Z83" s="2391"/>
      <c r="AA83" s="2392"/>
      <c r="AB83" s="2392"/>
      <c r="AC83" s="2392"/>
      <c r="AD83" s="2392"/>
      <c r="AE83" s="2392"/>
      <c r="AF83" s="2392"/>
      <c r="AG83" s="2392"/>
      <c r="AH83" s="2392"/>
      <c r="AI83" s="2392"/>
    </row>
    <row r="84" spans="1:35" s="2390" customFormat="1" ht="14.25" hidden="1">
      <c r="A84" s="3170" t="s">
        <v>2150</v>
      </c>
      <c r="B84" s="3171"/>
      <c r="C84" s="1787"/>
      <c r="D84" s="1787" t="s">
        <v>2151</v>
      </c>
      <c r="E84" s="213" t="s">
        <v>2152</v>
      </c>
      <c r="F84" s="214"/>
      <c r="G84" s="214"/>
      <c r="H84" s="233"/>
      <c r="I84" s="2395"/>
      <c r="J84" s="2391"/>
      <c r="K84" s="2391"/>
      <c r="L84" s="2391"/>
      <c r="M84" s="2391"/>
      <c r="N84" s="2391"/>
      <c r="O84" s="2391"/>
      <c r="P84" s="2391"/>
      <c r="Q84" s="2391"/>
      <c r="R84" s="2391"/>
      <c r="S84" s="2391"/>
      <c r="T84" s="2391"/>
      <c r="U84" s="2391"/>
      <c r="V84" s="2391"/>
      <c r="W84" s="2391"/>
      <c r="X84" s="2391"/>
      <c r="Y84" s="2391"/>
      <c r="Z84" s="2391"/>
      <c r="AA84" s="2392"/>
      <c r="AB84" s="2392"/>
      <c r="AC84" s="2392"/>
      <c r="AD84" s="2392"/>
      <c r="AE84" s="2392"/>
      <c r="AF84" s="2392"/>
      <c r="AG84" s="2392"/>
      <c r="AH84" s="2392"/>
      <c r="AI84" s="2392"/>
    </row>
    <row r="85" spans="1:35" s="2390" customFormat="1" ht="14.25" hidden="1">
      <c r="A85" s="203" t="s">
        <v>775</v>
      </c>
      <c r="B85" s="204" t="s">
        <v>2170</v>
      </c>
      <c r="C85" s="207">
        <f ca="1">ROUND(D45/(1+'数据-取费表'!C42),0)</f>
        <v>28698</v>
      </c>
      <c r="D85" s="200" t="s">
        <v>32</v>
      </c>
      <c r="E85" s="1786"/>
      <c r="F85" s="1780"/>
      <c r="G85" s="1780"/>
      <c r="H85" s="234"/>
      <c r="I85" s="2395"/>
      <c r="J85" s="2391"/>
      <c r="K85" s="2391"/>
      <c r="L85" s="2391"/>
      <c r="M85" s="2391"/>
      <c r="N85" s="2391"/>
      <c r="O85" s="2391"/>
      <c r="P85" s="2391"/>
      <c r="Q85" s="2391"/>
      <c r="R85" s="2391"/>
      <c r="S85" s="2391"/>
      <c r="T85" s="2391"/>
      <c r="U85" s="2391"/>
      <c r="V85" s="2391"/>
      <c r="W85" s="2391"/>
      <c r="X85" s="2391"/>
      <c r="Y85" s="2391"/>
      <c r="Z85" s="2391"/>
      <c r="AA85" s="2392"/>
      <c r="AB85" s="2392"/>
      <c r="AC85" s="2392"/>
      <c r="AD85" s="2392"/>
      <c r="AE85" s="2392"/>
      <c r="AF85" s="2392"/>
      <c r="AG85" s="2392"/>
      <c r="AH85" s="2392"/>
      <c r="AI85" s="2392"/>
    </row>
    <row r="86" spans="1:35" s="2390" customFormat="1" ht="14.25" hidden="1">
      <c r="A86" s="203" t="s">
        <v>772</v>
      </c>
      <c r="B86" s="173" t="s">
        <v>2171</v>
      </c>
      <c r="C86" s="207">
        <f ca="1">IF(H88="仅含出让金",C87+C90+C91+C92+C93+C94,C87+C91+C92+C93+C94)</f>
        <v>172</v>
      </c>
      <c r="D86" s="235"/>
      <c r="E86" s="1786"/>
      <c r="F86" s="1780"/>
      <c r="G86" s="1780"/>
      <c r="H86" s="234"/>
      <c r="I86" s="2395"/>
      <c r="J86" s="2391"/>
      <c r="K86" s="2391"/>
      <c r="L86" s="2391"/>
      <c r="M86" s="2391"/>
      <c r="N86" s="2391"/>
      <c r="O86" s="2391"/>
      <c r="P86" s="2391"/>
      <c r="Q86" s="2391"/>
      <c r="R86" s="2391"/>
      <c r="S86" s="2391"/>
      <c r="T86" s="2391"/>
      <c r="U86" s="2391"/>
      <c r="V86" s="2391"/>
      <c r="W86" s="2391"/>
      <c r="X86" s="2391"/>
      <c r="Y86" s="2391"/>
      <c r="Z86" s="2391"/>
      <c r="AA86" s="2392"/>
      <c r="AB86" s="2392"/>
      <c r="AC86" s="2392"/>
      <c r="AD86" s="2392"/>
      <c r="AE86" s="2392"/>
      <c r="AF86" s="2392"/>
      <c r="AG86" s="2392"/>
      <c r="AH86" s="2392"/>
      <c r="AI86" s="2392"/>
    </row>
    <row r="87" spans="1:35" s="2390" customFormat="1" ht="14.25" hidden="1">
      <c r="A87" s="217" t="s">
        <v>770</v>
      </c>
      <c r="B87" s="198" t="s">
        <v>2188</v>
      </c>
      <c r="C87" s="225">
        <f>C88+C89</f>
        <v>0</v>
      </c>
      <c r="D87" s="226"/>
      <c r="E87" s="1782"/>
      <c r="F87" s="1783"/>
      <c r="G87" s="1783"/>
      <c r="H87" s="1785"/>
      <c r="I87" s="2395"/>
      <c r="J87" s="2391"/>
      <c r="K87" s="2391"/>
      <c r="L87" s="2391"/>
      <c r="M87" s="2391"/>
      <c r="N87" s="2391"/>
      <c r="O87" s="2391"/>
      <c r="P87" s="2391"/>
      <c r="Q87" s="2391"/>
      <c r="R87" s="2391"/>
      <c r="S87" s="2391"/>
      <c r="T87" s="2391"/>
      <c r="U87" s="2391"/>
      <c r="V87" s="2391"/>
      <c r="W87" s="2391"/>
      <c r="X87" s="2391"/>
      <c r="Y87" s="2391"/>
      <c r="Z87" s="2391"/>
      <c r="AA87" s="2392"/>
      <c r="AB87" s="2392"/>
      <c r="AC87" s="2392"/>
      <c r="AD87" s="2392"/>
      <c r="AE87" s="2392"/>
      <c r="AF87" s="2392"/>
      <c r="AG87" s="2392"/>
      <c r="AH87" s="2392"/>
      <c r="AI87" s="2392"/>
    </row>
    <row r="88" spans="1:35" s="2390" customFormat="1" ht="14.25" hidden="1">
      <c r="A88" s="217" t="s">
        <v>776</v>
      </c>
      <c r="B88" s="198" t="s">
        <v>2189</v>
      </c>
      <c r="C88" s="236"/>
      <c r="D88" s="226"/>
      <c r="E88" s="237" t="s">
        <v>2190</v>
      </c>
      <c r="F88" s="1783"/>
      <c r="G88" s="238" t="s">
        <v>2191</v>
      </c>
      <c r="H88" s="2400"/>
      <c r="I88" s="2395"/>
      <c r="J88" s="2391"/>
      <c r="K88" s="2391"/>
      <c r="L88" s="2391"/>
      <c r="M88" s="2391"/>
      <c r="N88" s="2391"/>
      <c r="O88" s="2391"/>
      <c r="P88" s="2391"/>
      <c r="Q88" s="2391"/>
      <c r="R88" s="2391"/>
      <c r="S88" s="2391"/>
      <c r="T88" s="2391"/>
      <c r="U88" s="2391"/>
      <c r="V88" s="2391"/>
      <c r="W88" s="2391"/>
      <c r="X88" s="2391"/>
      <c r="Y88" s="2391"/>
      <c r="Z88" s="2391"/>
      <c r="AA88" s="2392"/>
      <c r="AB88" s="2392"/>
      <c r="AC88" s="2392"/>
      <c r="AD88" s="2392"/>
      <c r="AE88" s="2392"/>
      <c r="AF88" s="2392"/>
      <c r="AG88" s="2392"/>
      <c r="AH88" s="2392"/>
      <c r="AI88" s="2392"/>
    </row>
    <row r="89" spans="1:35" s="2390" customFormat="1" ht="14.25" hidden="1">
      <c r="A89" s="217" t="s">
        <v>777</v>
      </c>
      <c r="B89" s="198" t="s">
        <v>2179</v>
      </c>
      <c r="C89" s="225">
        <f>ROUND(C88*D89,0)</f>
        <v>0</v>
      </c>
      <c r="D89" s="226">
        <f>'数据-取费表'!B48+'数据-取费表'!B49</f>
        <v>3.0499999999999999E-2</v>
      </c>
      <c r="E89" s="237" t="s">
        <v>2192</v>
      </c>
      <c r="F89" s="1783"/>
      <c r="G89" s="1783"/>
      <c r="H89" s="1785"/>
      <c r="I89" s="2395"/>
      <c r="J89" s="2391"/>
      <c r="K89" s="2391"/>
      <c r="L89" s="2391"/>
      <c r="M89" s="2391"/>
      <c r="N89" s="2391"/>
      <c r="O89" s="2391"/>
      <c r="P89" s="2391"/>
      <c r="Q89" s="2391"/>
      <c r="R89" s="2391"/>
      <c r="S89" s="2391"/>
      <c r="T89" s="2391"/>
      <c r="U89" s="2391"/>
      <c r="V89" s="2391"/>
      <c r="W89" s="2391"/>
      <c r="X89" s="2391"/>
      <c r="Y89" s="2391"/>
      <c r="Z89" s="2391"/>
      <c r="AA89" s="2392"/>
      <c r="AB89" s="2392"/>
      <c r="AC89" s="2392"/>
      <c r="AD89" s="2392"/>
      <c r="AE89" s="2392"/>
      <c r="AF89" s="2392"/>
      <c r="AG89" s="2392"/>
      <c r="AH89" s="2392"/>
      <c r="AI89" s="2392"/>
    </row>
    <row r="90" spans="1:35" s="2390" customFormat="1" ht="14.25" hidden="1">
      <c r="A90" s="217" t="s">
        <v>771</v>
      </c>
      <c r="B90" s="198" t="s">
        <v>2193</v>
      </c>
      <c r="C90" s="236"/>
      <c r="D90" s="226"/>
      <c r="E90" s="237" t="str">
        <f>IF(H88="-","土地取得成本中已包含该笔费用"," ")</f>
        <v xml:space="preserve"> </v>
      </c>
      <c r="F90" s="1783"/>
      <c r="G90" s="1783"/>
      <c r="H90" s="1785"/>
      <c r="I90" s="2395"/>
      <c r="J90" s="2391"/>
      <c r="K90" s="2391"/>
      <c r="L90" s="2391"/>
      <c r="M90" s="2391"/>
      <c r="N90" s="2391"/>
      <c r="O90" s="2391"/>
      <c r="P90" s="2391"/>
      <c r="Q90" s="2391"/>
      <c r="R90" s="2391"/>
      <c r="S90" s="2391"/>
      <c r="T90" s="2391"/>
      <c r="U90" s="2391"/>
      <c r="V90" s="2391"/>
      <c r="W90" s="2391"/>
      <c r="X90" s="2391"/>
      <c r="Y90" s="2391"/>
      <c r="Z90" s="2391"/>
      <c r="AA90" s="2392"/>
      <c r="AB90" s="2392"/>
      <c r="AC90" s="2392"/>
      <c r="AD90" s="2392"/>
      <c r="AE90" s="2392"/>
      <c r="AF90" s="2392"/>
      <c r="AG90" s="2392"/>
      <c r="AH90" s="2392"/>
      <c r="AI90" s="2392"/>
    </row>
    <row r="91" spans="1:35" s="2390" customFormat="1" ht="27.75" hidden="1" customHeight="1">
      <c r="A91" s="217" t="s">
        <v>2194</v>
      </c>
      <c r="B91" s="198" t="s">
        <v>2195</v>
      </c>
      <c r="C91" s="225">
        <f>IF(H91="——",成本法!C33,I91)</f>
        <v>0</v>
      </c>
      <c r="D91" s="226"/>
      <c r="E91" s="3151" t="s">
        <v>2196</v>
      </c>
      <c r="F91" s="3152"/>
      <c r="G91" s="3152"/>
      <c r="H91" s="2401" t="s">
        <v>2197</v>
      </c>
      <c r="I91" s="2402"/>
      <c r="J91" s="2391"/>
      <c r="K91" s="2391"/>
      <c r="L91" s="2391"/>
      <c r="M91" s="2391"/>
      <c r="N91" s="2391"/>
      <c r="O91" s="2391"/>
      <c r="P91" s="2391"/>
      <c r="Q91" s="2391"/>
      <c r="R91" s="2391"/>
      <c r="S91" s="2391"/>
      <c r="T91" s="2391"/>
      <c r="U91" s="2391"/>
      <c r="V91" s="2391"/>
      <c r="W91" s="2391"/>
      <c r="X91" s="2391"/>
      <c r="Y91" s="2391"/>
      <c r="Z91" s="2391"/>
      <c r="AA91" s="2392"/>
      <c r="AB91" s="2392"/>
      <c r="AC91" s="2392"/>
      <c r="AD91" s="2392"/>
      <c r="AE91" s="2392"/>
      <c r="AF91" s="2392"/>
      <c r="AG91" s="2392"/>
      <c r="AH91" s="2392"/>
      <c r="AI91" s="2392"/>
    </row>
    <row r="92" spans="1:35" s="2390" customFormat="1" ht="25.5" hidden="1" customHeight="1">
      <c r="A92" s="217" t="s">
        <v>2198</v>
      </c>
      <c r="B92" s="198" t="s">
        <v>2199</v>
      </c>
      <c r="C92" s="225">
        <f>ROUND((C87+C90+C91)*D92,0)</f>
        <v>0</v>
      </c>
      <c r="D92" s="226">
        <v>0.1</v>
      </c>
      <c r="E92" s="3151" t="s">
        <v>2200</v>
      </c>
      <c r="F92" s="3152"/>
      <c r="G92" s="3152"/>
      <c r="H92" s="3161"/>
      <c r="I92" s="2395"/>
      <c r="J92" s="2391"/>
      <c r="K92" s="2391"/>
      <c r="L92" s="2391"/>
      <c r="M92" s="2391"/>
      <c r="N92" s="2391"/>
      <c r="O92" s="2391"/>
      <c r="P92" s="2391"/>
      <c r="Q92" s="2391"/>
      <c r="R92" s="2391"/>
      <c r="S92" s="2391"/>
      <c r="T92" s="2391"/>
      <c r="U92" s="2391"/>
      <c r="V92" s="2391"/>
      <c r="W92" s="2391"/>
      <c r="X92" s="2391"/>
      <c r="Y92" s="2391"/>
      <c r="Z92" s="2391"/>
      <c r="AA92" s="2392"/>
      <c r="AB92" s="2392"/>
      <c r="AC92" s="2392"/>
      <c r="AD92" s="2392"/>
      <c r="AE92" s="2392"/>
      <c r="AF92" s="2392"/>
      <c r="AG92" s="2392"/>
      <c r="AH92" s="2392"/>
      <c r="AI92" s="2392"/>
    </row>
    <row r="93" spans="1:35" s="2390" customFormat="1" ht="25.5" hidden="1" customHeight="1">
      <c r="A93" s="217" t="s">
        <v>2201</v>
      </c>
      <c r="B93" s="198" t="s">
        <v>2182</v>
      </c>
      <c r="C93" s="225">
        <f ca="1">ROUND(D45*D93/(1+'数据-取费表'!C42),0)</f>
        <v>172</v>
      </c>
      <c r="D93" s="226">
        <f>'数据-取费表'!B43</f>
        <v>6.000000000000001E-3</v>
      </c>
      <c r="E93" s="3151" t="s">
        <v>2183</v>
      </c>
      <c r="F93" s="3152"/>
      <c r="G93" s="3152"/>
      <c r="H93" s="3161"/>
      <c r="I93" s="2395"/>
      <c r="J93" s="2391"/>
      <c r="K93" s="2391"/>
      <c r="L93" s="2391"/>
      <c r="M93" s="2391"/>
      <c r="N93" s="2391"/>
      <c r="O93" s="2391"/>
      <c r="P93" s="2391"/>
      <c r="Q93" s="2391"/>
      <c r="R93" s="2391"/>
      <c r="S93" s="2391"/>
      <c r="T93" s="2391"/>
      <c r="U93" s="2391"/>
      <c r="V93" s="2391"/>
      <c r="W93" s="2391"/>
      <c r="X93" s="2391"/>
      <c r="Y93" s="2391"/>
      <c r="Z93" s="2391"/>
      <c r="AA93" s="2392"/>
      <c r="AB93" s="2392"/>
      <c r="AC93" s="2392"/>
      <c r="AD93" s="2392"/>
      <c r="AE93" s="2392"/>
      <c r="AF93" s="2392"/>
      <c r="AG93" s="2392"/>
      <c r="AH93" s="2392"/>
      <c r="AI93" s="2392"/>
    </row>
    <row r="94" spans="1:35" s="2390" customFormat="1" ht="36.75" hidden="1" customHeight="1">
      <c r="A94" s="217" t="s">
        <v>2202</v>
      </c>
      <c r="B94" s="198" t="s">
        <v>2203</v>
      </c>
      <c r="C94" s="236">
        <f>ROUND((C87+C90+C91)*D94,0)</f>
        <v>0</v>
      </c>
      <c r="D94" s="226">
        <v>0.2</v>
      </c>
      <c r="E94" s="3162" t="s">
        <v>2204</v>
      </c>
      <c r="F94" s="3163"/>
      <c r="G94" s="3163"/>
      <c r="H94" s="3164"/>
      <c r="I94" s="2395"/>
      <c r="J94" s="2391"/>
      <c r="K94" s="2391"/>
      <c r="L94" s="2391"/>
      <c r="M94" s="2391"/>
      <c r="N94" s="2391"/>
      <c r="O94" s="2391"/>
      <c r="P94" s="2391"/>
      <c r="Q94" s="2391"/>
      <c r="R94" s="2391"/>
      <c r="S94" s="2391"/>
      <c r="T94" s="2391"/>
      <c r="U94" s="2391"/>
      <c r="V94" s="2391"/>
      <c r="W94" s="2391"/>
      <c r="X94" s="2391"/>
      <c r="Y94" s="2391"/>
      <c r="Z94" s="2391"/>
      <c r="AA94" s="2392"/>
      <c r="AB94" s="2392"/>
      <c r="AC94" s="2392"/>
      <c r="AD94" s="2392"/>
      <c r="AE94" s="2392"/>
      <c r="AF94" s="2392"/>
      <c r="AG94" s="2392"/>
      <c r="AH94" s="2392"/>
      <c r="AI94" s="2392"/>
    </row>
    <row r="95" spans="1:35" s="2390" customFormat="1" ht="14.25" hidden="1">
      <c r="A95" s="2398" t="s">
        <v>779</v>
      </c>
      <c r="B95" s="204" t="s">
        <v>2184</v>
      </c>
      <c r="C95" s="207">
        <f ca="1">ROUND(C85-C86,0)</f>
        <v>28526</v>
      </c>
      <c r="D95" s="200" t="s">
        <v>32</v>
      </c>
      <c r="E95" s="1786"/>
      <c r="F95" s="1780"/>
      <c r="G95" s="1780"/>
      <c r="H95" s="234"/>
      <c r="I95" s="2395"/>
      <c r="J95" s="2391"/>
      <c r="K95" s="2391"/>
      <c r="L95" s="2391"/>
      <c r="M95" s="2391"/>
      <c r="N95" s="2391"/>
      <c r="O95" s="2391"/>
      <c r="P95" s="2391"/>
      <c r="Q95" s="2391"/>
      <c r="R95" s="2391"/>
      <c r="S95" s="2391"/>
      <c r="T95" s="2391"/>
      <c r="U95" s="2391"/>
      <c r="V95" s="2391"/>
      <c r="W95" s="2391"/>
      <c r="X95" s="2391"/>
      <c r="Y95" s="2391"/>
      <c r="Z95" s="2391"/>
      <c r="AA95" s="2392"/>
      <c r="AB95" s="2392"/>
      <c r="AC95" s="2392"/>
      <c r="AD95" s="2392"/>
      <c r="AE95" s="2392"/>
      <c r="AF95" s="2392"/>
      <c r="AG95" s="2392"/>
      <c r="AH95" s="2392"/>
      <c r="AI95" s="2392"/>
    </row>
    <row r="96" spans="1:35" s="2390" customFormat="1" ht="24" hidden="1">
      <c r="A96" s="2398" t="s">
        <v>780</v>
      </c>
      <c r="B96" s="204" t="s">
        <v>2185</v>
      </c>
      <c r="C96" s="227">
        <f ca="1">IF(C95&lt;=0,0,C95/C86)</f>
        <v>165.84883720930233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34"/>
      <c r="I96" s="2395"/>
      <c r="J96" s="2391"/>
      <c r="K96" s="2391"/>
      <c r="L96" s="2391"/>
      <c r="M96" s="2391"/>
      <c r="N96" s="2391"/>
      <c r="O96" s="2391"/>
      <c r="P96" s="2391"/>
      <c r="Q96" s="2391"/>
      <c r="R96" s="2391"/>
      <c r="S96" s="2391"/>
      <c r="T96" s="2391"/>
      <c r="U96" s="2391"/>
      <c r="V96" s="2391"/>
      <c r="W96" s="2391"/>
      <c r="X96" s="2391"/>
      <c r="Y96" s="2391"/>
      <c r="Z96" s="2391"/>
      <c r="AA96" s="2392"/>
      <c r="AB96" s="2392"/>
      <c r="AC96" s="2392"/>
      <c r="AD96" s="2392"/>
      <c r="AE96" s="2392"/>
      <c r="AF96" s="2392"/>
      <c r="AG96" s="2392"/>
      <c r="AH96" s="2392"/>
      <c r="AI96" s="2392"/>
    </row>
    <row r="97" spans="1:35" s="2390" customFormat="1" ht="24.75" hidden="1" thickBot="1">
      <c r="A97" s="2399" t="s">
        <v>781</v>
      </c>
      <c r="B97" s="209" t="s">
        <v>2186</v>
      </c>
      <c r="C97" s="228">
        <f ca="1">ROUND(IF(C95&lt;=0,0,IF(C96&gt;=200%,C95*60%-C86*35%,IF(C96&gt;=100%,C95*50%-C86*15%,IF(C96&gt;=50%,C95*40%-C86*5%,IF(C96&lt;50%,C95*30%,0))))),0)</f>
        <v>17055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95"/>
      <c r="J97" s="2391"/>
      <c r="K97" s="2391"/>
      <c r="L97" s="2391"/>
      <c r="M97" s="2391"/>
      <c r="N97" s="2391"/>
      <c r="O97" s="2391"/>
      <c r="P97" s="2391"/>
      <c r="Q97" s="2391"/>
      <c r="R97" s="2391"/>
      <c r="S97" s="2391"/>
      <c r="T97" s="2391"/>
      <c r="U97" s="2391"/>
      <c r="V97" s="2391"/>
      <c r="W97" s="2391"/>
      <c r="X97" s="2391"/>
      <c r="Y97" s="2391"/>
      <c r="Z97" s="2391"/>
      <c r="AA97" s="2392"/>
      <c r="AB97" s="2392"/>
      <c r="AC97" s="2392"/>
      <c r="AD97" s="2392"/>
      <c r="AE97" s="2392"/>
      <c r="AF97" s="2392"/>
      <c r="AG97" s="2392"/>
      <c r="AH97" s="2392"/>
      <c r="AI97" s="2392"/>
    </row>
    <row r="98" spans="1:35" ht="21.75" customHeight="1">
      <c r="A98" s="2379"/>
      <c r="B98" s="2301"/>
      <c r="C98" s="2301"/>
      <c r="D98" s="2301"/>
      <c r="E98" s="2049"/>
      <c r="F98" s="2049"/>
      <c r="G98" s="2049"/>
      <c r="H98" s="2048"/>
      <c r="I98" s="138"/>
    </row>
    <row r="99" spans="1:35" ht="21.75" customHeight="1" thickBot="1">
      <c r="A99" s="2357" t="s">
        <v>2205</v>
      </c>
      <c r="B99" s="2301"/>
      <c r="C99" s="2301"/>
      <c r="D99" s="2301"/>
      <c r="E99" s="2049"/>
      <c r="F99" s="2049"/>
      <c r="G99" s="2049"/>
      <c r="H99" s="2048"/>
      <c r="I99" s="138"/>
    </row>
    <row r="100" spans="1:35" ht="18.75" customHeight="1">
      <c r="A100" s="3135" t="s">
        <v>2206</v>
      </c>
      <c r="B100" s="3136"/>
      <c r="C100" s="3136"/>
      <c r="D100" s="3153"/>
      <c r="E100" s="3136" t="s">
        <v>2207</v>
      </c>
      <c r="F100" s="3136"/>
      <c r="G100" s="3136"/>
      <c r="H100" s="3153"/>
      <c r="I100" s="138"/>
    </row>
    <row r="101" spans="1:35" ht="18.75" customHeight="1">
      <c r="A101" s="3215" t="s">
        <v>2208</v>
      </c>
      <c r="B101" s="3216"/>
      <c r="C101" s="735" t="str">
        <f>C4</f>
        <v>比较法-住宅</v>
      </c>
      <c r="D101" s="736" t="str">
        <f>D4</f>
        <v>成本法</v>
      </c>
      <c r="E101" s="3229" t="s">
        <v>2209</v>
      </c>
      <c r="F101" s="3183"/>
      <c r="G101" s="2403" t="s">
        <v>2210</v>
      </c>
      <c r="H101" s="1043">
        <f ca="1">H118</f>
        <v>30133</v>
      </c>
      <c r="I101" s="138"/>
    </row>
    <row r="102" spans="1:35" ht="18.75" customHeight="1">
      <c r="A102" s="3185" t="s">
        <v>2211</v>
      </c>
      <c r="B102" s="2403" t="s">
        <v>2210</v>
      </c>
      <c r="C102" s="735">
        <f ca="1">C19</f>
        <v>544</v>
      </c>
      <c r="D102" s="736">
        <f ca="1">D19</f>
        <v>148487</v>
      </c>
      <c r="E102" s="3229"/>
      <c r="F102" s="3183"/>
      <c r="G102" s="2403" t="s">
        <v>2212</v>
      </c>
      <c r="H102" s="371">
        <f ca="1">I118</f>
        <v>11175</v>
      </c>
      <c r="I102" s="138"/>
    </row>
    <row r="103" spans="1:35" ht="42.75" customHeight="1">
      <c r="A103" s="3185"/>
      <c r="B103" s="2403" t="s">
        <v>2212</v>
      </c>
      <c r="C103" s="737">
        <f ca="1">C20</f>
        <v>61843</v>
      </c>
      <c r="D103" s="738">
        <f ca="1">D20</f>
        <v>58528</v>
      </c>
      <c r="E103" s="3224" t="s">
        <v>2213</v>
      </c>
      <c r="F103" s="3225"/>
      <c r="G103" s="2404" t="s">
        <v>2214</v>
      </c>
      <c r="H103" s="1043">
        <f>IF(D36="正常操作",H104+H105+H106,H105+H106)</f>
        <v>0</v>
      </c>
      <c r="I103" s="138"/>
    </row>
    <row r="104" spans="1:35" ht="18.75" customHeight="1">
      <c r="A104" s="3185" t="s">
        <v>2215</v>
      </c>
      <c r="B104" s="2405" t="s">
        <v>2210</v>
      </c>
      <c r="C104" s="739">
        <f ca="1">H118</f>
        <v>30133</v>
      </c>
      <c r="D104" s="740"/>
      <c r="E104" s="2149" t="s">
        <v>2216</v>
      </c>
      <c r="F104" s="2141"/>
      <c r="G104" s="2404" t="s">
        <v>2214</v>
      </c>
      <c r="H104" s="1044">
        <f>IF(D36="同一抵押权人同一抵押物续贷",C36&amp;"（未扣减，详见特别提示）",C36)</f>
        <v>0</v>
      </c>
      <c r="I104" s="138"/>
    </row>
    <row r="105" spans="1:35" ht="18.75" customHeight="1" thickBot="1">
      <c r="A105" s="3186"/>
      <c r="B105" s="2406" t="s">
        <v>2212</v>
      </c>
      <c r="C105" s="741">
        <f ca="1">I118</f>
        <v>11175</v>
      </c>
      <c r="D105" s="742"/>
      <c r="E105" s="2149" t="s">
        <v>2217</v>
      </c>
      <c r="F105" s="2141"/>
      <c r="G105" s="2404" t="s">
        <v>2214</v>
      </c>
      <c r="H105" s="1044">
        <f>C37</f>
        <v>0</v>
      </c>
      <c r="I105" s="138"/>
    </row>
    <row r="106" spans="1:35" ht="18.75" customHeight="1">
      <c r="A106" s="2301" t="s">
        <v>2218</v>
      </c>
      <c r="B106" s="2301"/>
      <c r="C106" s="2301"/>
      <c r="D106" s="2301"/>
      <c r="E106" s="2407" t="s">
        <v>2219</v>
      </c>
      <c r="F106" s="2141"/>
      <c r="G106" s="2404" t="s">
        <v>2214</v>
      </c>
      <c r="H106" s="1044">
        <f>C38</f>
        <v>0</v>
      </c>
      <c r="I106" s="138"/>
    </row>
    <row r="107" spans="1:35" ht="18.75" hidden="1" customHeight="1">
      <c r="A107" s="138"/>
      <c r="B107" s="138"/>
      <c r="C107" s="138"/>
      <c r="D107" s="138"/>
      <c r="E107" s="3182" t="str">
        <f>IF(项目基本情况!E8="已注销","——","3.房地产抵押价值")</f>
        <v>——</v>
      </c>
      <c r="F107" s="3183"/>
      <c r="G107" s="2403" t="s">
        <v>2210</v>
      </c>
      <c r="H107" s="1043" t="str">
        <f>IF(E107="——","——",H101-H103)</f>
        <v>——</v>
      </c>
      <c r="I107" s="138"/>
    </row>
    <row r="108" spans="1:35" ht="18.75" hidden="1" customHeight="1">
      <c r="A108" s="138"/>
      <c r="B108" s="138"/>
      <c r="C108" s="138"/>
      <c r="D108" s="138"/>
      <c r="E108" s="3182"/>
      <c r="F108" s="3183"/>
      <c r="G108" s="2403" t="s">
        <v>2212</v>
      </c>
      <c r="H108" s="371" t="e">
        <f>ROUND(H107*10000/'数据-汇总表'!E3,0)</f>
        <v>#VALUE!</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3.抵押担保权已注销时的房地产抵押价值</v>
      </c>
      <c r="F109" s="3183"/>
      <c r="G109" s="2403" t="s">
        <v>2210</v>
      </c>
      <c r="H109" s="348">
        <f ca="1">IF(E109="——","——",H101-H105-H106)</f>
        <v>30133</v>
      </c>
      <c r="I109" s="138"/>
    </row>
    <row r="110" spans="1:35" ht="18.75" customHeight="1" thickBot="1">
      <c r="A110" s="138"/>
      <c r="B110" s="138"/>
      <c r="C110" s="138"/>
      <c r="D110" s="138"/>
      <c r="E110" s="3182"/>
      <c r="F110" s="3183"/>
      <c r="G110" s="2403" t="s">
        <v>2212</v>
      </c>
      <c r="H110" s="371">
        <f ca="1">IF(H109="——","——",ROUND(H109*10000/'数据-汇总表'!E3,0))</f>
        <v>11175</v>
      </c>
      <c r="I110" s="138"/>
    </row>
    <row r="111" spans="1:35" ht="18.75" hidden="1" customHeight="1">
      <c r="A111" s="138"/>
      <c r="B111" s="138"/>
      <c r="C111" s="138"/>
      <c r="D111" s="138"/>
      <c r="E111" s="3217" t="str">
        <f>IF(项目基本情况!E9="抵押净值",IF(OR(项目基本情况!E8="已注销",项目基本情况!E8="房地产抵押价值"),"4.抵押净值","5.抵押净值"),"——")</f>
        <v>——</v>
      </c>
      <c r="F111" s="3218"/>
      <c r="G111" s="2403" t="s">
        <v>2210</v>
      </c>
      <c r="H111" s="1043" t="str">
        <f>IF(E111="——","——",N59)</f>
        <v>——</v>
      </c>
      <c r="I111" s="138"/>
    </row>
    <row r="112" spans="1:35" ht="18.75" hidden="1" customHeight="1" thickBot="1">
      <c r="A112" s="138"/>
      <c r="B112" s="138"/>
      <c r="C112" s="138"/>
      <c r="D112" s="138"/>
      <c r="E112" s="3219"/>
      <c r="F112" s="3220"/>
      <c r="G112" s="2408" t="s">
        <v>2212</v>
      </c>
      <c r="H112" s="789" t="str">
        <f>IF(E111="——","——",N61)</f>
        <v>——</v>
      </c>
      <c r="I112" s="138"/>
    </row>
    <row r="113" spans="1:11" ht="18.75" customHeight="1">
      <c r="A113" s="138"/>
      <c r="B113" s="138"/>
      <c r="C113" s="138"/>
      <c r="D113" s="138"/>
      <c r="E113" s="3187" t="s">
        <v>2218</v>
      </c>
      <c r="F113" s="3187"/>
      <c r="G113" s="3187"/>
      <c r="H113" s="3187"/>
      <c r="I113" s="138"/>
    </row>
    <row r="114" spans="1:11" ht="3.75" customHeight="1">
      <c r="A114" s="2301"/>
      <c r="B114" s="2301"/>
      <c r="C114" s="2301"/>
      <c r="D114" s="2301"/>
      <c r="E114" s="2379"/>
      <c r="F114" s="2379"/>
      <c r="G114" s="2379"/>
      <c r="H114" s="2379"/>
      <c r="I114" s="2301"/>
    </row>
    <row r="115" spans="1:11" ht="18.75" customHeight="1">
      <c r="A115" s="3200" t="s">
        <v>2220</v>
      </c>
      <c r="B115" s="3201"/>
      <c r="C115" s="3201"/>
      <c r="D115" s="3201"/>
      <c r="E115" s="3201"/>
      <c r="F115" s="3201"/>
      <c r="G115" s="3201"/>
      <c r="H115" s="3201"/>
      <c r="I115" s="3202"/>
    </row>
    <row r="116" spans="1:11" ht="27" customHeight="1">
      <c r="A116" s="3142" t="s">
        <v>2221</v>
      </c>
      <c r="B116" s="3188" t="s">
        <v>2222</v>
      </c>
      <c r="C116" s="3188" t="s">
        <v>2223</v>
      </c>
      <c r="D116" s="3204" t="s">
        <v>2224</v>
      </c>
      <c r="E116" s="3205"/>
      <c r="F116" s="3196" t="s">
        <v>2225</v>
      </c>
      <c r="G116" s="3196"/>
      <c r="H116" s="3142" t="s">
        <v>2226</v>
      </c>
      <c r="I116" s="3142"/>
    </row>
    <row r="117" spans="1:11" ht="18.75" customHeight="1">
      <c r="A117" s="3142"/>
      <c r="B117" s="3189"/>
      <c r="C117" s="3189"/>
      <c r="D117" s="1781" t="s">
        <v>2227</v>
      </c>
      <c r="E117" s="1781" t="s">
        <v>2228</v>
      </c>
      <c r="F117" s="1781" t="s">
        <v>2227</v>
      </c>
      <c r="G117" s="1781" t="s">
        <v>2229</v>
      </c>
      <c r="H117" s="1781" t="s">
        <v>2227</v>
      </c>
      <c r="I117" s="1781" t="s">
        <v>2229</v>
      </c>
    </row>
    <row r="118" spans="1:11" ht="24.75" customHeight="1">
      <c r="A118" s="2409" t="str">
        <f>项目基本情况!S2</f>
        <v>北京市朝阳区东四环中路58号楼配套商业、酒店式公寓用房房地产</v>
      </c>
      <c r="B118" s="1781">
        <f>M18</f>
        <v>26965.789999999986</v>
      </c>
      <c r="C118" s="1781">
        <f>M19</f>
        <v>2719.43</v>
      </c>
      <c r="D118" s="1781" t="e">
        <f ca="1">ROUND(IF(D32="总价",C34,E118*B118/10000),0)</f>
        <v>#REF!</v>
      </c>
      <c r="E118" s="1781" t="e">
        <f ca="1">ROUND(IF(C33="自定义",IF(D32="楼面单价",C34,D118*10000/B118),I118-G118),0)</f>
        <v>#REF!</v>
      </c>
      <c r="F118" s="1781" t="e">
        <f ca="1">ROUND(IF(D32="总价",C35,G118*B118/10000),0)</f>
        <v>#REF!</v>
      </c>
      <c r="G118" s="1781" t="e">
        <f ca="1">ROUND(IF(D32="楼面单价",C35,F118*10000/B118),0)</f>
        <v>#REF!</v>
      </c>
      <c r="H118" s="1781">
        <f ca="1">ROUND(IF(D32="总价",C32,I118*B118/10000),0)</f>
        <v>30133</v>
      </c>
      <c r="I118" s="1781">
        <f ca="1">ROUND(IF(D32="楼面单价",C32,H118*10000/B118),0)</f>
        <v>11175</v>
      </c>
    </row>
    <row r="119" spans="1:11" ht="18.75" customHeight="1">
      <c r="A119" s="3142" t="s">
        <v>2230</v>
      </c>
      <c r="B119" s="3142"/>
      <c r="C119" s="3142"/>
      <c r="D119" s="3193" t="e">
        <f ca="1">NUMBERSTRING(INT(D118*10000),2)&amp;"元整"</f>
        <v>#REF!</v>
      </c>
      <c r="E119" s="3195"/>
      <c r="F119" s="3193" t="e">
        <f ca="1">NUMBERSTRING(INT(F118*10000),2)&amp;"元整"</f>
        <v>#REF!</v>
      </c>
      <c r="G119" s="3195"/>
      <c r="H119" s="3193" t="str">
        <f ca="1">NUMBERSTRING(INT(H118*10000),2)&amp;"元整"</f>
        <v>叁亿零壹佰叁拾叁万元整</v>
      </c>
      <c r="I119" s="3195"/>
    </row>
    <row r="120" spans="1:11" ht="18.75" customHeight="1">
      <c r="A120" s="3221" t="str">
        <f>IF(项目基本情况!B9="房地产市场价值","",MID(E103,3,LEN(E103)-2))</f>
        <v>估价师知悉的法定优先受偿款</v>
      </c>
      <c r="B120" s="3222"/>
      <c r="C120" s="3223"/>
      <c r="D120" s="3221">
        <f>H103</f>
        <v>0</v>
      </c>
      <c r="E120" s="3222"/>
      <c r="F120" s="3222"/>
      <c r="G120" s="3222"/>
      <c r="H120" s="3222"/>
      <c r="I120" s="3223"/>
      <c r="K120" s="2306" t="str">
        <f>IF(D120=0,"故，本次评估不存在"&amp;A120,"故，本次评估"&amp;A120&amp;"为人民币"&amp;D120&amp;"万元整。")</f>
        <v>故，本次评估不存在估价师知悉的法定优先受偿款</v>
      </c>
    </row>
    <row r="121" spans="1:11" ht="18.75" customHeight="1">
      <c r="A121" s="3197" t="s">
        <v>2230</v>
      </c>
      <c r="B121" s="3198"/>
      <c r="C121" s="3199"/>
      <c r="D121" s="3193" t="str">
        <f>IF(D120=0,"零元整",NUMBERSTRING(INT(D120*10000),2)&amp;"元整")</f>
        <v>零元整</v>
      </c>
      <c r="E121" s="3194"/>
      <c r="F121" s="3194"/>
      <c r="G121" s="3194"/>
      <c r="H121" s="3194"/>
      <c r="I121" s="3195"/>
    </row>
    <row r="122" spans="1:11" ht="18.75" hidden="1" customHeight="1">
      <c r="A122" s="3184" t="str">
        <f>IF(项目基本情况!B9="房地产市场价值","",MID(E107,3,LEN(E107)-2))</f>
        <v/>
      </c>
      <c r="B122" s="3184"/>
      <c r="C122" s="3184"/>
      <c r="D122" s="3221" t="str">
        <f>H107</f>
        <v>——</v>
      </c>
      <c r="E122" s="3222"/>
      <c r="F122" s="3222"/>
      <c r="G122" s="3222"/>
      <c r="H122" s="3222"/>
      <c r="I122" s="3223"/>
    </row>
    <row r="123" spans="1:11" ht="18.75" hidden="1" customHeight="1">
      <c r="A123" s="3142" t="s">
        <v>2230</v>
      </c>
      <c r="B123" s="3142"/>
      <c r="C123" s="3142"/>
      <c r="D123" s="3193" t="e">
        <f>NUMBERSTRING(INT(D122*10000),2)&amp;"元整"</f>
        <v>#VALUE!</v>
      </c>
      <c r="E123" s="3194"/>
      <c r="F123" s="3194"/>
      <c r="G123" s="3194"/>
      <c r="H123" s="3194"/>
      <c r="I123" s="3195"/>
    </row>
    <row r="124" spans="1:11" ht="18.75" customHeight="1">
      <c r="A124" s="3184" t="str">
        <f>IF(项目基本情况!B9="房地产市场价值","",MID(E109,3,LEN(E109)-2))</f>
        <v>抵押担保权已注销时的房地产抵押价值</v>
      </c>
      <c r="B124" s="3184"/>
      <c r="C124" s="3184"/>
      <c r="D124" s="3221">
        <f ca="1">H109</f>
        <v>30133</v>
      </c>
      <c r="E124" s="3222"/>
      <c r="F124" s="3222"/>
      <c r="G124" s="3222"/>
      <c r="H124" s="3222"/>
      <c r="I124" s="3223"/>
    </row>
    <row r="125" spans="1:11" ht="18.75" customHeight="1">
      <c r="A125" s="3142" t="s">
        <v>2230</v>
      </c>
      <c r="B125" s="3142"/>
      <c r="C125" s="3142"/>
      <c r="D125" s="3193" t="str">
        <f ca="1">NUMBERSTRING(INT(D124*10000),2)&amp;"元整"</f>
        <v>叁亿零壹佰叁拾叁万元整</v>
      </c>
      <c r="E125" s="3194"/>
      <c r="F125" s="3194"/>
      <c r="G125" s="3194"/>
      <c r="H125" s="3194"/>
      <c r="I125" s="3195"/>
    </row>
    <row r="126" spans="1:11" ht="18.75" hidden="1" customHeight="1">
      <c r="A126" s="3184" t="str">
        <f>IF(项目基本情况!B9="房地产市场价值","",MID(E111,3,LEN(E111)-2))</f>
        <v/>
      </c>
      <c r="B126" s="3184"/>
      <c r="C126" s="3184"/>
      <c r="D126" s="3221" t="str">
        <f>H111</f>
        <v>——</v>
      </c>
      <c r="E126" s="3222"/>
      <c r="F126" s="3222"/>
      <c r="G126" s="3222"/>
      <c r="H126" s="3222"/>
      <c r="I126" s="3223"/>
    </row>
    <row r="127" spans="1:11" ht="18.75" hidden="1" customHeight="1">
      <c r="A127" s="3142" t="s">
        <v>2230</v>
      </c>
      <c r="B127" s="3142"/>
      <c r="C127" s="3142"/>
      <c r="D127" s="3193" t="e">
        <f>NUMBERSTRING(INT(D126*10000),2)&amp;"元整"</f>
        <v>#VALUE!</v>
      </c>
      <c r="E127" s="3194"/>
      <c r="F127" s="3194"/>
      <c r="G127" s="3194"/>
      <c r="H127" s="3194"/>
      <c r="I127" s="3195"/>
    </row>
    <row r="128" spans="1:11" ht="21.75" customHeight="1">
      <c r="A128" s="3203" t="s">
        <v>2231</v>
      </c>
      <c r="B128" s="3203"/>
      <c r="C128" s="3203"/>
      <c r="D128" s="3203"/>
      <c r="E128" s="3203"/>
      <c r="F128" s="3203"/>
      <c r="G128" s="3203"/>
      <c r="H128" s="3203"/>
      <c r="I128" s="3203"/>
    </row>
    <row r="129" spans="1:35" ht="21.75" customHeight="1">
      <c r="A129" s="2410" t="s">
        <v>2232</v>
      </c>
      <c r="B129" s="2411"/>
      <c r="C129" s="2412" t="s">
        <v>2233</v>
      </c>
      <c r="D129" s="2413"/>
      <c r="E129" s="2413"/>
      <c r="F129" s="2413"/>
      <c r="G129" s="2413"/>
      <c r="H129" s="2414"/>
      <c r="I129" s="2415"/>
    </row>
    <row r="130" spans="1:35" ht="21.75" customHeight="1">
      <c r="A130" s="2416">
        <v>1</v>
      </c>
      <c r="B130" s="2417"/>
      <c r="C130" s="2417"/>
      <c r="D130" s="2418"/>
      <c r="E130" s="2418"/>
      <c r="F130" s="2418"/>
      <c r="G130" s="2418"/>
      <c r="H130" s="2419"/>
      <c r="I130" s="2420"/>
    </row>
    <row r="131" spans="1:35" ht="21.75" customHeight="1">
      <c r="A131" s="2416">
        <v>2</v>
      </c>
      <c r="B131" s="2417"/>
      <c r="C131" s="2417"/>
      <c r="D131" s="2418"/>
      <c r="E131" s="2418"/>
      <c r="F131" s="2418"/>
      <c r="G131" s="2418"/>
      <c r="H131" s="2419"/>
      <c r="I131" s="2420"/>
    </row>
    <row r="132" spans="1:35" ht="21.75" customHeight="1">
      <c r="A132" s="2416">
        <v>3</v>
      </c>
      <c r="B132" s="2417"/>
      <c r="C132" s="2417"/>
      <c r="D132" s="2418"/>
      <c r="E132" s="2418"/>
      <c r="F132" s="2418"/>
      <c r="G132" s="2418"/>
      <c r="H132" s="2419"/>
      <c r="I132" s="2420"/>
    </row>
    <row r="133" spans="1:35" ht="21.75" customHeight="1">
      <c r="A133" s="2421"/>
      <c r="B133" s="2422"/>
      <c r="C133" s="2422"/>
      <c r="D133" s="2423"/>
      <c r="E133" s="2423"/>
      <c r="F133" s="2423"/>
      <c r="G133" s="2423"/>
      <c r="H133" s="2424"/>
      <c r="I133" s="2425"/>
    </row>
    <row r="134" spans="1:35" ht="21.75" customHeight="1">
      <c r="A134" s="2417"/>
      <c r="B134" s="2417"/>
      <c r="C134" s="2417"/>
      <c r="D134" s="2418"/>
      <c r="E134" s="2418"/>
      <c r="F134" s="2418"/>
      <c r="G134" s="2418"/>
      <c r="H134" s="2419"/>
      <c r="I134" s="794"/>
    </row>
    <row r="135" spans="1:35" ht="21.75" customHeight="1">
      <c r="A135" s="794"/>
      <c r="B135" s="794"/>
      <c r="C135" s="794"/>
      <c r="D135" s="794"/>
      <c r="E135" s="794"/>
      <c r="F135" s="2426" t="s">
        <v>2234</v>
      </c>
      <c r="G135" s="2427"/>
      <c r="H135" s="2427"/>
      <c r="I135" s="2428" t="s">
        <v>2235</v>
      </c>
    </row>
    <row r="136" spans="1:35" ht="21.75" customHeight="1">
      <c r="A136" s="794"/>
      <c r="B136" s="2429" t="s">
        <v>2236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427"/>
      <c r="C138" s="2427"/>
      <c r="D138" s="2427"/>
      <c r="E138" s="2427"/>
      <c r="F138" s="2427"/>
      <c r="G138" s="2427"/>
      <c r="H138" s="2427"/>
      <c r="I138" s="2428" t="s">
        <v>2237</v>
      </c>
    </row>
    <row r="139" spans="1:35" ht="21.75" customHeight="1">
      <c r="A139" s="794"/>
      <c r="B139" s="2429" t="s">
        <v>2238</v>
      </c>
      <c r="C139" s="794"/>
      <c r="D139" s="794"/>
      <c r="E139" s="794"/>
      <c r="F139" s="794"/>
      <c r="G139" s="794"/>
      <c r="H139" s="794"/>
      <c r="I139" s="794"/>
    </row>
    <row r="140" spans="1:35" ht="21.75" customHeight="1">
      <c r="A140" s="794"/>
      <c r="B140" s="2429"/>
      <c r="C140" s="794"/>
      <c r="D140" s="794"/>
      <c r="E140" s="794"/>
      <c r="F140" s="794"/>
      <c r="G140" s="794"/>
      <c r="H140" s="794"/>
      <c r="I140" s="794"/>
    </row>
    <row r="141" spans="1:35" ht="21.75" customHeight="1">
      <c r="A141" s="794"/>
      <c r="B141" s="2427"/>
      <c r="C141" s="2427"/>
      <c r="D141" s="2427"/>
      <c r="E141" s="2427"/>
      <c r="F141" s="2427"/>
      <c r="G141" s="2427"/>
      <c r="H141" s="2427"/>
      <c r="I141" s="2428" t="s">
        <v>2237</v>
      </c>
    </row>
    <row r="142" spans="1:35" ht="21.75" customHeight="1">
      <c r="A142" s="794"/>
      <c r="B142" s="2429"/>
      <c r="C142" s="2430"/>
      <c r="D142" s="2431"/>
      <c r="E142" s="2431"/>
      <c r="F142" s="2223"/>
      <c r="G142" s="794"/>
      <c r="H142" s="794"/>
      <c r="I142" s="794"/>
    </row>
    <row r="143" spans="1:35" s="139" customFormat="1" ht="21.75" customHeight="1">
      <c r="A143" s="794"/>
      <c r="B143" s="2429"/>
      <c r="C143" s="2430"/>
      <c r="D143" s="2431"/>
      <c r="E143" s="2431"/>
      <c r="F143" s="222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30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30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30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30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30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30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30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30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30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30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30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30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30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30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30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30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30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30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30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30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30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30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30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30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30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30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30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30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30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30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30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30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30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30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30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30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30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30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30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30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30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30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30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30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30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30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30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30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30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30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30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30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30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30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30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30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30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30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30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30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30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30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30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30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30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30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30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30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30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30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30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30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30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30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30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30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30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30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30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30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30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30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30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30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30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30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30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30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30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30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30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30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30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30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30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30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30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30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30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30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30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30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30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30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2"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25" t="str">
        <f>项目基本情况!B1</f>
        <v>北京市朝阳区东四环中路58号楼配套商业、酒店式公寓用房房地产抵押价值预评估</v>
      </c>
      <c r="C37" s="3025"/>
      <c r="D37" s="3025"/>
      <c r="E37" s="3025"/>
      <c r="F37" s="3025"/>
      <c r="G37" s="3025"/>
      <c r="H37" s="3025"/>
      <c r="I37" s="3025"/>
    </row>
    <row r="38" spans="1:9">
      <c r="A38" s="1017"/>
      <c r="B38" s="1017"/>
    </row>
    <row r="39" spans="1:9">
      <c r="A39" s="1015" t="s">
        <v>818</v>
      </c>
      <c r="B39" s="1015" t="s">
        <v>820</v>
      </c>
    </row>
    <row r="40" spans="1:9">
      <c r="A40" s="1015"/>
      <c r="B40" s="1928" t="str">
        <f>项目基本情况!B5</f>
        <v>福州泰禾锦兴置业有限公司</v>
      </c>
    </row>
    <row r="41" spans="1:9">
      <c r="A41" s="1015"/>
      <c r="B41" s="1015"/>
    </row>
    <row r="42" spans="1:9">
      <c r="A42" s="1015" t="s">
        <v>818</v>
      </c>
      <c r="B42" s="1015" t="s">
        <v>821</v>
      </c>
    </row>
    <row r="43" spans="1:9">
      <c r="A43" s="1015"/>
      <c r="B43" s="1928" t="s">
        <v>822</v>
      </c>
    </row>
    <row r="44" spans="1:9">
      <c r="A44" s="1015"/>
      <c r="B44" s="1015"/>
    </row>
    <row r="45" spans="1:9">
      <c r="A45" s="1015" t="s">
        <v>818</v>
      </c>
      <c r="B45" s="1015" t="s">
        <v>823</v>
      </c>
    </row>
    <row r="46" spans="1:9" s="1015" customFormat="1" ht="12.75">
      <c r="B46" s="1928" t="str">
        <f ca="1">项目基本情况!K4</f>
        <v>郑燚（注册号：1120070131)、王鹏（注册号：1120050019)</v>
      </c>
    </row>
    <row r="47" spans="1:9">
      <c r="A47" s="1015"/>
      <c r="B47" s="1015" t="str">
        <f>项目基本情况!K5</f>
        <v/>
      </c>
    </row>
    <row r="48" spans="1:9">
      <c r="A48" s="1015" t="s">
        <v>818</v>
      </c>
      <c r="B48" s="1015" t="s">
        <v>824</v>
      </c>
    </row>
    <row r="49" spans="2:2">
      <c r="B49" s="1928" t="str">
        <f>"康正预评字"&amp;项目基本情况!B2&amp;"号"</f>
        <v>康正预评字2018-1-00号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H9"/>
  <sheetViews>
    <sheetView workbookViewId="0">
      <selection activeCell="F5" sqref="F5:F6"/>
    </sheetView>
  </sheetViews>
  <sheetFormatPr defaultRowHeight="13.5"/>
  <cols>
    <col min="4" max="4" width="9.5" bestFit="1" customWidth="1"/>
  </cols>
  <sheetData>
    <row r="4" spans="1:8">
      <c r="A4" s="3235" t="s">
        <v>3670</v>
      </c>
      <c r="B4" s="3015" t="s">
        <v>3686</v>
      </c>
      <c r="C4" s="3015" t="s">
        <v>3685</v>
      </c>
      <c r="D4" s="3015" t="s">
        <v>3622</v>
      </c>
      <c r="E4" s="3015" t="s">
        <v>3624</v>
      </c>
      <c r="F4" s="3015" t="s">
        <v>3673</v>
      </c>
      <c r="G4" s="3015" t="s">
        <v>3674</v>
      </c>
      <c r="H4" s="3015" t="s">
        <v>3627</v>
      </c>
    </row>
    <row r="5" spans="1:8">
      <c r="A5" s="3235"/>
      <c r="B5" s="3236">
        <f>'数据-汇总表'!F20+'数据-汇总表'!F21</f>
        <v>25370.109999999993</v>
      </c>
      <c r="C5" s="3015" t="s">
        <v>3625</v>
      </c>
      <c r="D5" s="3016">
        <v>0.5</v>
      </c>
      <c r="E5" s="3017">
        <f>1-D5</f>
        <v>0.5</v>
      </c>
      <c r="F5" s="3238">
        <f ca="1">ROUND((D6*D5+E6*E5),0)</f>
        <v>60699</v>
      </c>
      <c r="G5" s="3238">
        <f ca="1">ROUND(F5*('数据-汇总表'!F20+'数据-汇总表'!F21)/10000,0)</f>
        <v>153994</v>
      </c>
      <c r="H5" s="3238">
        <f ca="1">G5+G8</f>
        <v>161498</v>
      </c>
    </row>
    <row r="6" spans="1:8">
      <c r="A6" s="3235"/>
      <c r="B6" s="3237"/>
      <c r="C6" s="3015" t="s">
        <v>3626</v>
      </c>
      <c r="D6" s="3018">
        <f>典型户型修正!R22</f>
        <v>62869</v>
      </c>
      <c r="E6" s="3018">
        <f ca="1">成本法!B3</f>
        <v>58528</v>
      </c>
      <c r="F6" s="3238"/>
      <c r="G6" s="3238"/>
      <c r="H6" s="3238"/>
    </row>
    <row r="7" spans="1:8">
      <c r="A7" s="3235" t="s">
        <v>3669</v>
      </c>
      <c r="B7" s="3015" t="s">
        <v>3687</v>
      </c>
      <c r="C7" s="3015" t="s">
        <v>3685</v>
      </c>
      <c r="D7" s="3015" t="s">
        <v>3622</v>
      </c>
      <c r="E7" s="3015" t="s">
        <v>3671</v>
      </c>
      <c r="F7" s="3015" t="s">
        <v>3627</v>
      </c>
      <c r="G7" s="3015" t="s">
        <v>3672</v>
      </c>
      <c r="H7" s="3238"/>
    </row>
    <row r="8" spans="1:8">
      <c r="A8" s="3235"/>
      <c r="B8" s="3236">
        <f>'数据-汇总表'!F19</f>
        <v>1595.68</v>
      </c>
      <c r="C8" s="3015" t="s">
        <v>3625</v>
      </c>
      <c r="D8" s="3016">
        <v>0.5</v>
      </c>
      <c r="E8" s="3017">
        <f>1-D8</f>
        <v>0.5</v>
      </c>
      <c r="F8" s="3238">
        <f ca="1">ROUND((D9*D8+E9*E8),0)</f>
        <v>47025</v>
      </c>
      <c r="G8" s="3238">
        <f ca="1">ROUND(F8*('数据-汇总表'!F19)/10000,0)</f>
        <v>7504</v>
      </c>
      <c r="H8" s="3238"/>
    </row>
    <row r="9" spans="1:8">
      <c r="A9" s="3235"/>
      <c r="B9" s="3237"/>
      <c r="C9" s="3015" t="s">
        <v>3626</v>
      </c>
      <c r="D9" s="3018">
        <f>'比较法-商业'!B3</f>
        <v>44315</v>
      </c>
      <c r="E9" s="3018">
        <f ca="1">收益法!B3</f>
        <v>49734</v>
      </c>
      <c r="F9" s="3238"/>
      <c r="G9" s="3238"/>
      <c r="H9" s="3238"/>
    </row>
  </sheetData>
  <mergeCells count="9">
    <mergeCell ref="G5:G6"/>
    <mergeCell ref="G8:G9"/>
    <mergeCell ref="H5:H9"/>
    <mergeCell ref="A4:A6"/>
    <mergeCell ref="A7:A9"/>
    <mergeCell ref="B5:B6"/>
    <mergeCell ref="B8:B9"/>
    <mergeCell ref="F5:F6"/>
    <mergeCell ref="F8:F9"/>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100" zoomScaleSheetLayoutView="85" workbookViewId="0">
      <selection activeCell="I29" sqref="I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2239</v>
      </c>
      <c r="B1" s="1923" t="s">
        <v>3599</v>
      </c>
      <c r="C1" s="242"/>
      <c r="D1" s="242"/>
      <c r="E1" s="242"/>
      <c r="F1" s="242"/>
      <c r="G1" s="1366">
        <f>MATCH(B1,'数据-取费表'!A6:A16,0)+5</f>
        <v>8</v>
      </c>
    </row>
    <row r="2" spans="1:9" s="244" customFormat="1" ht="18" customHeight="1">
      <c r="A2" s="245" t="s">
        <v>2240</v>
      </c>
      <c r="B2" s="246">
        <f ca="1">IF(D2="——",C52,C52-E2)</f>
        <v>148487</v>
      </c>
      <c r="C2" s="243" t="s">
        <v>2241</v>
      </c>
      <c r="D2" s="2432" t="s">
        <v>70</v>
      </c>
      <c r="E2" s="1427" t="e">
        <f ca="1">SUMIF(INDIRECT("'"&amp;G2&amp;"'"&amp;"!A:A"),"承租人权益价值",INDIRECT("'"&amp;G2&amp;"'"&amp;"!c:c"))</f>
        <v>#REF!</v>
      </c>
      <c r="F2" s="2433" t="s">
        <v>2241</v>
      </c>
      <c r="G2" s="2434"/>
    </row>
    <row r="3" spans="1:9" s="244" customFormat="1" ht="18" customHeight="1" thickBot="1">
      <c r="A3" s="247" t="s">
        <v>2242</v>
      </c>
      <c r="B3" s="3020">
        <f ca="1">ROUND(B2*10000/D19,0)</f>
        <v>58528</v>
      </c>
      <c r="C3" s="243" t="s">
        <v>2243</v>
      </c>
      <c r="D3" s="243"/>
      <c r="E3" s="243"/>
      <c r="F3" s="243"/>
      <c r="G3" s="243"/>
    </row>
    <row r="4" spans="1:9" s="252" customFormat="1" ht="15.75">
      <c r="A4" s="249" t="s">
        <v>2244</v>
      </c>
      <c r="B4" s="250"/>
      <c r="C4" s="250"/>
      <c r="D4" s="250"/>
      <c r="E4" s="250"/>
      <c r="F4" s="250"/>
      <c r="G4" s="251"/>
    </row>
    <row r="5" spans="1:9" s="258" customFormat="1" ht="13.5" customHeight="1">
      <c r="A5" s="299" t="s">
        <v>2245</v>
      </c>
      <c r="B5" s="254" t="s">
        <v>2246</v>
      </c>
      <c r="C5" s="255">
        <f ca="1">C6+C7+C8</f>
        <v>84071</v>
      </c>
      <c r="D5" s="255" t="s">
        <v>2247</v>
      </c>
      <c r="E5" s="256" t="s">
        <v>2248</v>
      </c>
      <c r="F5" s="256" t="s">
        <v>2249</v>
      </c>
      <c r="G5" s="257"/>
    </row>
    <row r="6" spans="1:9" s="258" customFormat="1" ht="13.5" customHeight="1">
      <c r="A6" s="950" t="s">
        <v>2250</v>
      </c>
      <c r="B6" s="259" t="s">
        <v>2251</v>
      </c>
      <c r="C6" s="260">
        <f ca="1">基准地价修正!E29</f>
        <v>81189</v>
      </c>
      <c r="D6" s="261"/>
      <c r="E6" s="262"/>
      <c r="F6" s="262"/>
      <c r="G6" s="263"/>
    </row>
    <row r="7" spans="1:9" s="258" customFormat="1" ht="13.5" customHeight="1">
      <c r="A7" s="950" t="s">
        <v>2252</v>
      </c>
      <c r="B7" s="259" t="s">
        <v>2253</v>
      </c>
      <c r="C7" s="264">
        <f ca="1">ROUND(C6*F7,0)</f>
        <v>2476</v>
      </c>
      <c r="D7" s="264"/>
      <c r="E7" s="262"/>
      <c r="F7" s="265">
        <f>'数据-取费表'!B48+'数据-取费表'!B49</f>
        <v>3.0499999999999999E-2</v>
      </c>
      <c r="G7" s="263"/>
    </row>
    <row r="8" spans="1:9" s="267" customFormat="1">
      <c r="A8" s="950" t="s">
        <v>2254</v>
      </c>
      <c r="B8" s="259" t="s">
        <v>2255</v>
      </c>
      <c r="C8" s="264">
        <f ca="1">IF(G8="已包含在土地购买价格中","0",IF(B1="",'数据-取费表'!B29,IF(G9="全部缴纳",C9+C10,H9)))</f>
        <v>406</v>
      </c>
      <c r="D8" s="266"/>
      <c r="E8" s="264"/>
      <c r="F8" s="265"/>
      <c r="G8" s="2435" t="s">
        <v>3620</v>
      </c>
    </row>
    <row r="9" spans="1:9" s="258" customFormat="1" ht="13.5" customHeight="1">
      <c r="A9" s="951" t="s">
        <v>800</v>
      </c>
      <c r="B9" s="268" t="s">
        <v>2256</v>
      </c>
      <c r="C9" s="269">
        <f>ROUND(D9*E9/10000,0)</f>
        <v>406</v>
      </c>
      <c r="D9" s="3019">
        <f>'数据-汇总表'!F20+'数据-汇总表'!F21</f>
        <v>25370.109999999993</v>
      </c>
      <c r="E9" s="269">
        <f>'数据-取费表'!B27</f>
        <v>160</v>
      </c>
      <c r="F9" s="265"/>
      <c r="G9" s="2436" t="s">
        <v>3621</v>
      </c>
      <c r="H9" s="1377"/>
      <c r="I9" s="2437" t="s">
        <v>2257</v>
      </c>
    </row>
    <row r="10" spans="1:9" s="258" customFormat="1" ht="13.5" customHeight="1">
      <c r="A10" s="951" t="s">
        <v>801</v>
      </c>
      <c r="B10" s="268" t="s">
        <v>2258</v>
      </c>
      <c r="C10" s="269">
        <f ca="1">ROUND(D10*E10/10000,0)</f>
        <v>0</v>
      </c>
      <c r="D10" s="1033">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2259</v>
      </c>
      <c r="C11" s="255"/>
      <c r="D11" s="1035"/>
      <c r="E11" s="262"/>
      <c r="F11" s="262"/>
      <c r="G11" s="263"/>
    </row>
    <row r="12" spans="1:9" s="258" customFormat="1" ht="13.5" hidden="1" customHeight="1">
      <c r="A12" s="271" t="s">
        <v>8</v>
      </c>
      <c r="B12" s="259" t="s">
        <v>2260</v>
      </c>
      <c r="C12" s="255">
        <v>0</v>
      </c>
      <c r="D12" s="1035"/>
      <c r="E12" s="272"/>
      <c r="F12" s="265">
        <v>3.0499999999999999E-2</v>
      </c>
      <c r="G12" s="263"/>
    </row>
    <row r="13" spans="1:9" s="258" customFormat="1" ht="13.5" hidden="1" customHeight="1">
      <c r="A13" s="271" t="s">
        <v>9</v>
      </c>
      <c r="B13" s="259" t="s">
        <v>2261</v>
      </c>
      <c r="C13" s="255"/>
      <c r="D13" s="1035"/>
      <c r="E13" s="262"/>
      <c r="F13" s="262"/>
      <c r="G13" s="263"/>
    </row>
    <row r="14" spans="1:9" s="258" customFormat="1" ht="13.5" hidden="1" customHeight="1">
      <c r="A14" s="271" t="s">
        <v>10</v>
      </c>
      <c r="B14" s="259" t="s">
        <v>2262</v>
      </c>
      <c r="C14" s="255"/>
      <c r="D14" s="1035"/>
      <c r="E14" s="262"/>
      <c r="F14" s="262"/>
      <c r="G14" s="263" t="s">
        <v>2263</v>
      </c>
    </row>
    <row r="15" spans="1:9" s="258" customFormat="1" ht="13.5" hidden="1" customHeight="1">
      <c r="A15" s="271" t="s">
        <v>11</v>
      </c>
      <c r="B15" s="259" t="s">
        <v>2264</v>
      </c>
      <c r="C15" s="264"/>
      <c r="D15" s="1035"/>
      <c r="E15" s="262"/>
      <c r="F15" s="262"/>
      <c r="G15" s="263" t="s">
        <v>2265</v>
      </c>
    </row>
    <row r="16" spans="1:9" s="258" customFormat="1" ht="13.5" hidden="1" customHeight="1">
      <c r="A16" s="271" t="s">
        <v>12</v>
      </c>
      <c r="B16" s="259" t="s">
        <v>2262</v>
      </c>
      <c r="C16" s="264"/>
      <c r="D16" s="1035"/>
      <c r="E16" s="262"/>
      <c r="F16" s="262"/>
      <c r="G16" s="263"/>
    </row>
    <row r="17" spans="1:7" s="258" customFormat="1" ht="13.5" hidden="1" customHeight="1">
      <c r="A17" s="271" t="s">
        <v>13</v>
      </c>
      <c r="B17" s="259" t="s">
        <v>2266</v>
      </c>
      <c r="C17" s="273"/>
      <c r="D17" s="1036"/>
      <c r="E17" s="273"/>
      <c r="F17" s="273"/>
      <c r="G17" s="263" t="s">
        <v>2265</v>
      </c>
    </row>
    <row r="18" spans="1:7" s="258" customFormat="1" ht="13.5" hidden="1" customHeight="1">
      <c r="A18" s="271" t="s">
        <v>14</v>
      </c>
      <c r="B18" s="259" t="s">
        <v>2267</v>
      </c>
      <c r="C18" s="264">
        <v>0</v>
      </c>
      <c r="D18" s="1035"/>
      <c r="E18" s="262"/>
      <c r="F18" s="265">
        <v>3.0499999999999999E-2</v>
      </c>
      <c r="G18" s="263" t="s">
        <v>2268</v>
      </c>
    </row>
    <row r="19" spans="1:7" s="267" customFormat="1" ht="13.5" customHeight="1">
      <c r="A19" s="299" t="s">
        <v>2269</v>
      </c>
      <c r="B19" s="254" t="s">
        <v>2270</v>
      </c>
      <c r="C19" s="255">
        <f ca="1">IF(G19="已包含在土地取得成本中","0",ROUND(D19*E19/10000,0))</f>
        <v>507</v>
      </c>
      <c r="D19" s="1037">
        <f ca="1">D9+D10</f>
        <v>25370.109999999993</v>
      </c>
      <c r="E19" s="255">
        <f>'数据-取费表'!B31</f>
        <v>200</v>
      </c>
      <c r="F19" s="275"/>
      <c r="G19" s="2435"/>
    </row>
    <row r="20" spans="1:7" s="258" customFormat="1" ht="13.5" customHeight="1">
      <c r="A20" s="299" t="s">
        <v>2271</v>
      </c>
      <c r="B20" s="254" t="s">
        <v>2272</v>
      </c>
      <c r="C20" s="276">
        <f ca="1">ROUND((C5+C19)*F20,0)</f>
        <v>2537</v>
      </c>
      <c r="D20" s="276"/>
      <c r="E20" s="276"/>
      <c r="F20" s="277">
        <f>'数据-取费表'!B37</f>
        <v>0.03</v>
      </c>
      <c r="G20" s="278" t="s">
        <v>2273</v>
      </c>
    </row>
    <row r="21" spans="1:7" s="258" customFormat="1" ht="13.5" customHeight="1">
      <c r="A21" s="299" t="s">
        <v>2274</v>
      </c>
      <c r="B21" s="254" t="s">
        <v>2275</v>
      </c>
      <c r="C21" s="279">
        <f>F21</f>
        <v>0.03</v>
      </c>
      <c r="D21" s="280" t="s">
        <v>2276</v>
      </c>
      <c r="E21" s="276"/>
      <c r="F21" s="277">
        <f>'数据-取费表'!B38</f>
        <v>0.03</v>
      </c>
      <c r="G21" s="278" t="s">
        <v>2277</v>
      </c>
    </row>
    <row r="22" spans="1:7" s="258" customFormat="1" ht="13.5" customHeight="1">
      <c r="A22" s="299" t="s">
        <v>2278</v>
      </c>
      <c r="B22" s="254" t="s">
        <v>2279</v>
      </c>
      <c r="C22" s="1341">
        <f ca="1">ROUND(SUM(C23:C25),0)</f>
        <v>10556</v>
      </c>
      <c r="D22" s="279">
        <f ca="1">C26</f>
        <v>1.8E-3</v>
      </c>
      <c r="E22" s="280" t="s">
        <v>2276</v>
      </c>
      <c r="F22" s="281">
        <f ca="1">'数据-取费表'!B40</f>
        <v>4.7500000000000001E-2</v>
      </c>
      <c r="G22" s="278" t="str">
        <f>IF('数据-取费表'!B22&lt;=1,"单利计息","复利计息")</f>
        <v>复利计息</v>
      </c>
    </row>
    <row r="23" spans="1:7" s="258" customFormat="1" ht="13.5" customHeight="1">
      <c r="A23" s="952" t="s">
        <v>2280</v>
      </c>
      <c r="B23" s="259" t="s">
        <v>2281</v>
      </c>
      <c r="C23" s="1342">
        <f ca="1">ROUND(IF('数据-取费表'!B22&lt;=1,C5*F22*'数据-取费表'!B23,C5*(POWER((1+F22),'数据-取费表'!B23)-1)),0)</f>
        <v>10342</v>
      </c>
      <c r="D23" s="282"/>
      <c r="E23" s="282"/>
      <c r="F23" s="283"/>
      <c r="G23" s="284" t="s">
        <v>2282</v>
      </c>
    </row>
    <row r="24" spans="1:7" s="258" customFormat="1" ht="13.5" customHeight="1">
      <c r="A24" s="952" t="s">
        <v>2283</v>
      </c>
      <c r="B24" s="259" t="s">
        <v>2284</v>
      </c>
      <c r="C24" s="1342">
        <f ca="1">ROUND(IF('数据-取费表'!B22&lt;=1,C19*F22*('数据-取费表'!B19/2+'数据-取费表'!B21),C19*(POWER((1+F22),('数据-取费表'!B19/2+'数据-取费表'!B21))-1)),0)</f>
        <v>62</v>
      </c>
      <c r="D24" s="282"/>
      <c r="E24" s="282"/>
      <c r="F24" s="283"/>
      <c r="G24" s="284" t="s">
        <v>2285</v>
      </c>
    </row>
    <row r="25" spans="1:7" s="258" customFormat="1" ht="24">
      <c r="A25" s="952" t="s">
        <v>2286</v>
      </c>
      <c r="B25" s="259" t="s">
        <v>2287</v>
      </c>
      <c r="C25" s="1342">
        <f ca="1">ROUND(IF('数据-取费表'!B22&lt;=1,C20*F22*'数据-取费表'!B23/2,C20*(POWER((1+F22),'数据-取费表'!B23/2)-1)),0)</f>
        <v>152</v>
      </c>
      <c r="D25" s="282"/>
      <c r="E25" s="285"/>
      <c r="F25" s="283"/>
      <c r="G25" s="286" t="s">
        <v>2288</v>
      </c>
    </row>
    <row r="26" spans="1:7" s="258" customFormat="1">
      <c r="A26" s="952" t="s">
        <v>795</v>
      </c>
      <c r="B26" s="259" t="s">
        <v>2289</v>
      </c>
      <c r="C26" s="282">
        <f ca="1">ROUND(IF('数据-取费表'!B22&lt;=1,F21*F22*'数据-取费表'!B23/2,F21*(POWER((1+F22),'数据-取费表'!B23/2)-1)),4)</f>
        <v>1.8E-3</v>
      </c>
      <c r="D26" s="282"/>
      <c r="E26" s="285"/>
      <c r="F26" s="283"/>
      <c r="G26" s="287"/>
    </row>
    <row r="27" spans="1:7" s="258" customFormat="1" ht="24.75">
      <c r="A27" s="299" t="s">
        <v>2290</v>
      </c>
      <c r="B27" s="288" t="s">
        <v>2291</v>
      </c>
      <c r="C27" s="289">
        <f ca="1">C28</f>
        <v>21779</v>
      </c>
      <c r="D27" s="279">
        <f ca="1">C29</f>
        <v>7.4999999999999997E-3</v>
      </c>
      <c r="E27" s="280" t="s">
        <v>2292</v>
      </c>
      <c r="F27" s="290">
        <f ca="1">IF(B1="",'数据-取费表'!Q16,INDIRECT("'数据-取费表'!q"&amp;$G$1))</f>
        <v>0.25</v>
      </c>
      <c r="G27" s="291" t="s">
        <v>2293</v>
      </c>
    </row>
    <row r="28" spans="1:7" s="258" customFormat="1" ht="13.5" customHeight="1">
      <c r="A28" s="952" t="s">
        <v>791</v>
      </c>
      <c r="B28" s="292" t="s">
        <v>2294</v>
      </c>
      <c r="C28" s="293">
        <f ca="1">ROUND((C5+C19+C20)*F27*'数据-取费表'!B21/'数据-取费表'!B20,0)</f>
        <v>21779</v>
      </c>
      <c r="D28" s="279"/>
      <c r="E28" s="280"/>
      <c r="F28" s="290"/>
      <c r="G28" s="291"/>
    </row>
    <row r="29" spans="1:7" s="258" customFormat="1" ht="13.5" customHeight="1">
      <c r="A29" s="952" t="s">
        <v>792</v>
      </c>
      <c r="B29" s="292" t="s">
        <v>2295</v>
      </c>
      <c r="C29" s="282">
        <f ca="1">ROUND(C21*F27*'数据-取费表'!B21/'数据-取费表'!B20,4)</f>
        <v>7.4999999999999997E-3</v>
      </c>
      <c r="D29" s="279"/>
      <c r="E29" s="280"/>
      <c r="F29" s="290"/>
      <c r="G29" s="291"/>
    </row>
    <row r="30" spans="1:7" s="258" customFormat="1" ht="13.5" customHeight="1">
      <c r="A30" s="299" t="s">
        <v>2296</v>
      </c>
      <c r="B30" s="254" t="s">
        <v>2297</v>
      </c>
      <c r="C30" s="279">
        <f>ROUND(F30/(1+'数据-取费表'!C42),4)</f>
        <v>5.33E-2</v>
      </c>
      <c r="D30" s="280" t="s">
        <v>2292</v>
      </c>
      <c r="E30" s="285"/>
      <c r="F30" s="281">
        <f>'数据-取费表'!B41</f>
        <v>5.6000000000000001E-2</v>
      </c>
      <c r="G30" s="278" t="s">
        <v>2298</v>
      </c>
    </row>
    <row r="31" spans="1:7" ht="16.5" customHeight="1">
      <c r="A31" s="253">
        <v>1</v>
      </c>
      <c r="B31" s="254" t="s">
        <v>2299</v>
      </c>
      <c r="C31" s="255">
        <f ca="1">ROUND((C5+C19+C20+C22+C27)/(1-C21-D22-D27-C30),0)</f>
        <v>131640</v>
      </c>
      <c r="D31" s="274"/>
      <c r="E31" s="255"/>
      <c r="F31" s="294"/>
      <c r="G31" s="278" t="s">
        <v>2300</v>
      </c>
    </row>
    <row r="32" spans="1:7" s="252" customFormat="1" ht="15.75">
      <c r="A32" s="296" t="s">
        <v>2301</v>
      </c>
      <c r="B32" s="297"/>
      <c r="C32" s="297"/>
      <c r="D32" s="297"/>
      <c r="E32" s="297"/>
      <c r="F32" s="297"/>
      <c r="G32" s="298"/>
    </row>
    <row r="33" spans="1:7" s="258" customFormat="1" ht="13.5" customHeight="1">
      <c r="A33" s="299" t="s">
        <v>782</v>
      </c>
      <c r="B33" s="254" t="s">
        <v>2302</v>
      </c>
      <c r="C33" s="300">
        <f ca="1">SUM(C34:C38)</f>
        <v>12877</v>
      </c>
      <c r="D33" s="276"/>
      <c r="E33" s="256"/>
      <c r="F33" s="285"/>
      <c r="G33" s="278"/>
    </row>
    <row r="34" spans="1:7" s="302" customFormat="1" ht="13.5" customHeight="1">
      <c r="A34" s="952" t="s">
        <v>791</v>
      </c>
      <c r="B34" s="259" t="s">
        <v>2303</v>
      </c>
      <c r="C34" s="264">
        <f ca="1">IF(B1="",IF(F34=100%,'数据-取费表'!M16,'数据-取费表'!O16),IF(F34=100%,INDIRECT("'数据-取费表'!m"&amp;$G$1)+INDIRECT("'数据-取费表'!t"&amp;$G$1),INDIRECT("'数据-取费表'!o"&amp;$G$1)+INDIRECT("'数据-取费表'!aq"&amp;$G$1)))</f>
        <v>10618</v>
      </c>
      <c r="D34" s="261"/>
      <c r="E34" s="264"/>
      <c r="F34" s="301">
        <f ca="1">IF('数据-取费表'!B24=0,1,IF(B1="",'数据-取费表'!N16,INDIRECT("'数据-取费表'!n"&amp;$G$1)))</f>
        <v>1</v>
      </c>
      <c r="G34" s="263" t="s">
        <v>2304</v>
      </c>
    </row>
    <row r="35" spans="1:7" ht="13.5" customHeight="1">
      <c r="A35" s="952" t="s">
        <v>796</v>
      </c>
      <c r="B35" s="259" t="s">
        <v>2305</v>
      </c>
      <c r="C35" s="264">
        <f ca="1">ROUND(C34*F35,0)</f>
        <v>531</v>
      </c>
      <c r="D35" s="264"/>
      <c r="E35" s="264"/>
      <c r="F35" s="303">
        <f>'数据-取费表'!B33</f>
        <v>0.05</v>
      </c>
      <c r="G35" s="263" t="s">
        <v>2306</v>
      </c>
    </row>
    <row r="36" spans="1:7" ht="24">
      <c r="A36" s="952" t="s">
        <v>797</v>
      </c>
      <c r="B36" s="259" t="s">
        <v>2307</v>
      </c>
      <c r="C36" s="264">
        <f ca="1">ROUND(IF(B1="",SUMIF('数据-取费表'!C:C,"住宅",IF(F34=100%,'数据-取费表'!M:M,'数据-取费表'!O:O))*F36,IF(INDIRECT("'数据-取费表'!c"&amp;$G$1)="住宅",IF(F34=100%,INDIRECT("'数据-取费表'!m"&amp;$G$1)*F36,INDIRECT("'数据-取费表'!o"&amp;$G$1)*F36),0)),0)</f>
        <v>1062</v>
      </c>
      <c r="D36" s="264"/>
      <c r="E36" s="264"/>
      <c r="F36" s="303">
        <f>'数据-取费表'!B34</f>
        <v>0.1</v>
      </c>
      <c r="G36" s="304" t="s">
        <v>2308</v>
      </c>
    </row>
    <row r="37" spans="1:7" s="302" customFormat="1" ht="13.5" customHeight="1">
      <c r="A37" s="952" t="s">
        <v>798</v>
      </c>
      <c r="B37" s="259" t="s">
        <v>2309</v>
      </c>
      <c r="C37" s="293">
        <f ca="1">ROUND(E37*D37*F34/10000,0)</f>
        <v>507</v>
      </c>
      <c r="D37" s="261">
        <f ca="1">D19</f>
        <v>25370.109999999993</v>
      </c>
      <c r="E37" s="293">
        <f>'数据-取费表'!B35</f>
        <v>200</v>
      </c>
      <c r="F37" s="303"/>
      <c r="G37" s="305" t="s">
        <v>2310</v>
      </c>
    </row>
    <row r="38" spans="1:7" ht="13.5" customHeight="1">
      <c r="A38" s="952" t="s">
        <v>799</v>
      </c>
      <c r="B38" s="259" t="s">
        <v>2311</v>
      </c>
      <c r="C38" s="264">
        <f ca="1">ROUND(C34*F38,0)</f>
        <v>159</v>
      </c>
      <c r="D38" s="264"/>
      <c r="E38" s="264"/>
      <c r="F38" s="303">
        <f>'数据-取费表'!B36</f>
        <v>1.4999999999999999E-2</v>
      </c>
      <c r="G38" s="263" t="s">
        <v>2306</v>
      </c>
    </row>
    <row r="39" spans="1:7" s="258" customFormat="1" ht="13.5" customHeight="1">
      <c r="A39" s="299" t="s">
        <v>2312</v>
      </c>
      <c r="B39" s="254" t="s">
        <v>2313</v>
      </c>
      <c r="C39" s="276">
        <f ca="1">ROUND(C33*F20,0)</f>
        <v>386</v>
      </c>
      <c r="D39" s="276"/>
      <c r="E39" s="276"/>
      <c r="F39" s="277"/>
      <c r="G39" s="278" t="s">
        <v>2314</v>
      </c>
    </row>
    <row r="40" spans="1:7" s="258" customFormat="1" ht="13.5" customHeight="1">
      <c r="A40" s="299" t="s">
        <v>2315</v>
      </c>
      <c r="B40" s="254" t="s">
        <v>2316</v>
      </c>
      <c r="C40" s="1714">
        <f>F21</f>
        <v>0.03</v>
      </c>
      <c r="D40" s="280" t="s">
        <v>2317</v>
      </c>
      <c r="E40" s="276"/>
      <c r="F40" s="277"/>
      <c r="G40" s="278" t="s">
        <v>2318</v>
      </c>
    </row>
    <row r="41" spans="1:7" s="258" customFormat="1" ht="13.5" customHeight="1">
      <c r="A41" s="299" t="s">
        <v>2319</v>
      </c>
      <c r="B41" s="254" t="s">
        <v>2320</v>
      </c>
      <c r="C41" s="276">
        <f ca="1">ROUND(SUM(C42:C43),0)</f>
        <v>792</v>
      </c>
      <c r="D41" s="279">
        <f ca="1">C44</f>
        <v>1.8E-3</v>
      </c>
      <c r="E41" s="280" t="s">
        <v>2317</v>
      </c>
      <c r="F41" s="281"/>
      <c r="G41" s="278" t="str">
        <f>IF('数据-取费表'!B22&lt;=1,"单利计息","复利计息")</f>
        <v>复利计息</v>
      </c>
    </row>
    <row r="42" spans="1:7" ht="13.5" customHeight="1">
      <c r="A42" s="952" t="s">
        <v>791</v>
      </c>
      <c r="B42" s="259" t="s">
        <v>2321</v>
      </c>
      <c r="C42" s="282">
        <f ca="1">ROUND(IF('数据-取费表'!B22&lt;=1,C33*F22*'数据-取费表'!B21/2,C33*(POWER((1+F22),'数据-取费表'!B21/2)-1)),0)</f>
        <v>769</v>
      </c>
      <c r="D42" s="282"/>
      <c r="E42" s="282"/>
      <c r="F42" s="283"/>
      <c r="G42" s="3239" t="s">
        <v>2322</v>
      </c>
    </row>
    <row r="43" spans="1:7" ht="13.5" customHeight="1">
      <c r="A43" s="952" t="s">
        <v>792</v>
      </c>
      <c r="B43" s="259" t="s">
        <v>2323</v>
      </c>
      <c r="C43" s="282">
        <f ca="1">ROUND(IF('数据-取费表'!B22&lt;=1,C39*F22*'数据-取费表'!B21/2,C39*(POWER((1+F22),'数据-取费表'!B21/2)-1)),0)</f>
        <v>23</v>
      </c>
      <c r="D43" s="282"/>
      <c r="E43" s="282"/>
      <c r="F43" s="283"/>
      <c r="G43" s="3240"/>
    </row>
    <row r="44" spans="1:7" ht="13.5" customHeight="1">
      <c r="A44" s="952" t="s">
        <v>793</v>
      </c>
      <c r="B44" s="259" t="s">
        <v>2324</v>
      </c>
      <c r="C44" s="282">
        <f ca="1">ROUND(IF('数据-取费表'!B22&lt;=1,C40*F22*'数据-取费表'!B21/2,C40*(POWER((1+F22),'数据-取费表'!B21/2)-1)),4)</f>
        <v>1.8E-3</v>
      </c>
      <c r="D44" s="282"/>
      <c r="E44" s="282"/>
      <c r="F44" s="283"/>
      <c r="G44" s="3241"/>
    </row>
    <row r="45" spans="1:7" s="258" customFormat="1" ht="13.5" customHeight="1">
      <c r="A45" s="299" t="s">
        <v>2325</v>
      </c>
      <c r="B45" s="288" t="s">
        <v>2291</v>
      </c>
      <c r="C45" s="289">
        <f ca="1">C46</f>
        <v>3316</v>
      </c>
      <c r="D45" s="279">
        <f ca="1">C47</f>
        <v>7.4999999999999997E-3</v>
      </c>
      <c r="E45" s="280" t="s">
        <v>2317</v>
      </c>
      <c r="F45" s="290"/>
      <c r="G45" s="291" t="s">
        <v>2326</v>
      </c>
    </row>
    <row r="46" spans="1:7" s="258" customFormat="1" ht="13.5" customHeight="1">
      <c r="A46" s="952" t="s">
        <v>791</v>
      </c>
      <c r="B46" s="292" t="s">
        <v>2327</v>
      </c>
      <c r="C46" s="293">
        <f ca="1">ROUND((C33+C39)*F27,0)</f>
        <v>3316</v>
      </c>
      <c r="D46" s="307"/>
      <c r="E46" s="280"/>
      <c r="F46" s="290"/>
      <c r="G46" s="291"/>
    </row>
    <row r="47" spans="1:7" s="258" customFormat="1" ht="13.5" customHeight="1">
      <c r="A47" s="952" t="s">
        <v>792</v>
      </c>
      <c r="B47" s="292" t="s">
        <v>2328</v>
      </c>
      <c r="C47" s="282">
        <f ca="1">ROUND(C40*F27,4)</f>
        <v>7.4999999999999997E-3</v>
      </c>
      <c r="D47" s="307"/>
      <c r="E47" s="280"/>
      <c r="F47" s="290"/>
      <c r="G47" s="291"/>
    </row>
    <row r="48" spans="1:7" s="258" customFormat="1" ht="13.5" customHeight="1">
      <c r="A48" s="299" t="s">
        <v>2290</v>
      </c>
      <c r="B48" s="254" t="s">
        <v>2329</v>
      </c>
      <c r="C48" s="1714">
        <f>ROUND(F30/(1+'数据-取费表'!C42),4)</f>
        <v>5.33E-2</v>
      </c>
      <c r="D48" s="280" t="s">
        <v>2317</v>
      </c>
      <c r="E48" s="276"/>
      <c r="F48" s="281"/>
      <c r="G48" s="278" t="s">
        <v>2330</v>
      </c>
    </row>
    <row r="49" spans="1:7" ht="16.5" customHeight="1">
      <c r="A49" s="299" t="s">
        <v>2296</v>
      </c>
      <c r="B49" s="254" t="s">
        <v>2331</v>
      </c>
      <c r="C49" s="276">
        <f ca="1">ROUND((C33+C39+C41+C45)/(1-C40-D41-D45-C48),0)</f>
        <v>19144</v>
      </c>
      <c r="D49" s="276"/>
      <c r="E49" s="276"/>
      <c r="F49" s="308"/>
      <c r="G49" s="278" t="s">
        <v>2332</v>
      </c>
    </row>
    <row r="50" spans="1:7" s="302" customFormat="1" ht="24">
      <c r="A50" s="299" t="s">
        <v>2333</v>
      </c>
      <c r="B50" s="254" t="s">
        <v>2334</v>
      </c>
      <c r="C50" s="276"/>
      <c r="D50" s="276"/>
      <c r="E50" s="276"/>
      <c r="F50" s="308">
        <f>IF('数据-取费表'!B24=0,'数据-取费表'!N16,1)</f>
        <v>0.88</v>
      </c>
      <c r="G50" s="291" t="s">
        <v>2335</v>
      </c>
    </row>
    <row r="51" spans="1:7" ht="16.5" customHeight="1">
      <c r="A51" s="299" t="s">
        <v>2336</v>
      </c>
      <c r="B51" s="254" t="s">
        <v>2337</v>
      </c>
      <c r="C51" s="276">
        <f ca="1">ROUND(C49*F50,0)</f>
        <v>16847</v>
      </c>
      <c r="D51" s="276"/>
      <c r="E51" s="276"/>
      <c r="F51" s="308"/>
      <c r="G51" s="278" t="s">
        <v>2338</v>
      </c>
    </row>
    <row r="52" spans="1:7" s="252" customFormat="1" ht="16.5" thickBot="1">
      <c r="A52" s="309" t="s">
        <v>2339</v>
      </c>
      <c r="B52" s="310"/>
      <c r="C52" s="311">
        <f ca="1">C31+C51</f>
        <v>148487</v>
      </c>
      <c r="D52" s="310"/>
      <c r="E52" s="310"/>
      <c r="F52" s="310"/>
      <c r="G52" s="312"/>
    </row>
    <row r="55" spans="1:7" ht="15">
      <c r="B55" s="314" t="s">
        <v>2340</v>
      </c>
      <c r="C55" s="315"/>
    </row>
    <row r="56" spans="1:7">
      <c r="B56" s="317" t="s">
        <v>1513</v>
      </c>
      <c r="C56" s="319">
        <f ca="1">1-C57</f>
        <v>0.88700000000000001</v>
      </c>
    </row>
    <row r="57" spans="1:7">
      <c r="B57" s="317" t="s">
        <v>1514</v>
      </c>
      <c r="C57" s="318">
        <f ca="1">ROUND(C51/C52,3)</f>
        <v>0.113</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1" sqref="B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2239</v>
      </c>
      <c r="B1" s="1923" t="s">
        <v>3597</v>
      </c>
      <c r="C1" s="2438" t="s">
        <v>2341</v>
      </c>
      <c r="D1" s="242"/>
      <c r="E1" s="242"/>
      <c r="F1" s="242"/>
      <c r="G1" s="1366">
        <f>MATCH(B1,'数据-取费表'!A6:A16,0)+5</f>
        <v>7</v>
      </c>
      <c r="H1" s="1269" t="str">
        <f>IF(ISERROR(FIND("住宅",B1)),"非住宅","住宅")</f>
        <v>住宅</v>
      </c>
    </row>
    <row r="2" spans="1:8" s="244" customFormat="1" ht="18" customHeight="1">
      <c r="A2" s="245" t="s">
        <v>2240</v>
      </c>
      <c r="B2" s="246">
        <f ca="1">ROUND(IF(D2="——",C52/10000,C52/10000-E2),0)</f>
        <v>130283</v>
      </c>
      <c r="C2" s="243" t="s">
        <v>2241</v>
      </c>
      <c r="D2" s="2432" t="s">
        <v>70</v>
      </c>
      <c r="E2" s="1427" t="e">
        <f ca="1">SUMIF(INDIRECT("'"&amp;G2&amp;"'"&amp;"!A:A"),"承租人权益价值",INDIRECT("'"&amp;G2&amp;"'"&amp;"!c:c"))</f>
        <v>#REF!</v>
      </c>
      <c r="F2" s="2433" t="s">
        <v>2241</v>
      </c>
      <c r="G2" s="2434"/>
    </row>
    <row r="3" spans="1:8" s="244" customFormat="1" ht="18" customHeight="1" thickBot="1">
      <c r="A3" s="247" t="s">
        <v>2242</v>
      </c>
      <c r="B3" s="248">
        <f ca="1">ROUND(B2*10000/(IF(B1="",'数据-汇总表'!E3,INDIRECT("'数据-取费表'!k"&amp;$G$1))),0)</f>
        <v>14798160</v>
      </c>
      <c r="C3" s="243" t="s">
        <v>2243</v>
      </c>
      <c r="D3" s="243"/>
      <c r="E3" s="243"/>
      <c r="F3" s="243"/>
      <c r="G3" s="243"/>
    </row>
    <row r="4" spans="1:8" s="252" customFormat="1" ht="15.75">
      <c r="A4" s="249" t="s">
        <v>2244</v>
      </c>
      <c r="B4" s="250"/>
      <c r="C4" s="250"/>
      <c r="D4" s="250"/>
      <c r="E4" s="250"/>
      <c r="F4" s="250"/>
      <c r="G4" s="251"/>
    </row>
    <row r="5" spans="1:8" s="258" customFormat="1" ht="13.5" customHeight="1">
      <c r="A5" s="299" t="s">
        <v>2245</v>
      </c>
      <c r="B5" s="254" t="s">
        <v>2246</v>
      </c>
      <c r="C5" s="255">
        <f ca="1">C6+C7+C8</f>
        <v>836671121</v>
      </c>
      <c r="D5" s="255" t="s">
        <v>2247</v>
      </c>
      <c r="E5" s="256" t="s">
        <v>2248</v>
      </c>
      <c r="F5" s="256" t="s">
        <v>2249</v>
      </c>
      <c r="G5" s="257"/>
    </row>
    <row r="6" spans="1:8" s="258" customFormat="1" ht="13.5" customHeight="1">
      <c r="A6" s="950" t="s">
        <v>2250</v>
      </c>
      <c r="B6" s="259" t="s">
        <v>2251</v>
      </c>
      <c r="C6" s="260">
        <f ca="1">ROUND(基准地价修正!C29*基准地价修正!D29,0)</f>
        <v>811894260</v>
      </c>
      <c r="D6" s="261"/>
      <c r="E6" s="262"/>
      <c r="F6" s="262"/>
      <c r="G6" s="263"/>
    </row>
    <row r="7" spans="1:8" s="258" customFormat="1" ht="13.5" customHeight="1">
      <c r="A7" s="950" t="s">
        <v>2252</v>
      </c>
      <c r="B7" s="259" t="s">
        <v>2253</v>
      </c>
      <c r="C7" s="264">
        <f ca="1">ROUND(C6*F7,0)</f>
        <v>24762775</v>
      </c>
      <c r="D7" s="264"/>
      <c r="E7" s="262"/>
      <c r="F7" s="265">
        <f>'数据-取费表'!B48+'数据-取费表'!B49</f>
        <v>3.0499999999999999E-2</v>
      </c>
      <c r="G7" s="263"/>
    </row>
    <row r="8" spans="1:8" s="267" customFormat="1">
      <c r="A8" s="950" t="s">
        <v>2254</v>
      </c>
      <c r="B8" s="259" t="s">
        <v>2255</v>
      </c>
      <c r="C8" s="264">
        <f ca="1">IF(G8="已包含在土地购买价格中",0,C9+C10)</f>
        <v>14086</v>
      </c>
      <c r="D8" s="266"/>
      <c r="E8" s="264"/>
      <c r="F8" s="265"/>
      <c r="G8" s="2435" t="s">
        <v>3620</v>
      </c>
    </row>
    <row r="9" spans="1:8" s="258" customFormat="1" ht="13.5" customHeight="1">
      <c r="A9" s="951" t="s">
        <v>800</v>
      </c>
      <c r="B9" s="268" t="s">
        <v>2256</v>
      </c>
      <c r="C9" s="269">
        <f ca="1">ROUND(D9*E9,0)</f>
        <v>14086</v>
      </c>
      <c r="D9" s="1033">
        <f ca="1">IF(B1="",'数据-汇总表'!E5,IF(INDIRECT("'数据-取费表'!c"&amp;$G$1)="住宅",INDIRECT("'数据-取费表'!k"&amp;$G$1),0))</f>
        <v>88.04</v>
      </c>
      <c r="E9" s="269">
        <f>'数据-取费表'!B27</f>
        <v>160</v>
      </c>
      <c r="F9" s="265"/>
      <c r="G9" s="270"/>
    </row>
    <row r="10" spans="1:8" s="258" customFormat="1" ht="13.5" customHeight="1">
      <c r="A10" s="951" t="s">
        <v>801</v>
      </c>
      <c r="B10" s="268" t="s">
        <v>2258</v>
      </c>
      <c r="C10" s="269">
        <f ca="1">ROUND(D10*E10,0)</f>
        <v>0</v>
      </c>
      <c r="D10" s="1033">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2259</v>
      </c>
      <c r="C11" s="255"/>
      <c r="D11" s="1035"/>
      <c r="E11" s="262"/>
      <c r="F11" s="262"/>
      <c r="G11" s="263"/>
    </row>
    <row r="12" spans="1:8" s="258" customFormat="1" ht="13.5" hidden="1" customHeight="1">
      <c r="A12" s="271" t="s">
        <v>8</v>
      </c>
      <c r="B12" s="259" t="s">
        <v>2342</v>
      </c>
      <c r="C12" s="255">
        <v>0</v>
      </c>
      <c r="D12" s="1035"/>
      <c r="E12" s="272"/>
      <c r="F12" s="265">
        <v>3.0499999999999999E-2</v>
      </c>
      <c r="G12" s="263"/>
    </row>
    <row r="13" spans="1:8" s="258" customFormat="1" ht="13.5" hidden="1" customHeight="1">
      <c r="A13" s="271" t="s">
        <v>9</v>
      </c>
      <c r="B13" s="259" t="s">
        <v>2343</v>
      </c>
      <c r="C13" s="255"/>
      <c r="D13" s="1035"/>
      <c r="E13" s="262"/>
      <c r="F13" s="262"/>
      <c r="G13" s="263"/>
    </row>
    <row r="14" spans="1:8" s="258" customFormat="1" ht="13.5" hidden="1" customHeight="1">
      <c r="A14" s="271" t="s">
        <v>10</v>
      </c>
      <c r="B14" s="259" t="s">
        <v>2255</v>
      </c>
      <c r="C14" s="255"/>
      <c r="D14" s="1035"/>
      <c r="E14" s="262"/>
      <c r="F14" s="262"/>
      <c r="G14" s="263" t="s">
        <v>2344</v>
      </c>
    </row>
    <row r="15" spans="1:8" s="258" customFormat="1" ht="13.5" hidden="1" customHeight="1">
      <c r="A15" s="271" t="s">
        <v>11</v>
      </c>
      <c r="B15" s="259" t="s">
        <v>2345</v>
      </c>
      <c r="C15" s="264"/>
      <c r="D15" s="1035"/>
      <c r="E15" s="262"/>
      <c r="F15" s="262"/>
      <c r="G15" s="263" t="s">
        <v>2346</v>
      </c>
    </row>
    <row r="16" spans="1:8" s="258" customFormat="1" ht="13.5" hidden="1" customHeight="1">
      <c r="A16" s="271" t="s">
        <v>12</v>
      </c>
      <c r="B16" s="259" t="s">
        <v>2255</v>
      </c>
      <c r="C16" s="264"/>
      <c r="D16" s="1035"/>
      <c r="E16" s="262"/>
      <c r="F16" s="262"/>
      <c r="G16" s="263"/>
    </row>
    <row r="17" spans="1:7" s="258" customFormat="1" ht="13.5" hidden="1" customHeight="1">
      <c r="A17" s="271" t="s">
        <v>13</v>
      </c>
      <c r="B17" s="259" t="s">
        <v>2347</v>
      </c>
      <c r="C17" s="273"/>
      <c r="D17" s="1036"/>
      <c r="E17" s="273"/>
      <c r="F17" s="273"/>
      <c r="G17" s="263" t="s">
        <v>2346</v>
      </c>
    </row>
    <row r="18" spans="1:7" s="258" customFormat="1" ht="13.5" hidden="1" customHeight="1">
      <c r="A18" s="271" t="s">
        <v>14</v>
      </c>
      <c r="B18" s="259" t="s">
        <v>2348</v>
      </c>
      <c r="C18" s="264">
        <v>0</v>
      </c>
      <c r="D18" s="1035"/>
      <c r="E18" s="262"/>
      <c r="F18" s="265">
        <v>3.0499999999999999E-2</v>
      </c>
      <c r="G18" s="263" t="s">
        <v>2349</v>
      </c>
    </row>
    <row r="19" spans="1:7" s="267" customFormat="1" ht="13.5" customHeight="1">
      <c r="A19" s="299" t="s">
        <v>2350</v>
      </c>
      <c r="B19" s="254" t="s">
        <v>2351</v>
      </c>
      <c r="C19" s="255">
        <f ca="1">IF(G19="已包含在土地取得成本中","0",ROUND(D19*E19,0))</f>
        <v>17608</v>
      </c>
      <c r="D19" s="1037">
        <f ca="1">D9+D10</f>
        <v>88.04</v>
      </c>
      <c r="E19" s="255">
        <f>'数据-取费表'!B31</f>
        <v>200</v>
      </c>
      <c r="F19" s="275"/>
      <c r="G19" s="2435"/>
    </row>
    <row r="20" spans="1:7" s="258" customFormat="1" ht="13.5" customHeight="1">
      <c r="A20" s="299" t="s">
        <v>2352</v>
      </c>
      <c r="B20" s="254" t="s">
        <v>2353</v>
      </c>
      <c r="C20" s="276">
        <f ca="1">ROUND((C5+C19)*F20,0)</f>
        <v>25100662</v>
      </c>
      <c r="D20" s="276"/>
      <c r="E20" s="276"/>
      <c r="F20" s="277">
        <f>'数据-取费表'!B37</f>
        <v>0.03</v>
      </c>
      <c r="G20" s="278" t="s">
        <v>2354</v>
      </c>
    </row>
    <row r="21" spans="1:7" s="258" customFormat="1" ht="13.5" customHeight="1">
      <c r="A21" s="299" t="s">
        <v>2355</v>
      </c>
      <c r="B21" s="254" t="s">
        <v>2356</v>
      </c>
      <c r="C21" s="279">
        <f>F21</f>
        <v>0.03</v>
      </c>
      <c r="D21" s="280" t="s">
        <v>2357</v>
      </c>
      <c r="E21" s="276"/>
      <c r="F21" s="277">
        <f>'数据-取费表'!B38</f>
        <v>0.03</v>
      </c>
      <c r="G21" s="278" t="s">
        <v>2358</v>
      </c>
    </row>
    <row r="22" spans="1:7" s="258" customFormat="1" ht="13.5" customHeight="1">
      <c r="A22" s="299" t="s">
        <v>2359</v>
      </c>
      <c r="B22" s="254" t="s">
        <v>2360</v>
      </c>
      <c r="C22" s="1367">
        <f ca="1">ROUND(SUM(C23:C25),0)</f>
        <v>104423328</v>
      </c>
      <c r="D22" s="279">
        <f ca="1">C26</f>
        <v>1.8E-3</v>
      </c>
      <c r="E22" s="280" t="s">
        <v>2357</v>
      </c>
      <c r="F22" s="281">
        <f ca="1">'数据-取费表'!B40</f>
        <v>4.7500000000000001E-2</v>
      </c>
      <c r="G22" s="278" t="str">
        <f>IF('数据-取费表'!B22&lt;=1,"单利计息","复利计息")</f>
        <v>复利计息</v>
      </c>
    </row>
    <row r="23" spans="1:7" s="258" customFormat="1" ht="13.5" customHeight="1">
      <c r="A23" s="952" t="s">
        <v>2250</v>
      </c>
      <c r="B23" s="259" t="s">
        <v>2361</v>
      </c>
      <c r="C23" s="1368">
        <f ca="1">ROUND(IF('数据-取费表'!B22&lt;=1,C5*F22*'数据-取费表'!B22,C5*(POWER((1+F22),'数据-取费表'!B22)-1)),0)</f>
        <v>102922064</v>
      </c>
      <c r="D23" s="282"/>
      <c r="E23" s="282"/>
      <c r="F23" s="283"/>
      <c r="G23" s="284" t="s">
        <v>2362</v>
      </c>
    </row>
    <row r="24" spans="1:7" s="258" customFormat="1" ht="13.5" customHeight="1">
      <c r="A24" s="952" t="s">
        <v>2252</v>
      </c>
      <c r="B24" s="259" t="s">
        <v>2363</v>
      </c>
      <c r="C24" s="1368">
        <f ca="1">ROUND(IF('数据-取费表'!B22&lt;=1,C19*F22*('数据-取费表'!B19/2+'数据-取费表'!B20),C19*(POWER((1+F22),('数据-取费表'!B19/2+'数据-取费表'!B20))-1)),0)</f>
        <v>2166</v>
      </c>
      <c r="D24" s="282"/>
      <c r="E24" s="282"/>
      <c r="F24" s="283"/>
      <c r="G24" s="284" t="s">
        <v>2364</v>
      </c>
    </row>
    <row r="25" spans="1:7" s="258" customFormat="1" ht="24">
      <c r="A25" s="952" t="s">
        <v>2254</v>
      </c>
      <c r="B25" s="259" t="s">
        <v>2365</v>
      </c>
      <c r="C25" s="1368">
        <f ca="1">ROUND(IF('数据-取费表'!B22&lt;=1,C20*F22*'数据-取费表'!B22/2,C20*(POWER((1+F22),'数据-取费表'!B22/2)-1)),0)</f>
        <v>1499098</v>
      </c>
      <c r="D25" s="282"/>
      <c r="E25" s="285"/>
      <c r="F25" s="283"/>
      <c r="G25" s="286" t="s">
        <v>2366</v>
      </c>
    </row>
    <row r="26" spans="1:7" s="258" customFormat="1">
      <c r="A26" s="952" t="s">
        <v>795</v>
      </c>
      <c r="B26" s="259" t="s">
        <v>2289</v>
      </c>
      <c r="C26" s="282">
        <f ca="1">ROUND(IF('数据-取费表'!B22&lt;=1,F21*F22*'数据-取费表'!B22/2,F21*(POWER((1+F22),'数据-取费表'!B22/2)-1)),4)</f>
        <v>1.8E-3</v>
      </c>
      <c r="D26" s="282"/>
      <c r="E26" s="285"/>
      <c r="F26" s="283"/>
      <c r="G26" s="287"/>
    </row>
    <row r="27" spans="1:7" s="258" customFormat="1" ht="24.75">
      <c r="A27" s="299" t="s">
        <v>2290</v>
      </c>
      <c r="B27" s="288" t="s">
        <v>2291</v>
      </c>
      <c r="C27" s="289">
        <f ca="1">C28</f>
        <v>215447348</v>
      </c>
      <c r="D27" s="279">
        <f ca="1">C29</f>
        <v>7.4999999999999997E-3</v>
      </c>
      <c r="E27" s="280" t="s">
        <v>2292</v>
      </c>
      <c r="F27" s="290">
        <f ca="1">IF(B1="",'数据-取费表'!Q16,INDIRECT("'数据-取费表'!q"&amp;$G$1))</f>
        <v>0.25</v>
      </c>
      <c r="G27" s="291" t="s">
        <v>2293</v>
      </c>
    </row>
    <row r="28" spans="1:7" s="258" customFormat="1" ht="13.5" customHeight="1">
      <c r="A28" s="952" t="s">
        <v>791</v>
      </c>
      <c r="B28" s="292" t="s">
        <v>2294</v>
      </c>
      <c r="C28" s="293">
        <f ca="1">ROUND((C5+C19+C20)*F27,0)</f>
        <v>215447348</v>
      </c>
      <c r="D28" s="279"/>
      <c r="E28" s="280"/>
      <c r="F28" s="290"/>
      <c r="G28" s="291"/>
    </row>
    <row r="29" spans="1:7" s="258" customFormat="1" ht="13.5" customHeight="1">
      <c r="A29" s="952" t="s">
        <v>792</v>
      </c>
      <c r="B29" s="292" t="s">
        <v>2295</v>
      </c>
      <c r="C29" s="282">
        <f ca="1">ROUND(C21*F27,4)</f>
        <v>7.4999999999999997E-3</v>
      </c>
      <c r="D29" s="279"/>
      <c r="E29" s="280"/>
      <c r="F29" s="290"/>
      <c r="G29" s="291"/>
    </row>
    <row r="30" spans="1:7" s="258" customFormat="1" ht="13.5" customHeight="1">
      <c r="A30" s="299" t="s">
        <v>2296</v>
      </c>
      <c r="B30" s="254" t="s">
        <v>2297</v>
      </c>
      <c r="C30" s="279">
        <f>ROUND(F30/(1+'数据-取费表'!C42),4)</f>
        <v>5.33E-2</v>
      </c>
      <c r="D30" s="280" t="s">
        <v>2292</v>
      </c>
      <c r="E30" s="285"/>
      <c r="F30" s="281">
        <f>'数据-取费表'!B41</f>
        <v>5.6000000000000001E-2</v>
      </c>
      <c r="G30" s="278" t="s">
        <v>2298</v>
      </c>
    </row>
    <row r="31" spans="1:7" ht="16.5" customHeight="1">
      <c r="A31" s="253">
        <v>1</v>
      </c>
      <c r="B31" s="254" t="s">
        <v>2299</v>
      </c>
      <c r="C31" s="255">
        <f ca="1">ROUND((C5+C19+C20+C22+C27)/(1-C21-D22-D27-C30),0)</f>
        <v>1302248255</v>
      </c>
      <c r="D31" s="274"/>
      <c r="E31" s="255"/>
      <c r="F31" s="294"/>
      <c r="G31" s="278" t="s">
        <v>2300</v>
      </c>
    </row>
    <row r="32" spans="1:7" s="252" customFormat="1" ht="15.75">
      <c r="A32" s="296" t="s">
        <v>2367</v>
      </c>
      <c r="B32" s="297"/>
      <c r="C32" s="297"/>
      <c r="D32" s="297"/>
      <c r="E32" s="297"/>
      <c r="F32" s="297"/>
      <c r="G32" s="298"/>
    </row>
    <row r="33" spans="1:7" s="258" customFormat="1" ht="13.5" customHeight="1">
      <c r="A33" s="299" t="s">
        <v>782</v>
      </c>
      <c r="B33" s="254" t="s">
        <v>2368</v>
      </c>
      <c r="C33" s="300">
        <f ca="1">SUM(C34:C38)</f>
        <v>448388</v>
      </c>
      <c r="D33" s="276"/>
      <c r="E33" s="256"/>
      <c r="F33" s="285"/>
      <c r="G33" s="278"/>
    </row>
    <row r="34" spans="1:7" s="302" customFormat="1" ht="13.5" customHeight="1">
      <c r="A34" s="952" t="s">
        <v>791</v>
      </c>
      <c r="B34" s="259" t="s">
        <v>2303</v>
      </c>
      <c r="C34" s="264">
        <f ca="1">ROUND(IF(B1="",SUMPRODUCT('数据-取费表'!K6:K14,'数据-取费表'!L6:L14),INDIRECT("'数据-取费表'!l"&amp;$G$1)*INDIRECT("'数据-取费表'!k"&amp;$G$1)+'数据-取费表'!L14*INDIRECT("'数据-取费表'!S"&amp;$G$1)),0)</f>
        <v>369768</v>
      </c>
      <c r="D34" s="261"/>
      <c r="E34" s="264"/>
      <c r="F34" s="301"/>
      <c r="G34" s="263"/>
    </row>
    <row r="35" spans="1:7" ht="13.5" customHeight="1">
      <c r="A35" s="952" t="s">
        <v>796</v>
      </c>
      <c r="B35" s="259" t="s">
        <v>2305</v>
      </c>
      <c r="C35" s="264">
        <f ca="1">ROUND(C34*F35,0)</f>
        <v>18488</v>
      </c>
      <c r="D35" s="264"/>
      <c r="E35" s="264"/>
      <c r="F35" s="303">
        <f>'数据-取费表'!B33</f>
        <v>0.05</v>
      </c>
      <c r="G35" s="263" t="s">
        <v>2306</v>
      </c>
    </row>
    <row r="36" spans="1:7" ht="24">
      <c r="A36" s="952" t="s">
        <v>797</v>
      </c>
      <c r="B36" s="259" t="s">
        <v>2307</v>
      </c>
      <c r="C36" s="264">
        <f ca="1">ROUND(IF(B1="",SUM('数据-取费表'!AP6:AP13)*F36,IF(INDIRECT("'数据-取费表'!c"&amp;$G$1)="住宅",INDIRECT("'数据-取费表'!k"&amp;$G$1)*INDIRECT("'数据-取费表'!l"&amp;$G$1)*F36,0)),0)</f>
        <v>36977</v>
      </c>
      <c r="D36" s="264"/>
      <c r="E36" s="264"/>
      <c r="F36" s="303">
        <f>'数据-取费表'!B34</f>
        <v>0.1</v>
      </c>
      <c r="G36" s="304" t="s">
        <v>2308</v>
      </c>
    </row>
    <row r="37" spans="1:7" s="302" customFormat="1" ht="13.5" customHeight="1">
      <c r="A37" s="952" t="s">
        <v>798</v>
      </c>
      <c r="B37" s="259" t="s">
        <v>2309</v>
      </c>
      <c r="C37" s="293">
        <f ca="1">ROUND(E37*D37,0)</f>
        <v>17608</v>
      </c>
      <c r="D37" s="261">
        <f ca="1">D19</f>
        <v>88.04</v>
      </c>
      <c r="E37" s="293">
        <f>'数据-取费表'!B35</f>
        <v>200</v>
      </c>
      <c r="F37" s="303"/>
      <c r="G37" s="305"/>
    </row>
    <row r="38" spans="1:7" ht="13.5" customHeight="1">
      <c r="A38" s="952" t="s">
        <v>799</v>
      </c>
      <c r="B38" s="259" t="s">
        <v>2311</v>
      </c>
      <c r="C38" s="264">
        <f ca="1">ROUND(C34*F38,0)</f>
        <v>5547</v>
      </c>
      <c r="D38" s="264"/>
      <c r="E38" s="264"/>
      <c r="F38" s="303">
        <f>'数据-取费表'!B36</f>
        <v>1.4999999999999999E-2</v>
      </c>
      <c r="G38" s="263" t="s">
        <v>2306</v>
      </c>
    </row>
    <row r="39" spans="1:7" s="258" customFormat="1" ht="13.5" customHeight="1">
      <c r="A39" s="299" t="s">
        <v>2312</v>
      </c>
      <c r="B39" s="254" t="s">
        <v>2313</v>
      </c>
      <c r="C39" s="276">
        <f ca="1">ROUND(C33*F20,0)</f>
        <v>13452</v>
      </c>
      <c r="D39" s="276"/>
      <c r="E39" s="276"/>
      <c r="F39" s="277"/>
      <c r="G39" s="278" t="s">
        <v>2314</v>
      </c>
    </row>
    <row r="40" spans="1:7" s="258" customFormat="1" ht="13.5" customHeight="1">
      <c r="A40" s="299" t="s">
        <v>2315</v>
      </c>
      <c r="B40" s="254" t="s">
        <v>2316</v>
      </c>
      <c r="C40" s="1714">
        <f>F21</f>
        <v>0.03</v>
      </c>
      <c r="D40" s="280" t="s">
        <v>2317</v>
      </c>
      <c r="E40" s="276"/>
      <c r="F40" s="277"/>
      <c r="G40" s="278" t="s">
        <v>2318</v>
      </c>
    </row>
    <row r="41" spans="1:7" s="258" customFormat="1" ht="13.5" customHeight="1">
      <c r="A41" s="299" t="s">
        <v>2319</v>
      </c>
      <c r="B41" s="254" t="s">
        <v>2320</v>
      </c>
      <c r="C41" s="276">
        <f ca="1">ROUND(SUM(C42:C43),0)</f>
        <v>27582</v>
      </c>
      <c r="D41" s="279">
        <f ca="1">C44</f>
        <v>1.8E-3</v>
      </c>
      <c r="E41" s="280" t="s">
        <v>2317</v>
      </c>
      <c r="F41" s="281"/>
      <c r="G41" s="278" t="str">
        <f>IF('数据-取费表'!B22&lt;=1,"单利计息","复利计息")</f>
        <v>复利计息</v>
      </c>
    </row>
    <row r="42" spans="1:7" ht="13.5" customHeight="1">
      <c r="A42" s="952" t="s">
        <v>791</v>
      </c>
      <c r="B42" s="259" t="s">
        <v>2321</v>
      </c>
      <c r="C42" s="282">
        <f ca="1">ROUND(IF('数据-取费表'!B22&lt;=1,C33*F22*'数据-取费表'!B20/2,C33*(POWER((1+F22),'数据-取费表'!B20/2)-1)),0)</f>
        <v>26779</v>
      </c>
      <c r="D42" s="282"/>
      <c r="E42" s="282"/>
      <c r="F42" s="283"/>
      <c r="G42" s="3239" t="s">
        <v>2369</v>
      </c>
    </row>
    <row r="43" spans="1:7" ht="13.5" customHeight="1">
      <c r="A43" s="952" t="s">
        <v>792</v>
      </c>
      <c r="B43" s="259" t="s">
        <v>2323</v>
      </c>
      <c r="C43" s="282">
        <f ca="1">ROUND(IF('数据-取费表'!B22&lt;=1,C39*F22*'数据-取费表'!B20/2,C39*(POWER((1+F22),'数据-取费表'!B20/2)-1)),0)</f>
        <v>803</v>
      </c>
      <c r="D43" s="282"/>
      <c r="E43" s="282"/>
      <c r="F43" s="283"/>
      <c r="G43" s="3240"/>
    </row>
    <row r="44" spans="1:7" ht="13.5" customHeight="1">
      <c r="A44" s="952" t="s">
        <v>793</v>
      </c>
      <c r="B44" s="259" t="s">
        <v>2324</v>
      </c>
      <c r="C44" s="282">
        <f ca="1">ROUND(IF('数据-取费表'!B22&lt;=1,C40*F22*'数据-取费表'!B20/2,C40*(POWER((1+F22),'数据-取费表'!B20/2)-1)),4)</f>
        <v>1.8E-3</v>
      </c>
      <c r="D44" s="282"/>
      <c r="E44" s="282"/>
      <c r="F44" s="283"/>
      <c r="G44" s="3241"/>
    </row>
    <row r="45" spans="1:7" s="258" customFormat="1" ht="13.5" customHeight="1">
      <c r="A45" s="299" t="s">
        <v>2325</v>
      </c>
      <c r="B45" s="288" t="s">
        <v>2291</v>
      </c>
      <c r="C45" s="289">
        <f ca="1">C46</f>
        <v>115460</v>
      </c>
      <c r="D45" s="279">
        <f ca="1">C47</f>
        <v>7.4999999999999997E-3</v>
      </c>
      <c r="E45" s="280" t="s">
        <v>2317</v>
      </c>
      <c r="F45" s="290"/>
      <c r="G45" s="291" t="s">
        <v>2326</v>
      </c>
    </row>
    <row r="46" spans="1:7" s="258" customFormat="1" ht="13.5" customHeight="1">
      <c r="A46" s="952" t="s">
        <v>791</v>
      </c>
      <c r="B46" s="292" t="s">
        <v>2327</v>
      </c>
      <c r="C46" s="293">
        <f ca="1">ROUND((C33+C39)*F27,0)</f>
        <v>115460</v>
      </c>
      <c r="D46" s="307"/>
      <c r="E46" s="280"/>
      <c r="F46" s="290"/>
      <c r="G46" s="291"/>
    </row>
    <row r="47" spans="1:7" s="258" customFormat="1" ht="13.5" customHeight="1">
      <c r="A47" s="952" t="s">
        <v>792</v>
      </c>
      <c r="B47" s="292" t="s">
        <v>2328</v>
      </c>
      <c r="C47" s="282">
        <f ca="1">ROUND(C40*F27,4)</f>
        <v>7.4999999999999997E-3</v>
      </c>
      <c r="D47" s="307"/>
      <c r="E47" s="280"/>
      <c r="F47" s="290"/>
      <c r="G47" s="291"/>
    </row>
    <row r="48" spans="1:7" s="258" customFormat="1" ht="13.5" customHeight="1">
      <c r="A48" s="299" t="s">
        <v>2290</v>
      </c>
      <c r="B48" s="254" t="s">
        <v>2329</v>
      </c>
      <c r="C48" s="306">
        <f>ROUND(F30/(1+'数据-取费表'!C42),4)</f>
        <v>5.33E-2</v>
      </c>
      <c r="D48" s="280" t="s">
        <v>2317</v>
      </c>
      <c r="E48" s="276"/>
      <c r="F48" s="281"/>
      <c r="G48" s="278" t="s">
        <v>2330</v>
      </c>
    </row>
    <row r="49" spans="1:7" ht="16.5" customHeight="1">
      <c r="A49" s="299" t="s">
        <v>2296</v>
      </c>
      <c r="B49" s="254" t="s">
        <v>2370</v>
      </c>
      <c r="C49" s="276">
        <f ca="1">ROUND((C33+C39+C41+C45)/(1-C40-D41-D45-C48),0)</f>
        <v>666610</v>
      </c>
      <c r="D49" s="276"/>
      <c r="E49" s="276"/>
      <c r="F49" s="308"/>
      <c r="G49" s="278" t="s">
        <v>2332</v>
      </c>
    </row>
    <row r="50" spans="1:7" s="302" customFormat="1">
      <c r="A50" s="299" t="s">
        <v>2333</v>
      </c>
      <c r="B50" s="254" t="s">
        <v>2334</v>
      </c>
      <c r="C50" s="276"/>
      <c r="D50" s="276"/>
      <c r="E50" s="276"/>
      <c r="F50" s="308">
        <f>IF('数据-取费表'!B24=0,'数据-取费表'!N16,1)</f>
        <v>0.88</v>
      </c>
      <c r="G50" s="291"/>
    </row>
    <row r="51" spans="1:7" ht="16.5" customHeight="1">
      <c r="A51" s="299" t="s">
        <v>2336</v>
      </c>
      <c r="B51" s="254" t="s">
        <v>2371</v>
      </c>
      <c r="C51" s="276">
        <f ca="1">ROUND(C49*F50,0)</f>
        <v>586617</v>
      </c>
      <c r="D51" s="276"/>
      <c r="E51" s="276"/>
      <c r="F51" s="308"/>
      <c r="G51" s="278" t="s">
        <v>2338</v>
      </c>
    </row>
    <row r="52" spans="1:7" s="252" customFormat="1" ht="16.5" thickBot="1">
      <c r="A52" s="309" t="s">
        <v>2339</v>
      </c>
      <c r="B52" s="310"/>
      <c r="C52" s="311">
        <f ca="1">C31+C51</f>
        <v>1302834872</v>
      </c>
      <c r="D52" s="310"/>
      <c r="E52" s="310"/>
      <c r="F52" s="310"/>
      <c r="G52" s="312"/>
    </row>
    <row r="55" spans="1:7" ht="15">
      <c r="B55" s="314" t="s">
        <v>2340</v>
      </c>
      <c r="C55" s="315"/>
    </row>
    <row r="56" spans="1:7">
      <c r="B56" s="317" t="s">
        <v>1513</v>
      </c>
      <c r="C56" s="319">
        <f ca="1">1-C57</f>
        <v>1</v>
      </c>
    </row>
    <row r="57" spans="1:7">
      <c r="B57" s="317" t="s">
        <v>1514</v>
      </c>
      <c r="C57" s="318">
        <f ca="1">ROUND(C51/C52,3)</f>
        <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2372</v>
      </c>
      <c r="B1" s="1567"/>
      <c r="C1" s="1568"/>
      <c r="D1" s="1566"/>
      <c r="E1" s="320"/>
      <c r="F1" s="320"/>
      <c r="G1" s="1567"/>
      <c r="H1" s="320"/>
      <c r="I1" s="320"/>
      <c r="J1" s="320"/>
      <c r="K1" s="320">
        <f>MATCH(C1,'数据-取费表'!A6:A16,0)+5</f>
        <v>9</v>
      </c>
    </row>
    <row r="2" spans="1:33" ht="18" customHeight="1">
      <c r="A2" s="245" t="s">
        <v>2240</v>
      </c>
      <c r="B2" s="248">
        <f ca="1">C32</f>
        <v>-674</v>
      </c>
      <c r="C2" s="320" t="s">
        <v>2373</v>
      </c>
      <c r="D2" s="320"/>
      <c r="E2" s="320"/>
      <c r="F2" s="320"/>
      <c r="G2" s="320"/>
      <c r="H2" s="320"/>
      <c r="I2" s="320"/>
      <c r="J2" s="320"/>
      <c r="K2" s="320"/>
    </row>
    <row r="3" spans="1:33" ht="18" customHeight="1" thickBot="1">
      <c r="A3" s="247" t="s">
        <v>2242</v>
      </c>
      <c r="B3" s="248">
        <f ca="1">ROUND(B2*10000/IF(C1="",'数据-汇总表'!E3,INDIRECT("'数据-取费表'!K"&amp;$K$1)),0)</f>
        <v>-250</v>
      </c>
      <c r="C3" s="320" t="s">
        <v>2374</v>
      </c>
      <c r="D3" s="320"/>
      <c r="E3" s="320"/>
      <c r="F3" s="320"/>
      <c r="G3" s="320"/>
      <c r="H3" s="320"/>
      <c r="I3" s="320"/>
      <c r="J3" s="320"/>
      <c r="K3" s="320"/>
    </row>
    <row r="4" spans="1:33" s="957" customFormat="1" ht="16.5" customHeight="1">
      <c r="A4" s="954" t="s">
        <v>2375</v>
      </c>
      <c r="B4" s="955"/>
      <c r="C4" s="997">
        <f>SUM(C8:K8)</f>
        <v>0</v>
      </c>
      <c r="D4" s="955"/>
      <c r="E4" s="955"/>
      <c r="F4" s="955"/>
      <c r="G4" s="955"/>
      <c r="H4" s="955"/>
      <c r="I4" s="955"/>
      <c r="J4" s="955"/>
      <c r="K4" s="956"/>
    </row>
    <row r="5" spans="1:33" s="961" customFormat="1" ht="24.75">
      <c r="A5" s="958" t="s">
        <v>2376</v>
      </c>
      <c r="B5" s="959" t="s">
        <v>2377</v>
      </c>
      <c r="C5" s="2439" t="s">
        <v>2378</v>
      </c>
      <c r="D5" s="2439" t="s">
        <v>2379</v>
      </c>
      <c r="E5" s="2439" t="s">
        <v>2380</v>
      </c>
      <c r="F5" s="2439"/>
      <c r="G5" s="2439"/>
      <c r="H5" s="2439"/>
      <c r="I5" s="2439"/>
      <c r="J5" s="2439"/>
      <c r="K5" s="243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2381</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2382</v>
      </c>
      <c r="B7" s="140" t="s">
        <v>2383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440" t="s">
        <v>2384</v>
      </c>
      <c r="B8" s="177" t="s">
        <v>2385</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2386</v>
      </c>
      <c r="B9" s="955"/>
      <c r="C9" s="955"/>
      <c r="D9" s="955"/>
      <c r="E9" s="955"/>
      <c r="F9" s="955"/>
      <c r="G9" s="955"/>
      <c r="H9" s="955"/>
      <c r="I9" s="955"/>
      <c r="J9" s="955"/>
      <c r="K9" s="956"/>
    </row>
    <row r="10" spans="1:33" s="971" customFormat="1" ht="13.5" customHeight="1">
      <c r="A10" s="958" t="s">
        <v>2387</v>
      </c>
      <c r="B10" s="8" t="s">
        <v>2388</v>
      </c>
      <c r="C10" s="967" t="s">
        <v>2389</v>
      </c>
      <c r="D10" s="968" t="s">
        <v>2390</v>
      </c>
      <c r="E10" s="968" t="s">
        <v>2391</v>
      </c>
      <c r="F10" s="968" t="s">
        <v>2392</v>
      </c>
      <c r="G10" s="8"/>
      <c r="H10" s="969"/>
      <c r="I10" s="969"/>
      <c r="J10" s="969"/>
      <c r="K10" s="970"/>
    </row>
    <row r="11" spans="1:33" s="976" customFormat="1" ht="13.5" customHeight="1">
      <c r="A11" s="972" t="s">
        <v>1334</v>
      </c>
      <c r="B11" s="973" t="s">
        <v>2393</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2394</v>
      </c>
      <c r="C12" s="24">
        <f ca="1">ROUND(C11*F12,0)</f>
        <v>0</v>
      </c>
      <c r="D12" s="974"/>
      <c r="E12" s="375"/>
      <c r="F12" s="977">
        <f>'数据-取费表'!B33</f>
        <v>0.05</v>
      </c>
      <c r="G12" s="8" t="s">
        <v>2395</v>
      </c>
      <c r="H12" s="969"/>
      <c r="I12" s="969"/>
      <c r="J12" s="969"/>
      <c r="K12" s="970"/>
    </row>
    <row r="13" spans="1:33" s="976" customFormat="1" ht="13.5" customHeight="1">
      <c r="A13" s="972" t="s">
        <v>1336</v>
      </c>
      <c r="B13" s="973" t="s">
        <v>2396</v>
      </c>
      <c r="C13" s="24">
        <f ca="1">ROUND(IF(C1="",SUMIF('数据-取费表'!C:C,"住宅",'数据-取费表'!P:P)*F13,IF(INDIRECT("'数据-取费表'!c"&amp;$K$1)="住宅",INDIRECT("'数据-取费表'!P"&amp;$K$1)*F13,0)),0)</f>
        <v>0</v>
      </c>
      <c r="D13" s="1034"/>
      <c r="E13" s="375"/>
      <c r="F13" s="977">
        <f>'数据-取费表'!B34</f>
        <v>0.1</v>
      </c>
      <c r="G13" s="8" t="s">
        <v>2397</v>
      </c>
      <c r="H13" s="969"/>
      <c r="I13" s="969"/>
      <c r="J13" s="969"/>
      <c r="K13" s="970"/>
    </row>
    <row r="14" spans="1:33" s="978" customFormat="1" ht="13.5" customHeight="1">
      <c r="A14" s="972" t="s">
        <v>1337</v>
      </c>
      <c r="B14" s="973" t="s">
        <v>2398</v>
      </c>
      <c r="C14" s="24">
        <f ca="1">ROUND(D14*E14*F11/10000,0)</f>
        <v>0</v>
      </c>
      <c r="D14" s="1034">
        <f ca="1">IF(C1="",'数据-汇总表'!E3,INDIRECT("'数据-取费表'!K"&amp;$K$1)+INDIRECT("'数据-取费表'!S"&amp;$K$1))</f>
        <v>26965.789999999986</v>
      </c>
      <c r="E14" s="24">
        <f>'数据-取费表'!B35</f>
        <v>200</v>
      </c>
      <c r="F14" s="977"/>
      <c r="G14" s="8" t="s">
        <v>2399</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2400</v>
      </c>
      <c r="C15" s="984">
        <f ca="1">ROUND(C11*F15,0)</f>
        <v>0</v>
      </c>
      <c r="D15" s="979"/>
      <c r="E15" s="984"/>
      <c r="F15" s="985">
        <f>'数据-取费表'!B36</f>
        <v>1.4999999999999999E-2</v>
      </c>
      <c r="G15" s="140" t="s">
        <v>2401</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2402</v>
      </c>
      <c r="C16" s="984">
        <f ca="1">SUM(C11:C15)</f>
        <v>0</v>
      </c>
      <c r="D16" s="979"/>
      <c r="E16" s="984"/>
      <c r="F16" s="985"/>
      <c r="G16" s="140"/>
      <c r="H16" s="1564"/>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2403</v>
      </c>
      <c r="C17" s="24">
        <f ca="1">ROUND(D17*E17/10000,0)</f>
        <v>0</v>
      </c>
      <c r="D17" s="1034">
        <f ca="1">D14</f>
        <v>26965.789999999986</v>
      </c>
      <c r="E17" s="24">
        <f>'数据-取费表'!B32</f>
        <v>0</v>
      </c>
      <c r="F17" s="979"/>
      <c r="G17" s="140" t="s">
        <v>2404</v>
      </c>
      <c r="H17" s="1564"/>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2405</v>
      </c>
      <c r="C18" s="24">
        <f ca="1">C19+C20-IF(C1="",'数据-取费表'!B29,IF(G18="已全部缴纳",C19+C20,H18))</f>
        <v>539</v>
      </c>
      <c r="D18" s="1034"/>
      <c r="E18" s="24"/>
      <c r="F18" s="977"/>
      <c r="G18" s="2441"/>
      <c r="H18" s="1563"/>
      <c r="I18" s="2442" t="s">
        <v>2406</v>
      </c>
      <c r="J18" s="980"/>
      <c r="K18" s="981"/>
    </row>
    <row r="19" spans="1:33" s="976" customFormat="1" ht="13.5" customHeight="1">
      <c r="A19" s="972" t="s">
        <v>805</v>
      </c>
      <c r="B19" s="973" t="s">
        <v>2407</v>
      </c>
      <c r="C19" s="24">
        <f ca="1">ROUND(D19*E19/10000,0)</f>
        <v>0</v>
      </c>
      <c r="D19" s="1034">
        <f ca="1">IF(C1="",'数据-汇总表'!E5,IF(INDIRECT("'数据-取费表'!c"&amp;$K$1)="住宅",INDIRECT("'数据-取费表'!k"&amp;$K$1),0))</f>
        <v>0</v>
      </c>
      <c r="E19" s="24">
        <f>'数据-取费表'!B27</f>
        <v>160</v>
      </c>
      <c r="F19" s="977"/>
      <c r="G19" s="15"/>
      <c r="H19" s="1565"/>
      <c r="I19" s="982"/>
      <c r="J19" s="982"/>
      <c r="K19" s="983"/>
    </row>
    <row r="20" spans="1:33" s="976" customFormat="1" ht="13.5" customHeight="1">
      <c r="A20" s="972" t="s">
        <v>806</v>
      </c>
      <c r="B20" s="973" t="s">
        <v>2408</v>
      </c>
      <c r="C20" s="24">
        <f ca="1">ROUND(D20*E20/10000,0)</f>
        <v>539</v>
      </c>
      <c r="D20" s="1034">
        <f ca="1">IF(C1="",'数据-汇总表'!E6,IF(INDIRECT("'数据-取费表'!c"&amp;$K$1)="住宅",INDIRECT("'数据-取费表'!s"&amp;$K$1),INDIRECT("'数据-取费表'!k"&amp;$K$1)+INDIRECT("'数据-取费表'!s"&amp;$K$1)))</f>
        <v>26965.789999999986</v>
      </c>
      <c r="E20" s="24">
        <f>'数据-取费表'!B28</f>
        <v>200</v>
      </c>
      <c r="F20" s="977"/>
      <c r="G20" s="15"/>
      <c r="H20" s="982"/>
      <c r="I20" s="982"/>
      <c r="J20" s="982"/>
      <c r="K20" s="983"/>
    </row>
    <row r="21" spans="1:33" s="976" customFormat="1" ht="13.5" customHeight="1">
      <c r="A21" s="962" t="s">
        <v>802</v>
      </c>
      <c r="B21" s="986" t="s">
        <v>2409</v>
      </c>
      <c r="C21" s="987">
        <f ca="1">C16+C17+C18</f>
        <v>539</v>
      </c>
      <c r="D21" s="988"/>
      <c r="E21" s="325"/>
      <c r="F21" s="325"/>
      <c r="G21" s="140" t="s">
        <v>2410</v>
      </c>
      <c r="H21" s="980"/>
      <c r="I21" s="980"/>
      <c r="J21" s="980"/>
      <c r="K21" s="981"/>
    </row>
    <row r="22" spans="1:33" s="976" customFormat="1" ht="13.5" customHeight="1">
      <c r="A22" s="962" t="s">
        <v>2382</v>
      </c>
      <c r="B22" s="986" t="s">
        <v>2411</v>
      </c>
      <c r="C22" s="987">
        <f ca="1">ROUND(C21*F22,0)</f>
        <v>16</v>
      </c>
      <c r="D22" s="325"/>
      <c r="E22" s="325"/>
      <c r="F22" s="989">
        <f>'数据-取费表'!B37</f>
        <v>0.03</v>
      </c>
      <c r="G22" s="8" t="s">
        <v>2412</v>
      </c>
      <c r="H22" s="969"/>
      <c r="I22" s="969"/>
      <c r="J22" s="969"/>
      <c r="K22" s="970"/>
    </row>
    <row r="23" spans="1:33" s="976" customFormat="1" ht="13.5" customHeight="1">
      <c r="A23" s="962" t="s">
        <v>2384</v>
      </c>
      <c r="B23" s="986" t="s">
        <v>2413</v>
      </c>
      <c r="C23" s="987">
        <f ca="1">ROUND(C4*F23*F11,0)</f>
        <v>0</v>
      </c>
      <c r="D23" s="325"/>
      <c r="E23" s="325"/>
      <c r="F23" s="989">
        <f>'数据-取费表'!B38</f>
        <v>0.03</v>
      </c>
      <c r="G23" s="8" t="s">
        <v>2414</v>
      </c>
      <c r="H23" s="969"/>
      <c r="I23" s="969"/>
      <c r="J23" s="969"/>
      <c r="K23" s="970"/>
    </row>
    <row r="24" spans="1:33" s="976" customFormat="1" ht="13.5" customHeight="1">
      <c r="A24" s="962" t="s">
        <v>2415</v>
      </c>
      <c r="B24" s="986" t="s">
        <v>2416</v>
      </c>
      <c r="C24" s="324">
        <f>ROUND(F24/(1+'数据-取费表'!C42),4)</f>
        <v>2.9000000000000001E-2</v>
      </c>
      <c r="D24" s="325" t="s">
        <v>15</v>
      </c>
      <c r="E24" s="325"/>
      <c r="F24" s="989">
        <f>'数据-取费表'!B48+'数据-取费表'!B49</f>
        <v>3.0499999999999999E-2</v>
      </c>
      <c r="G24" s="8" t="s">
        <v>2417</v>
      </c>
      <c r="H24" s="991"/>
      <c r="I24" s="991"/>
      <c r="J24" s="991"/>
      <c r="K24" s="992"/>
    </row>
    <row r="25" spans="1:33" s="976" customFormat="1" ht="13.5" customHeight="1">
      <c r="A25" s="962" t="s">
        <v>2418</v>
      </c>
      <c r="B25" s="988" t="s">
        <v>2419</v>
      </c>
      <c r="C25" s="134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2420</v>
      </c>
      <c r="C26" s="1344">
        <f ca="1">ROUND(IF('数据-取费表'!B22&lt;=1,(1+C24)*F25*'数据-取费表'!B24,(1+C24)*(POWER((1+F25),'数据-取费表'!B24)-1)),4)</f>
        <v>0</v>
      </c>
      <c r="D26" s="328"/>
      <c r="E26" s="329"/>
      <c r="F26" s="330"/>
      <c r="G26" s="244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2421</v>
      </c>
      <c r="C27" s="1345">
        <f ca="1">ROUND(IF('数据-取费表'!B22&lt;=1,(C21+C22+C23)*F25*'数据-取费表'!B24/2,(C21+C22+C23)*(POWER((1+F25),'数据-取费表'!B24/2)-1)),0)</f>
        <v>0</v>
      </c>
      <c r="D27" s="328"/>
      <c r="E27" s="329"/>
      <c r="F27" s="330"/>
      <c r="G27" s="2443" t="str">
        <f>IF('数据-取费表'!B22&lt;=1,"（1）-（3）项×年利率×建设期÷2","（1）-（3）项×((1+年利率)^(建设期÷2)-1)")</f>
        <v>（1）-（3）项×((1+年利率)^(建设期÷2)-1)</v>
      </c>
      <c r="H27" s="980"/>
      <c r="I27" s="980"/>
      <c r="J27" s="980"/>
      <c r="K27" s="981"/>
    </row>
    <row r="28" spans="1:33" s="333" customFormat="1" ht="13.5" customHeight="1">
      <c r="A28" s="962" t="s">
        <v>2422</v>
      </c>
      <c r="B28" s="2444" t="s">
        <v>2423</v>
      </c>
      <c r="C28" s="331">
        <f ca="1">C30</f>
        <v>139</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2424</v>
      </c>
      <c r="C29" s="328">
        <f ca="1">ROUND((1+C24)*F28*'数据-取费表'!B24/'数据-取费表'!B20,4)</f>
        <v>0</v>
      </c>
      <c r="D29" s="328"/>
      <c r="E29" s="329"/>
      <c r="F29" s="334"/>
      <c r="G29" s="140" t="s">
        <v>2425</v>
      </c>
      <c r="H29" s="980"/>
      <c r="I29" s="980"/>
      <c r="J29" s="980"/>
      <c r="K29" s="981"/>
    </row>
    <row r="30" spans="1:33" s="335" customFormat="1" ht="13.5" customHeight="1">
      <c r="A30" s="972" t="s">
        <v>804</v>
      </c>
      <c r="B30" s="995" t="s">
        <v>2426</v>
      </c>
      <c r="C30" s="336">
        <f ca="1">ROUND((C21+C22+C23)*F28,0)</f>
        <v>139</v>
      </c>
      <c r="D30" s="328"/>
      <c r="E30" s="329"/>
      <c r="F30" s="334"/>
      <c r="G30" s="140"/>
      <c r="H30" s="980"/>
      <c r="I30" s="980"/>
      <c r="J30" s="980"/>
      <c r="K30" s="981"/>
    </row>
    <row r="31" spans="1:33" s="976" customFormat="1" ht="13.5" customHeight="1" thickBot="1">
      <c r="A31" s="2445" t="s">
        <v>2427</v>
      </c>
      <c r="B31" s="1006" t="s">
        <v>2428</v>
      </c>
      <c r="C31" s="1007">
        <f>ROUND(C4*F31/(1+'数据-取费表'!C42),0)</f>
        <v>0</v>
      </c>
      <c r="D31" s="1008"/>
      <c r="E31" s="1009"/>
      <c r="F31" s="1010">
        <f>'数据-取费表'!B41</f>
        <v>5.6000000000000001E-2</v>
      </c>
      <c r="G31" s="1011" t="s">
        <v>2429</v>
      </c>
      <c r="H31" s="1012"/>
      <c r="I31" s="1012"/>
      <c r="J31" s="1012"/>
      <c r="K31" s="1013"/>
    </row>
    <row r="32" spans="1:33" s="971" customFormat="1" ht="13.5" customHeight="1" thickBot="1">
      <c r="A32" s="1001" t="s">
        <v>2430</v>
      </c>
      <c r="B32" s="1002"/>
      <c r="C32" s="1003">
        <f ca="1">ROUND((C4-C21-C22-C23-C25-C28-C31)/(1+C24+D25+D28),0)</f>
        <v>-674</v>
      </c>
      <c r="D32" s="1002"/>
      <c r="E32" s="1002"/>
      <c r="F32" s="1002"/>
      <c r="G32" s="1004" t="s">
        <v>2431</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H130" sqref="H130"/>
    </sheetView>
  </sheetViews>
  <sheetFormatPr defaultColWidth="12" defaultRowHeight="12.75"/>
  <cols>
    <col min="1" max="1" width="9.75" style="2679" customWidth="1"/>
    <col min="2" max="2" width="19.25" style="2785" customWidth="1"/>
    <col min="3" max="4" width="12" style="2603"/>
    <col min="5" max="5" width="14.625" style="2603" customWidth="1"/>
    <col min="6" max="8" width="12" style="2603"/>
    <col min="9" max="9" width="12.25" style="2603" bestFit="1" customWidth="1"/>
    <col min="10" max="10" width="12" style="2603"/>
    <col min="11" max="11" width="8.125" style="2671" customWidth="1"/>
    <col min="12" max="12" width="12" style="2603"/>
    <col min="13" max="13" width="8.5" style="2603" customWidth="1"/>
    <col min="14" max="14" width="9.75" style="2603" customWidth="1"/>
    <col min="15" max="25" width="12" style="2603"/>
    <col min="26" max="26" width="9.375" style="2679" customWidth="1"/>
    <col min="27" max="32" width="9.375" style="1359" customWidth="1"/>
    <col min="33" max="36" width="9.375" style="2679" customWidth="1"/>
    <col min="37" max="38" width="9.375" style="2603" customWidth="1"/>
    <col min="39" max="16384" width="12" style="2603"/>
  </cols>
  <sheetData>
    <row r="1" spans="1:36" ht="28.5">
      <c r="A1" s="240" t="s">
        <v>2716</v>
      </c>
      <c r="B1" s="241"/>
      <c r="C1" s="245" t="s">
        <v>2717</v>
      </c>
      <c r="D1" s="388">
        <f>SUM(D29:D30,D33:D39)</f>
        <v>25370.109999999993</v>
      </c>
      <c r="E1" s="2600"/>
      <c r="F1" s="2600"/>
      <c r="G1" s="2600"/>
      <c r="H1" s="2600"/>
      <c r="I1" s="2600"/>
      <c r="J1" s="2600"/>
      <c r="K1" s="1357"/>
      <c r="L1" s="2601" t="s">
        <v>2718</v>
      </c>
      <c r="M1" s="1075">
        <f>SUMPRODUCT((区片价!B5:B9=I2)*(区片价!C3:F3=E2)*(区片价!C5:F9))</f>
        <v>0</v>
      </c>
      <c r="N1" s="1078">
        <f>SUMPRODUCT((因素修正幅度!B5:B9=I2)*(因素修正幅度!C3:F3=E2)*(因素修正幅度!C5:F9))</f>
        <v>0</v>
      </c>
      <c r="O1" s="2602"/>
      <c r="P1" s="2602"/>
      <c r="Q1" s="1357"/>
      <c r="R1" s="1588" t="s">
        <v>2719</v>
      </c>
      <c r="S1" s="1588" t="s">
        <v>2720</v>
      </c>
      <c r="T1" s="1588" t="s">
        <v>2721</v>
      </c>
      <c r="U1" s="1588" t="s">
        <v>2722</v>
      </c>
      <c r="V1" s="1588" t="s">
        <v>2723</v>
      </c>
      <c r="W1" s="1592"/>
      <c r="X1" s="1592"/>
      <c r="Y1" s="1592"/>
      <c r="Z1" s="1592"/>
      <c r="AA1" s="1592"/>
      <c r="AB1" s="1592"/>
      <c r="AC1" s="1593"/>
      <c r="AD1" s="1594"/>
      <c r="AE1" s="1594"/>
      <c r="AF1" s="1594"/>
      <c r="AG1" s="1594"/>
      <c r="AH1" s="1594"/>
      <c r="AI1" s="1594"/>
      <c r="AJ1" s="1595"/>
    </row>
    <row r="2" spans="1:36" ht="15.75">
      <c r="A2" s="245" t="s">
        <v>2724</v>
      </c>
      <c r="B2" s="248">
        <f ca="1">C26</f>
        <v>81189</v>
      </c>
      <c r="C2" s="2604" t="s">
        <v>2725</v>
      </c>
      <c r="D2" s="2605" t="s">
        <v>2726</v>
      </c>
      <c r="E2" s="2606" t="s">
        <v>3546</v>
      </c>
      <c r="F2" s="2605" t="s">
        <v>2727</v>
      </c>
      <c r="G2" s="2607" t="str">
        <f>IF(E2="商业",项目基本情况!B37,IF(E2="办公",项目基本情况!C37,IF(E2="住宅",项目基本情况!D37,项目基本情况!E37)))</f>
        <v>三级</v>
      </c>
      <c r="H2" s="2605" t="s">
        <v>2728</v>
      </c>
      <c r="I2" s="2607" t="str">
        <f>IF(E2="商业",项目基本情况!B38,IF(E2="办公",项目基本情况!C38,IF(E2="住宅",项目基本情况!D38,项目基本情况!E38)))</f>
        <v>Ⅲ—15</v>
      </c>
      <c r="J2" s="2608"/>
      <c r="K2" s="1357"/>
      <c r="L2" s="2609" t="s">
        <v>2729</v>
      </c>
      <c r="M2" s="1076">
        <f>SUMPRODUCT((区片价!B10:B28=I2)*(区片价!C3:F3=E2)*(区片价!C10:F28))</f>
        <v>0</v>
      </c>
      <c r="N2" s="1078">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1.8629</v>
      </c>
      <c r="T2" s="1588">
        <f ca="1">ROUND($C$5*$C$18*$C$19*$C$20*S2*$C$24,0)</f>
        <v>69338</v>
      </c>
      <c r="U2" s="1589"/>
      <c r="V2" s="1588">
        <f ca="1">ROUND(T2*U2/10000,0)</f>
        <v>0</v>
      </c>
      <c r="W2" s="1592"/>
      <c r="X2" s="1592"/>
      <c r="Y2" s="1592"/>
      <c r="Z2" s="1592"/>
      <c r="AA2" s="1592"/>
      <c r="AB2" s="1592"/>
      <c r="AC2" s="1593"/>
      <c r="AD2" s="1594"/>
      <c r="AE2" s="1594"/>
      <c r="AF2" s="1594"/>
      <c r="AG2" s="1594"/>
      <c r="AH2" s="1594"/>
      <c r="AI2" s="1594"/>
      <c r="AJ2" s="1595"/>
    </row>
    <row r="3" spans="1:36" ht="25.5">
      <c r="A3" s="247" t="s">
        <v>2730</v>
      </c>
      <c r="B3" s="248">
        <f ca="1">ROUND(B2*10000/D1,0)</f>
        <v>32002</v>
      </c>
      <c r="C3" s="2604" t="s">
        <v>2731</v>
      </c>
      <c r="D3" s="2605" t="s">
        <v>2732</v>
      </c>
      <c r="E3" s="2610" t="s">
        <v>3609</v>
      </c>
      <c r="F3" s="2611" t="s">
        <v>3610</v>
      </c>
      <c r="G3" s="914">
        <f>IF(F3="宗地容积率",'数据-汇总表'!I4,IF(F3="估价对象容积率",'数据-汇总表'!I6,'数据-汇总表'!I7))</f>
        <v>4.79</v>
      </c>
      <c r="H3" s="198" t="s">
        <v>2733</v>
      </c>
      <c r="I3" s="945"/>
      <c r="J3" s="2608" t="s">
        <v>2734</v>
      </c>
      <c r="K3" s="1357"/>
      <c r="L3" s="2609" t="s">
        <v>2735</v>
      </c>
      <c r="M3" s="1076">
        <f>SUMPRODUCT((区片价!B29:B48=I2)*(区片价!C3:F3=E2)*(区片价!C29:F48))</f>
        <v>18540</v>
      </c>
      <c r="N3" s="1078">
        <f>SUMPRODUCT((因素修正幅度!B29:B48=I2)*(因素修正幅度!C3:F3=E2)*(因素修正幅度!C29:F48))</f>
        <v>9.6000000000000002E-2</v>
      </c>
      <c r="O3" s="1357"/>
      <c r="P3" s="1357"/>
      <c r="Q3" s="1357"/>
      <c r="R3" s="1588">
        <v>2</v>
      </c>
      <c r="S3" s="1588">
        <f>ROUND(IF(G3&gt;1,IF(R3&lt;7,SUMPRODUCT((B93:B98=R3)*(C92:N92=G2)*(C93:N98)),SUMIF(C92:N92,G2,C100:N100)),IF(R3&lt;7,SUMPRODUCT((B102:B107=R3)*(C92:N92=G2)*(C102:N107)),SUMIF(C92:N92,G2,C109:N109))),4)</f>
        <v>1.3371999999999999</v>
      </c>
      <c r="T3" s="1588">
        <f t="shared" ref="T3:T16" ca="1" si="0">ROUND($C$5*$C$18*$C$19*$C$20*S3*$C$24,0)</f>
        <v>49771</v>
      </c>
      <c r="U3" s="1589"/>
      <c r="V3" s="1588">
        <f t="shared" ref="V3:V16" ca="1" si="1">ROUND(T3*U3/10000,0)</f>
        <v>0</v>
      </c>
      <c r="W3" s="1592"/>
      <c r="X3" s="1592"/>
      <c r="Y3" s="1592"/>
      <c r="Z3" s="1592"/>
      <c r="AA3" s="1592"/>
      <c r="AB3" s="1592"/>
      <c r="AC3" s="1593"/>
      <c r="AD3" s="1594"/>
      <c r="AE3" s="1594"/>
      <c r="AF3" s="1594"/>
      <c r="AG3" s="1594"/>
      <c r="AH3" s="1594"/>
      <c r="AI3" s="1594"/>
      <c r="AJ3" s="1595"/>
    </row>
    <row r="4" spans="1:36" ht="15.75">
      <c r="A4" s="3245"/>
      <c r="B4" s="3246"/>
      <c r="C4" s="3246"/>
      <c r="D4" s="3247"/>
      <c r="E4" s="3247"/>
      <c r="F4" s="3247"/>
      <c r="G4" s="3247"/>
      <c r="H4" s="3247"/>
      <c r="I4" s="3247"/>
      <c r="J4" s="3248"/>
      <c r="K4" s="1357"/>
      <c r="L4" s="2609" t="s">
        <v>2736</v>
      </c>
      <c r="M4" s="1076">
        <f>SUMPRODUCT((区片价!B49:B75=I2)*(区片价!C3:F3=E2)*(区片价!C49:F75))</f>
        <v>0</v>
      </c>
      <c r="N4" s="1078">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1.0788</v>
      </c>
      <c r="T4" s="1588">
        <f t="shared" ca="1" si="0"/>
        <v>40154</v>
      </c>
      <c r="U4" s="1589"/>
      <c r="V4" s="1588">
        <f t="shared" ca="1" si="1"/>
        <v>0</v>
      </c>
      <c r="W4" s="1592"/>
      <c r="X4" s="1592"/>
      <c r="Y4" s="1592"/>
      <c r="Z4" s="1592"/>
      <c r="AA4" s="1592"/>
      <c r="AB4" s="1592"/>
      <c r="AC4" s="1593"/>
      <c r="AD4" s="1594"/>
      <c r="AE4" s="1594"/>
      <c r="AF4" s="1594"/>
      <c r="AG4" s="1594"/>
      <c r="AH4" s="1594"/>
      <c r="AI4" s="1594"/>
      <c r="AJ4" s="1595"/>
    </row>
    <row r="5" spans="1:36" s="2621" customFormat="1" ht="15.75" thickBot="1">
      <c r="A5" s="2612" t="s">
        <v>807</v>
      </c>
      <c r="B5" s="2613" t="s">
        <v>2737</v>
      </c>
      <c r="C5" s="915">
        <f>ROUND(IF(E2="商业",IF(F16="增加",C6*C7+C16,C6*C7-C16),IF(E2="住宅",IF(F16="增加",C6*C12+C16,C6*C12-C16),IF(F16="增加",C6+C16,C6-C16))),0)</f>
        <v>24473</v>
      </c>
      <c r="D5" s="1773">
        <f>ROUND(IF(E2="商业",IF(F16="增加",C6+C16,C6-C16)),0)</f>
        <v>0</v>
      </c>
      <c r="E5" s="2614"/>
      <c r="F5" s="2614"/>
      <c r="G5" s="2615"/>
      <c r="H5" s="2615"/>
      <c r="I5" s="2615"/>
      <c r="J5" s="2616"/>
      <c r="K5" s="2617"/>
      <c r="L5" s="2609" t="s">
        <v>2738</v>
      </c>
      <c r="M5" s="1076">
        <f>SUMPRODUCT((区片价!B76:B109=I2)*(区片价!C3:F3=E2)*(区片价!C76:F109))</f>
        <v>0</v>
      </c>
      <c r="N5" s="1078">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0.86560000000000004</v>
      </c>
      <c r="T5" s="1588">
        <f t="shared" ca="1" si="0"/>
        <v>32218</v>
      </c>
      <c r="U5" s="1589"/>
      <c r="V5" s="1588">
        <f t="shared" ca="1" si="1"/>
        <v>0</v>
      </c>
      <c r="W5" s="1592"/>
      <c r="X5" s="1592"/>
      <c r="Y5" s="1592"/>
      <c r="Z5" s="1592"/>
      <c r="AA5" s="1592"/>
      <c r="AB5" s="1592"/>
      <c r="AC5" s="2618"/>
      <c r="AD5" s="2619"/>
      <c r="AE5" s="2619"/>
      <c r="AF5" s="2619"/>
      <c r="AG5" s="2619"/>
      <c r="AH5" s="2619"/>
      <c r="AI5" s="2619"/>
      <c r="AJ5" s="2620"/>
    </row>
    <row r="6" spans="1:36" ht="15.75" thickBot="1">
      <c r="A6" s="2622" t="s">
        <v>2739</v>
      </c>
      <c r="B6" s="2623" t="s">
        <v>2740</v>
      </c>
      <c r="C6" s="916">
        <f>SUMIF(L1:L12,G2,M1:M12)</f>
        <v>18540</v>
      </c>
      <c r="D6" s="2624" t="s">
        <v>2741</v>
      </c>
      <c r="E6" s="2625"/>
      <c r="F6" s="2625"/>
      <c r="G6" s="2626"/>
      <c r="H6" s="2626"/>
      <c r="I6" s="2626"/>
      <c r="J6" s="2627"/>
      <c r="K6" s="1828"/>
      <c r="L6" s="2609" t="s">
        <v>2742</v>
      </c>
      <c r="M6" s="1076">
        <f>SUMPRODUCT((区片价!B110:B157=I2)*(区片价!C3:F3=E2)*(区片价!C110:F157))</f>
        <v>0</v>
      </c>
      <c r="N6" s="1078">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0.73709999999999998</v>
      </c>
      <c r="T6" s="1588">
        <f t="shared" ca="1" si="0"/>
        <v>27435</v>
      </c>
      <c r="U6" s="1589"/>
      <c r="V6" s="1588">
        <f t="shared" ca="1" si="1"/>
        <v>0</v>
      </c>
      <c r="W6" s="1592"/>
      <c r="X6" s="1592"/>
      <c r="Y6" s="1592"/>
      <c r="Z6" s="1592"/>
      <c r="AA6" s="1592"/>
      <c r="AB6" s="1592"/>
      <c r="AC6" s="2618"/>
      <c r="AD6" s="2619"/>
      <c r="AE6" s="2619"/>
      <c r="AF6" s="2619"/>
      <c r="AG6" s="2619"/>
      <c r="AH6" s="2619"/>
      <c r="AI6" s="2619"/>
      <c r="AJ6" s="2620"/>
    </row>
    <row r="7" spans="1:36" ht="24">
      <c r="A7" s="3249" t="str">
        <f>IF(E2="商业",IF(C8="不临58条商业街","",2),"")</f>
        <v/>
      </c>
      <c r="B7" s="2628" t="s">
        <v>2743</v>
      </c>
      <c r="C7" s="917">
        <f>IF(C8="不临58条商业街",1,ROUND(1+(1.6*E8+1.2*E9+0.8*E10+0.4*E11)*C9,4))</f>
        <v>1</v>
      </c>
      <c r="D7" s="2629" t="s">
        <v>2744</v>
      </c>
      <c r="E7" s="946"/>
      <c r="F7" s="2630"/>
      <c r="G7" s="2631"/>
      <c r="H7" s="2631"/>
      <c r="I7" s="2631"/>
      <c r="J7" s="2632"/>
      <c r="K7" s="1828"/>
      <c r="L7" s="2609" t="s">
        <v>2745</v>
      </c>
      <c r="M7" s="1076">
        <f>SUMPRODUCT((区片价!B158:B205=I2)*(区片价!C3:F3=E2)*(区片价!C158:F205))</f>
        <v>0</v>
      </c>
      <c r="N7" s="1078">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0.6482</v>
      </c>
      <c r="T7" s="1588">
        <f t="shared" ca="1" si="0"/>
        <v>24126</v>
      </c>
      <c r="U7" s="1589"/>
      <c r="V7" s="1588">
        <f t="shared" ca="1" si="1"/>
        <v>0</v>
      </c>
      <c r="W7" s="1802" t="s">
        <v>2746</v>
      </c>
      <c r="X7" s="1590" t="str">
        <f>G2</f>
        <v>三级</v>
      </c>
      <c r="Y7" s="1590" t="s">
        <v>2747</v>
      </c>
      <c r="Z7" s="1591">
        <f>G3</f>
        <v>4.79</v>
      </c>
      <c r="AA7" s="1592"/>
      <c r="AB7" s="1592"/>
      <c r="AC7" s="1593"/>
      <c r="AD7" s="1594"/>
      <c r="AE7" s="1594"/>
      <c r="AF7" s="1594"/>
      <c r="AG7" s="1594"/>
      <c r="AH7" s="1594"/>
      <c r="AI7" s="1594"/>
      <c r="AJ7" s="1595"/>
    </row>
    <row r="8" spans="1:36" ht="25.5">
      <c r="A8" s="3250"/>
      <c r="B8" s="198" t="s">
        <v>2748</v>
      </c>
      <c r="C8" s="2633" t="s">
        <v>3618</v>
      </c>
      <c r="D8" s="918" t="s">
        <v>139</v>
      </c>
      <c r="E8" s="919" t="e">
        <f>ROUND(C11/E7,4)</f>
        <v>#DIV/0!</v>
      </c>
      <c r="F8" s="2634" t="s">
        <v>2749</v>
      </c>
      <c r="G8" s="2635"/>
      <c r="H8" s="2635"/>
      <c r="I8" s="2635"/>
      <c r="J8" s="2636"/>
      <c r="K8" s="1357"/>
      <c r="L8" s="2609" t="s">
        <v>2750</v>
      </c>
      <c r="M8" s="1076">
        <f>SUMPRODUCT((区片价!B206:B244=I2)*(区片价!C3:F3=E2)*(区片价!C206:F244))</f>
        <v>0</v>
      </c>
      <c r="N8" s="1078">
        <f>SUMPRODUCT((因素修正幅度!B206:B244=I2)*(因素修正幅度!C3:F3=E2)*(因素修正幅度!C206:F244))</f>
        <v>0</v>
      </c>
      <c r="O8" s="1357"/>
      <c r="P8" s="1357"/>
      <c r="Q8" s="1357"/>
      <c r="R8" s="1588">
        <v>7</v>
      </c>
      <c r="S8" s="1589"/>
      <c r="T8" s="1588">
        <f t="shared" ca="1" si="0"/>
        <v>0</v>
      </c>
      <c r="U8" s="1589"/>
      <c r="V8" s="1588">
        <f t="shared" ca="1" si="1"/>
        <v>0</v>
      </c>
      <c r="W8" s="3242" t="s">
        <v>2751</v>
      </c>
      <c r="X8" s="3243"/>
      <c r="Y8" s="1596" t="s">
        <v>2752</v>
      </c>
      <c r="Z8" s="1596" t="s">
        <v>2753</v>
      </c>
      <c r="AA8" s="1596" t="s">
        <v>2754</v>
      </c>
      <c r="AB8" s="1596" t="s">
        <v>2755</v>
      </c>
      <c r="AC8" s="1596" t="s">
        <v>2756</v>
      </c>
      <c r="AD8" s="1596" t="s">
        <v>2757</v>
      </c>
      <c r="AE8" s="1596" t="s">
        <v>2758</v>
      </c>
      <c r="AF8" s="1596" t="s">
        <v>2759</v>
      </c>
      <c r="AG8" s="1596" t="s">
        <v>2760</v>
      </c>
      <c r="AH8" s="1596" t="s">
        <v>2761</v>
      </c>
      <c r="AI8" s="1596" t="s">
        <v>2762</v>
      </c>
      <c r="AJ8" s="1596" t="s">
        <v>2763</v>
      </c>
    </row>
    <row r="9" spans="1:36" ht="15">
      <c r="A9" s="3250"/>
      <c r="B9" s="198" t="s">
        <v>2764</v>
      </c>
      <c r="C9" s="920">
        <f>SUMIF(修正!C59:C119,C8,修正!E59:E119)</f>
        <v>0</v>
      </c>
      <c r="D9" s="200" t="s">
        <v>140</v>
      </c>
      <c r="E9" s="200" t="e">
        <f>ROUND(C11/E7,4)</f>
        <v>#DIV/0!</v>
      </c>
      <c r="F9" s="2634" t="s">
        <v>2765</v>
      </c>
      <c r="G9" s="2635"/>
      <c r="H9" s="2635"/>
      <c r="I9" s="2635"/>
      <c r="J9" s="2636"/>
      <c r="K9" s="1357"/>
      <c r="L9" s="2609" t="s">
        <v>2766</v>
      </c>
      <c r="M9" s="1076">
        <f>SUMPRODUCT((区片价!B245:B289=I2)*(区片价!C3:F3=E2)*(区片价!C245:F289))</f>
        <v>0</v>
      </c>
      <c r="N9" s="1078">
        <f>SUMPRODUCT((因素修正幅度!B245:B289=I2)*(因素修正幅度!C3:F3=E2)*(因素修正幅度!C245:F289))</f>
        <v>0</v>
      </c>
      <c r="O9" s="1357"/>
      <c r="P9" s="1357"/>
      <c r="Q9" s="1357"/>
      <c r="R9" s="1588">
        <v>8</v>
      </c>
      <c r="S9" s="1589"/>
      <c r="T9" s="1588">
        <f t="shared" ca="1" si="0"/>
        <v>0</v>
      </c>
      <c r="U9" s="1589"/>
      <c r="V9" s="1588">
        <f t="shared" ca="1" si="1"/>
        <v>0</v>
      </c>
      <c r="W9" s="3244" t="s">
        <v>2767</v>
      </c>
      <c r="X9" s="1597" t="s">
        <v>2768</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50"/>
      <c r="B10" s="198" t="s">
        <v>2769</v>
      </c>
      <c r="C10" s="200">
        <f>SUMIF(修正!C59:C119,C8,修正!F59:F119)</f>
        <v>0</v>
      </c>
      <c r="D10" s="200" t="s">
        <v>141</v>
      </c>
      <c r="E10" s="200" t="e">
        <f>ROUND(C11/E7,4)</f>
        <v>#DIV/0!</v>
      </c>
      <c r="F10" s="2634" t="s">
        <v>2770</v>
      </c>
      <c r="G10" s="2635"/>
      <c r="H10" s="2635"/>
      <c r="I10" s="2635"/>
      <c r="J10" s="2636"/>
      <c r="K10" s="1357"/>
      <c r="L10" s="2609" t="s">
        <v>2771</v>
      </c>
      <c r="M10" s="1076">
        <f>SUMPRODUCT((区片价!B290:B316=I2)*(区片价!C3:F3=E2)*(区片价!C290:F316))</f>
        <v>0</v>
      </c>
      <c r="N10" s="1078">
        <f>SUMPRODUCT((因素修正幅度!B290:B316=I2)*(因素修正幅度!C3:F3=E2)*(因素修正幅度!C290:F316))</f>
        <v>0</v>
      </c>
      <c r="O10" s="1357"/>
      <c r="P10" s="1357"/>
      <c r="Q10" s="1357"/>
      <c r="R10" s="1588">
        <v>9</v>
      </c>
      <c r="S10" s="1589"/>
      <c r="T10" s="1588">
        <f t="shared" ca="1" si="0"/>
        <v>0</v>
      </c>
      <c r="U10" s="1589"/>
      <c r="V10" s="1588">
        <f t="shared" ca="1" si="1"/>
        <v>0</v>
      </c>
      <c r="W10" s="3244"/>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50"/>
      <c r="B11" s="2637" t="s">
        <v>2772</v>
      </c>
      <c r="C11" s="921">
        <f>C10/4</f>
        <v>0</v>
      </c>
      <c r="D11" s="921" t="s">
        <v>142</v>
      </c>
      <c r="E11" s="921" t="e">
        <f>ROUND(C11/E7,4)</f>
        <v>#DIV/0!</v>
      </c>
      <c r="F11" s="2638" t="s">
        <v>2773</v>
      </c>
      <c r="G11" s="2639"/>
      <c r="H11" s="2639"/>
      <c r="I11" s="2639"/>
      <c r="J11" s="2640"/>
      <c r="K11" s="1357"/>
      <c r="L11" s="2609" t="s">
        <v>2774</v>
      </c>
      <c r="M11" s="1076">
        <f>SUMPRODUCT((区片价!B317:B337=I2)*(区片价!C3:F3=E2)*(区片价!C317:F337))</f>
        <v>0</v>
      </c>
      <c r="N11" s="1078">
        <f>SUMPRODUCT((因素修正幅度!B317:B337=I2)*(因素修正幅度!C3:F3=E2)*(因素修正幅度!C317:F337))</f>
        <v>0</v>
      </c>
      <c r="O11" s="1357"/>
      <c r="P11" s="1357"/>
      <c r="Q11" s="1357"/>
      <c r="R11" s="1588">
        <v>10</v>
      </c>
      <c r="S11" s="1589"/>
      <c r="T11" s="1588">
        <f t="shared" ca="1" si="0"/>
        <v>0</v>
      </c>
      <c r="U11" s="1589"/>
      <c r="V11" s="1588">
        <f t="shared" ca="1" si="1"/>
        <v>0</v>
      </c>
      <c r="W11" s="3244" t="s">
        <v>2775</v>
      </c>
      <c r="X11" s="1600" t="s">
        <v>2776</v>
      </c>
      <c r="Y11" s="1601">
        <f>$G$3</f>
        <v>4.79</v>
      </c>
      <c r="Z11" s="1601">
        <f t="shared" ref="Z11:AJ11" si="3">$G$3</f>
        <v>4.79</v>
      </c>
      <c r="AA11" s="1601">
        <f t="shared" si="3"/>
        <v>4.79</v>
      </c>
      <c r="AB11" s="1601">
        <f t="shared" si="3"/>
        <v>4.79</v>
      </c>
      <c r="AC11" s="1601">
        <f t="shared" si="3"/>
        <v>4.79</v>
      </c>
      <c r="AD11" s="1601">
        <f t="shared" si="3"/>
        <v>4.79</v>
      </c>
      <c r="AE11" s="1601">
        <f t="shared" si="3"/>
        <v>4.79</v>
      </c>
      <c r="AF11" s="1601">
        <f t="shared" si="3"/>
        <v>4.79</v>
      </c>
      <c r="AG11" s="1601">
        <f t="shared" si="3"/>
        <v>4.79</v>
      </c>
      <c r="AH11" s="1601">
        <f t="shared" si="3"/>
        <v>4.79</v>
      </c>
      <c r="AI11" s="1601">
        <f t="shared" si="3"/>
        <v>4.79</v>
      </c>
      <c r="AJ11" s="1601">
        <f t="shared" si="3"/>
        <v>4.79</v>
      </c>
    </row>
    <row r="12" spans="1:36" ht="25.5" thickBot="1">
      <c r="A12" s="3249" t="s">
        <v>2777</v>
      </c>
      <c r="B12" s="2641" t="s">
        <v>2778</v>
      </c>
      <c r="C12" s="917">
        <f>ROUND(C15*D15*E15*F15*G15*H15*I15*J15,4)</f>
        <v>1.32</v>
      </c>
      <c r="D12" s="2642" t="s">
        <v>2779</v>
      </c>
      <c r="E12" s="2643"/>
      <c r="F12" s="2643"/>
      <c r="G12" s="2644"/>
      <c r="H12" s="2644"/>
      <c r="I12" s="2644"/>
      <c r="J12" s="2645"/>
      <c r="K12" s="1357"/>
      <c r="L12" s="2646" t="s">
        <v>2780</v>
      </c>
      <c r="M12" s="1077">
        <f>SUMPRODUCT((区片价!B338:B344=I2)*(区片价!C3:F3=E2)*(区片价!C338:F344))</f>
        <v>0</v>
      </c>
      <c r="N12" s="1078">
        <f>SUMPRODUCT((因素修正幅度!B338:B344=I2)*(因素修正幅度!C3:F3=E2)*(因素修正幅度!C338:F344))</f>
        <v>0</v>
      </c>
      <c r="O12" s="1357"/>
      <c r="P12" s="1357"/>
      <c r="Q12" s="1357"/>
      <c r="R12" s="1588">
        <v>11</v>
      </c>
      <c r="S12" s="1589"/>
      <c r="T12" s="1588">
        <f t="shared" ca="1" si="0"/>
        <v>0</v>
      </c>
      <c r="U12" s="1589"/>
      <c r="V12" s="1588">
        <f t="shared" ca="1" si="1"/>
        <v>0</v>
      </c>
      <c r="W12" s="3244"/>
      <c r="X12" s="1602" t="s">
        <v>2781</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251"/>
      <c r="B13" s="2647" t="s">
        <v>2782</v>
      </c>
      <c r="C13" s="2648" t="s">
        <v>2783</v>
      </c>
      <c r="D13" s="1794" t="s">
        <v>2784</v>
      </c>
      <c r="E13" s="1794" t="s">
        <v>2785</v>
      </c>
      <c r="F13" s="30" t="s">
        <v>2786</v>
      </c>
      <c r="G13" s="2649" t="s">
        <v>2787</v>
      </c>
      <c r="H13" s="2649" t="s">
        <v>2787</v>
      </c>
      <c r="I13" s="2649" t="s">
        <v>2787</v>
      </c>
      <c r="J13" s="2650" t="s">
        <v>2787</v>
      </c>
      <c r="K13" s="1357"/>
      <c r="L13" s="1357"/>
      <c r="M13" s="1357"/>
      <c r="N13" s="1357"/>
      <c r="O13" s="1357"/>
      <c r="P13" s="1357"/>
      <c r="Q13" s="1357"/>
      <c r="R13" s="1588">
        <v>12</v>
      </c>
      <c r="S13" s="1589"/>
      <c r="T13" s="1588">
        <f t="shared" ca="1" si="0"/>
        <v>0</v>
      </c>
      <c r="U13" s="1589"/>
      <c r="V13" s="1588">
        <f t="shared" ca="1" si="1"/>
        <v>0</v>
      </c>
      <c r="W13" s="3244"/>
      <c r="X13" s="1602"/>
      <c r="Y13" s="1599">
        <f>(-0.163*(Y12^2)-0.59*Y12+7617)*(10^(-4))/Y11</f>
        <v>0.1590187891440501</v>
      </c>
      <c r="Z13" s="1599">
        <f t="shared" ref="Z13:AJ13" si="5">(-0.163*(Z12^2)-0.59*Z12+7617)*(10^(-4))/Z11</f>
        <v>0.1590187891440501</v>
      </c>
      <c r="AA13" s="1599">
        <f t="shared" si="5"/>
        <v>0.1590187891440501</v>
      </c>
      <c r="AB13" s="1599">
        <f t="shared" si="5"/>
        <v>0.1590187891440501</v>
      </c>
      <c r="AC13" s="1599">
        <f t="shared" si="5"/>
        <v>0.1590187891440501</v>
      </c>
      <c r="AD13" s="1599">
        <f t="shared" si="5"/>
        <v>0.1590187891440501</v>
      </c>
      <c r="AE13" s="1599">
        <f t="shared" si="5"/>
        <v>0.1590187891440501</v>
      </c>
      <c r="AF13" s="1599">
        <f t="shared" si="5"/>
        <v>0.1590187891440501</v>
      </c>
      <c r="AG13" s="1599">
        <f t="shared" si="5"/>
        <v>0.1590187891440501</v>
      </c>
      <c r="AH13" s="1599">
        <f t="shared" si="5"/>
        <v>0.1590187891440501</v>
      </c>
      <c r="AI13" s="1599">
        <f t="shared" si="5"/>
        <v>0.1590187891440501</v>
      </c>
      <c r="AJ13" s="1599">
        <f t="shared" si="5"/>
        <v>0.1590187891440501</v>
      </c>
    </row>
    <row r="14" spans="1:36" ht="15">
      <c r="A14" s="3251"/>
      <c r="B14" s="2651"/>
      <c r="C14" s="2652" t="s">
        <v>3611</v>
      </c>
      <c r="D14" s="2653" t="s">
        <v>3612</v>
      </c>
      <c r="E14" s="2653" t="s">
        <v>3611</v>
      </c>
      <c r="F14" s="2654" t="s">
        <v>3613</v>
      </c>
      <c r="G14" s="2655" t="s">
        <v>2788</v>
      </c>
      <c r="H14" s="2656"/>
      <c r="I14" s="2657"/>
      <c r="J14" s="2658"/>
      <c r="K14" s="1357"/>
      <c r="L14" s="1357"/>
      <c r="M14" s="1357"/>
      <c r="N14" s="1357"/>
      <c r="O14" s="1357"/>
      <c r="P14" s="1357"/>
      <c r="Q14" s="1357"/>
      <c r="R14" s="1588">
        <v>13</v>
      </c>
      <c r="S14" s="1589"/>
      <c r="T14" s="1588">
        <f t="shared" ca="1" si="0"/>
        <v>0</v>
      </c>
      <c r="U14" s="1589"/>
      <c r="V14" s="1588">
        <f t="shared" ca="1" si="1"/>
        <v>0</v>
      </c>
      <c r="W14" s="1592"/>
      <c r="X14" s="1592"/>
      <c r="Y14" s="1592"/>
      <c r="Z14" s="1592"/>
      <c r="AA14" s="1592"/>
      <c r="AB14" s="1592"/>
      <c r="AC14" s="1593"/>
      <c r="AD14" s="1594"/>
      <c r="AE14" s="1594"/>
      <c r="AF14" s="1594"/>
      <c r="AG14" s="1594"/>
      <c r="AH14" s="1594"/>
      <c r="AI14" s="1594"/>
      <c r="AJ14" s="1595"/>
    </row>
    <row r="15" spans="1:36" ht="15.75" thickBot="1">
      <c r="A15" s="3252"/>
      <c r="B15" s="2659" t="s">
        <v>2789</v>
      </c>
      <c r="C15" s="229">
        <f>IF(C14="有",1.1,1)</f>
        <v>1</v>
      </c>
      <c r="D15" s="229">
        <f>IF(D14="有",1.1,1)</f>
        <v>1.1000000000000001</v>
      </c>
      <c r="E15" s="229">
        <f>IF(E14="有",1.1,1)</f>
        <v>1</v>
      </c>
      <c r="F15" s="229">
        <f>IF(F14="500米范围内",1.2,IF(F14="500-1000米",1.1,1))</f>
        <v>1.2</v>
      </c>
      <c r="G15" s="947">
        <v>1</v>
      </c>
      <c r="H15" s="947">
        <v>1</v>
      </c>
      <c r="I15" s="947">
        <v>1</v>
      </c>
      <c r="J15" s="948">
        <v>1</v>
      </c>
      <c r="K15" s="1357"/>
      <c r="L15" s="2660" t="s">
        <v>2726</v>
      </c>
      <c r="M15" s="918" t="s">
        <v>2790</v>
      </c>
      <c r="N15" s="918" t="s">
        <v>2791</v>
      </c>
      <c r="O15" s="918" t="s">
        <v>2792</v>
      </c>
      <c r="P15" s="2661" t="s">
        <v>2793</v>
      </c>
      <c r="Q15" s="1357"/>
      <c r="R15" s="1588">
        <v>14</v>
      </c>
      <c r="S15" s="1589"/>
      <c r="T15" s="1588">
        <f t="shared" ca="1" si="0"/>
        <v>0</v>
      </c>
      <c r="U15" s="1589"/>
      <c r="V15" s="1588">
        <f t="shared" ca="1" si="1"/>
        <v>0</v>
      </c>
      <c r="W15" s="1592"/>
      <c r="X15" s="1592"/>
      <c r="Y15" s="1592"/>
      <c r="Z15" s="1592"/>
      <c r="AA15" s="1592"/>
      <c r="AB15" s="1592"/>
      <c r="AC15" s="1593"/>
      <c r="AD15" s="1594"/>
      <c r="AE15" s="1594"/>
      <c r="AF15" s="1594"/>
      <c r="AG15" s="1594"/>
      <c r="AH15" s="1594"/>
      <c r="AI15" s="1594"/>
      <c r="AJ15" s="1595"/>
    </row>
    <row r="16" spans="1:36" ht="24">
      <c r="A16" s="3249" t="s">
        <v>2794</v>
      </c>
      <c r="B16" s="2628" t="s">
        <v>2795</v>
      </c>
      <c r="C16" s="1787">
        <f>ROUND(SUM(G17:J17)/C17,0)</f>
        <v>0</v>
      </c>
      <c r="D16" s="2662" t="s">
        <v>2796</v>
      </c>
      <c r="E16" s="2663" t="s">
        <v>3614</v>
      </c>
      <c r="F16" s="2664" t="s">
        <v>3615</v>
      </c>
      <c r="G16" s="2665"/>
      <c r="H16" s="2665"/>
      <c r="I16" s="2665"/>
      <c r="J16" s="2666"/>
      <c r="K16" s="1357"/>
      <c r="L16" s="2667" t="s">
        <v>2797</v>
      </c>
      <c r="M16" s="920">
        <v>0.25</v>
      </c>
      <c r="N16" s="920">
        <v>0.2</v>
      </c>
      <c r="O16" s="920">
        <v>0.15</v>
      </c>
      <c r="P16" s="1356">
        <v>0.1</v>
      </c>
      <c r="Q16" s="1357"/>
      <c r="R16" s="1588">
        <v>15</v>
      </c>
      <c r="S16" s="1589"/>
      <c r="T16" s="1588">
        <f t="shared" ca="1" si="0"/>
        <v>0</v>
      </c>
      <c r="U16" s="1589"/>
      <c r="V16" s="1588">
        <f t="shared" ca="1" si="1"/>
        <v>0</v>
      </c>
      <c r="W16" s="1592"/>
      <c r="X16" s="1592"/>
      <c r="Y16" s="1592"/>
      <c r="Z16" s="1592"/>
      <c r="AA16" s="1592"/>
      <c r="AB16" s="1592"/>
      <c r="AC16" s="1593"/>
      <c r="AD16" s="1594"/>
      <c r="AE16" s="1594"/>
      <c r="AF16" s="1594"/>
      <c r="AG16" s="1594"/>
      <c r="AH16" s="1594"/>
      <c r="AI16" s="1594"/>
      <c r="AJ16" s="1595"/>
    </row>
    <row r="17" spans="1:37" ht="13.5" thickBot="1">
      <c r="A17" s="3250"/>
      <c r="B17" s="2668" t="s">
        <v>2798</v>
      </c>
      <c r="C17" s="922">
        <f>SUMPRODUCT((修正!A2:A5=E2)*(修正!B1:M1=G2)*(修正!B2:M5))</f>
        <v>2.5</v>
      </c>
      <c r="D17" s="2669" t="s">
        <v>2799</v>
      </c>
      <c r="E17" s="921" t="str">
        <f>IF(OR(G2="八级",G2="九级",G2="十级",G2="十一级",G2="十二级"),"五通一平","七通一平")</f>
        <v>七通一平</v>
      </c>
      <c r="F17" s="922" t="s">
        <v>2800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57"/>
      <c r="L17" s="2670" t="s">
        <v>2801</v>
      </c>
      <c r="M17" s="211">
        <f ca="1">ROUND($E$20*(1+M16),3)</f>
        <v>5.3999999999999999E-2</v>
      </c>
      <c r="N17" s="211">
        <f ca="1">ROUND($E$20*(1+N16),3)</f>
        <v>5.1999999999999998E-2</v>
      </c>
      <c r="O17" s="211">
        <f ca="1">ROUND($E$20*(1+O16),3)</f>
        <v>0.05</v>
      </c>
      <c r="P17" s="1360">
        <f ca="1">ROUND($E$20*(1+P16),3)</f>
        <v>4.8000000000000001E-2</v>
      </c>
      <c r="Q17" s="1357"/>
      <c r="R17" s="1357"/>
      <c r="S17" s="1357"/>
      <c r="T17" s="1357"/>
      <c r="U17" s="1357"/>
      <c r="V17" s="1357"/>
      <c r="W17" s="1357"/>
      <c r="X17" s="1357"/>
      <c r="Y17" s="1357"/>
      <c r="Z17" s="1358"/>
      <c r="AE17" s="2671"/>
      <c r="AF17" s="2671"/>
      <c r="AG17" s="2603"/>
      <c r="AH17" s="2603"/>
      <c r="AI17" s="2603"/>
      <c r="AJ17" s="2603"/>
    </row>
    <row r="18" spans="1:37" s="2621" customFormat="1" ht="15.75" thickBot="1">
      <c r="A18" s="2672" t="s">
        <v>808</v>
      </c>
      <c r="B18" s="2673" t="s">
        <v>2802</v>
      </c>
      <c r="C18" s="924">
        <f>SUMIF(修正!C18:C39,E3,修正!E18:E39)</f>
        <v>1</v>
      </c>
      <c r="D18" s="2674"/>
      <c r="E18" s="2675"/>
      <c r="F18" s="2676"/>
      <c r="G18" s="2677"/>
      <c r="H18" s="2677"/>
      <c r="I18" s="2677"/>
      <c r="J18" s="2678"/>
      <c r="K18" s="1364"/>
      <c r="O18" s="1362"/>
      <c r="P18" s="1362"/>
      <c r="Q18" s="1363"/>
      <c r="R18" s="1363"/>
      <c r="S18" s="1363"/>
      <c r="T18" s="1358"/>
      <c r="U18" s="1358"/>
      <c r="V18" s="1358"/>
      <c r="W18" s="1357"/>
      <c r="X18" s="1357"/>
      <c r="Y18" s="1357"/>
      <c r="Z18" s="1364"/>
      <c r="AA18" s="1365"/>
      <c r="AB18" s="1365"/>
      <c r="AC18" s="1365"/>
      <c r="AD18" s="1365"/>
      <c r="AE18" s="1359"/>
      <c r="AF18" s="1359"/>
      <c r="AG18" s="2679"/>
      <c r="AH18" s="2679"/>
      <c r="AI18" s="2679"/>
    </row>
    <row r="19" spans="1:37" s="2621" customFormat="1" ht="29.25" thickBot="1">
      <c r="A19" s="2672" t="s">
        <v>809</v>
      </c>
      <c r="B19" s="2673" t="s">
        <v>2803</v>
      </c>
      <c r="C19" s="925">
        <f>ROUND(IF(H19="按公示增长率计算",SUMPRODUCT((地价!A3:A21=YEAR(G19)&amp;"-"&amp;ROUNDUP(MONTH(G19)/3,0))*(地价!X2:AB2=E2)*(地价!X3:AB21)),IF(H19="地价指数",M20/M19,(1+I19)^O19)),4)</f>
        <v>1.4825999999999999</v>
      </c>
      <c r="D19" s="2680" t="s">
        <v>2804</v>
      </c>
      <c r="E19" s="926">
        <v>41640</v>
      </c>
      <c r="F19" s="2680" t="s">
        <v>2805</v>
      </c>
      <c r="G19" s="927">
        <f>'数据-取费表'!B2</f>
        <v>43161</v>
      </c>
      <c r="H19" s="2681" t="s">
        <v>3616</v>
      </c>
      <c r="I19" s="928" t="str">
        <f>IF(H19="季度增幅（自定义）",SUMIF(N21:N24,E2,O21:O24),"")</f>
        <v/>
      </c>
      <c r="J19" s="2678"/>
      <c r="K19" s="1364"/>
      <c r="L19" s="2682" t="s">
        <v>2806</v>
      </c>
      <c r="M19" s="1720">
        <f>ROUND(SUMIF(地价!B2:F2,E2,地价!B21:F21),0)</f>
        <v>423</v>
      </c>
      <c r="N19" s="2683" t="s">
        <v>2807</v>
      </c>
      <c r="O19" s="929">
        <f>ROUNDDOWN(DATEDIF(E19,G19,"M")/3,0)</f>
        <v>16</v>
      </c>
      <c r="P19" s="1361"/>
      <c r="Q19" s="1363"/>
      <c r="R19" s="1363"/>
      <c r="S19" s="1363"/>
      <c r="T19" s="1358"/>
      <c r="U19" s="1358"/>
      <c r="V19" s="1358"/>
      <c r="W19" s="1357"/>
      <c r="X19" s="1357"/>
      <c r="Y19" s="1357"/>
      <c r="Z19" s="1364"/>
      <c r="AA19" s="1365"/>
      <c r="AB19" s="1365"/>
      <c r="AC19" s="1365"/>
      <c r="AD19" s="1365"/>
      <c r="AE19" s="1365"/>
      <c r="AF19" s="2684"/>
      <c r="AG19" s="2685"/>
      <c r="AH19" s="2679"/>
      <c r="AI19" s="2686"/>
      <c r="AJ19" s="2686"/>
      <c r="AK19" s="2686"/>
    </row>
    <row r="20" spans="1:37" s="2621" customFormat="1" ht="27.75" thickBot="1">
      <c r="A20" s="2687" t="s">
        <v>810</v>
      </c>
      <c r="B20" s="2688" t="s">
        <v>2808</v>
      </c>
      <c r="C20" s="930">
        <f ca="1">ROUND(POWER(1+G20,J20-I20)*(POWER(1+G20,I20)-1)/(POWER(1+G20,J20)-1),4)</f>
        <v>0.96630000000000005</v>
      </c>
      <c r="D20" s="2689" t="s">
        <v>2809</v>
      </c>
      <c r="E20" s="1754">
        <f ca="1">存贷款利率!D4/100</f>
        <v>4.3499999999999997E-2</v>
      </c>
      <c r="F20" s="2689" t="s">
        <v>2801</v>
      </c>
      <c r="G20" s="935">
        <f ca="1">SUMIF(M15:P15,E2,M17:P17)</f>
        <v>0.05</v>
      </c>
      <c r="H20" s="2689" t="s">
        <v>2810</v>
      </c>
      <c r="I20" s="936">
        <f>SUMIF('数据-取费表'!C6:C15,E2,'数据-取费表'!F6:F15)/COUNTIF('数据-取费表'!C6:C15,E2)</f>
        <v>55.87</v>
      </c>
      <c r="J20" s="937">
        <f>IF(E2="住宅",70,IF(E2="商业",40,50))</f>
        <v>70</v>
      </c>
      <c r="K20" s="1364"/>
      <c r="L20" s="2690" t="s">
        <v>2811</v>
      </c>
      <c r="M20" s="1721">
        <f>ROUND(SUMPRODUCT((地价!A4:A21=YEAR(G19)&amp;"-"&amp;ROUNDUP(MONTH(G19)/3,0))*(地价!B2:F2=E2)*(地价!B4:F21)),0)</f>
        <v>626</v>
      </c>
      <c r="N20" s="2691" t="s">
        <v>2812</v>
      </c>
      <c r="O20" s="2692" t="s">
        <v>2813</v>
      </c>
      <c r="P20" s="2693" t="s">
        <v>2814</v>
      </c>
      <c r="R20" s="1363"/>
      <c r="S20" s="1363"/>
      <c r="T20" s="1358"/>
      <c r="U20" s="1358"/>
      <c r="V20" s="1358"/>
      <c r="W20" s="1357"/>
      <c r="X20" s="1357"/>
      <c r="Y20" s="1357"/>
      <c r="Z20" s="1364"/>
      <c r="AA20" s="1365"/>
      <c r="AB20" s="1365"/>
      <c r="AC20" s="1365"/>
      <c r="AD20" s="1365"/>
      <c r="AE20" s="1365"/>
      <c r="AF20" s="1365"/>
    </row>
    <row r="21" spans="1:37" s="2621" customFormat="1" ht="15">
      <c r="A21" s="2694" t="s">
        <v>811</v>
      </c>
      <c r="B21" s="2695" t="s">
        <v>3617</v>
      </c>
      <c r="C21" s="938">
        <f>IF(B21="容积率修正",IF(G3&lt;=10,D22,J22),C23)</f>
        <v>0.85980000000000001</v>
      </c>
      <c r="D21" s="2696"/>
      <c r="E21" s="2696"/>
      <c r="F21" s="2696"/>
      <c r="G21" s="2696"/>
      <c r="H21" s="2696"/>
      <c r="I21" s="2696"/>
      <c r="J21" s="2697"/>
      <c r="K21" s="1364"/>
      <c r="N21" s="2698" t="s">
        <v>2815</v>
      </c>
      <c r="O21" s="1547"/>
      <c r="P21" s="1548">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621" customFormat="1" ht="14.25">
      <c r="A22" s="2547" t="s">
        <v>2816</v>
      </c>
      <c r="B22" s="2699" t="s">
        <v>2817</v>
      </c>
      <c r="C22" s="1796" t="s">
        <v>2818</v>
      </c>
      <c r="D22" s="1796">
        <f>IF(E22=G22,F22,IF(G3&lt;=10,ROUND(F22+(H22-F22)*(G3-E22)/(G22-E22),4),"——"))</f>
        <v>0.85980000000000001</v>
      </c>
      <c r="E22" s="914">
        <f>ROUNDDOWN(G3,1)</f>
        <v>4.7</v>
      </c>
      <c r="F22" s="17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0.86260000000000003</v>
      </c>
      <c r="G22" s="914">
        <f>ROUNDUP(G3,1)</f>
        <v>4.8</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0.85950000000000004</v>
      </c>
      <c r="I22" s="1796" t="s">
        <v>155</v>
      </c>
      <c r="J22" s="939" t="str">
        <f>IF(G3&gt;10,D113,"——")</f>
        <v>——</v>
      </c>
      <c r="K22" s="1364"/>
      <c r="N22" s="2698" t="s">
        <v>2819</v>
      </c>
      <c r="O22" s="1547"/>
      <c r="P22" s="1548">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547" t="s">
        <v>2820</v>
      </c>
      <c r="B23" s="2700" t="s">
        <v>2821</v>
      </c>
      <c r="C23" s="1014">
        <f>ROUND(IF(G3&gt;1,IF(I3&lt;7,SUMPRODUCT((B93:B98=I3)*(C92:N92=G2)*(C93:N98)),SUMIF(C92:N92,G2,C100:N100)),IF(I3&lt;7,SUMPRODUCT((B102:B107=I3)*(C92:N92=G2)*(C102:N107)),SUMIF(C92:N92,G2,C109:N109))),4)</f>
        <v>0</v>
      </c>
      <c r="D23" s="2656"/>
      <c r="E23" s="2656"/>
      <c r="F23" s="2701"/>
      <c r="G23" s="2702"/>
      <c r="H23" s="2703"/>
      <c r="I23" s="2704"/>
      <c r="J23" s="2705"/>
      <c r="K23" s="1357"/>
      <c r="N23" s="2698" t="s">
        <v>2822</v>
      </c>
      <c r="O23" s="1547"/>
      <c r="P23" s="1548">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679"/>
    </row>
    <row r="24" spans="1:37" s="2621" customFormat="1" ht="15.75" thickBot="1">
      <c r="A24" s="2687" t="s">
        <v>812</v>
      </c>
      <c r="B24" s="2673" t="s">
        <v>2823</v>
      </c>
      <c r="C24" s="925">
        <f>SUMIF(A45:A88,E2,B45:B88)</f>
        <v>1.0616000000000001</v>
      </c>
      <c r="D24" s="2676"/>
      <c r="E24" s="2706"/>
      <c r="F24" s="2706"/>
      <c r="G24" s="2706"/>
      <c r="H24" s="2706"/>
      <c r="I24" s="2706"/>
      <c r="J24" s="2707"/>
      <c r="K24" s="1364"/>
      <c r="N24" s="2708" t="s">
        <v>2824</v>
      </c>
      <c r="O24" s="1549"/>
      <c r="P24" s="1550">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687" t="s">
        <v>813</v>
      </c>
      <c r="B25" s="2709" t="s">
        <v>2825</v>
      </c>
      <c r="C25" s="931"/>
      <c r="D25" s="2631"/>
      <c r="E25" s="2631"/>
      <c r="F25" s="2710"/>
      <c r="G25" s="2631"/>
      <c r="H25" s="2631"/>
      <c r="I25" s="2631"/>
      <c r="J25" s="2632"/>
      <c r="K25" s="1357"/>
      <c r="N25" s="2711" t="s">
        <v>2826</v>
      </c>
      <c r="O25" s="1551"/>
      <c r="P25" s="1550">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75" thickBot="1">
      <c r="A26" s="2712"/>
      <c r="B26" s="2699" t="s">
        <v>2827</v>
      </c>
      <c r="C26" s="206">
        <f ca="1">E29+SUM(E33:E39)</f>
        <v>81189</v>
      </c>
      <c r="D26" s="2713"/>
      <c r="E26" s="2656"/>
      <c r="F26" s="2714"/>
      <c r="G26" s="2656"/>
      <c r="H26" s="2656"/>
      <c r="I26" s="2656"/>
      <c r="J26" s="2715"/>
      <c r="K26" s="1357"/>
      <c r="R26" s="1363"/>
      <c r="S26" s="1363"/>
      <c r="T26" s="1358"/>
      <c r="U26" s="1358"/>
      <c r="V26" s="1358"/>
      <c r="W26" s="1357"/>
      <c r="X26" s="1357"/>
      <c r="Y26" s="1357"/>
      <c r="Z26" s="1364"/>
      <c r="AA26" s="1365"/>
      <c r="AB26" s="1365"/>
      <c r="AC26" s="1365"/>
      <c r="AD26" s="1365"/>
    </row>
    <row r="27" spans="1:37" ht="15.75" hidden="1" thickBot="1">
      <c r="A27" s="2712"/>
      <c r="B27" s="2716" t="s">
        <v>2828</v>
      </c>
      <c r="C27" s="932" t="e">
        <f ca="1">E30+SUM(I33:I39)</f>
        <v>#DIV/0!</v>
      </c>
      <c r="D27" s="2717"/>
      <c r="E27" s="2718"/>
      <c r="F27" s="2719"/>
      <c r="G27" s="2718"/>
      <c r="H27" s="2718"/>
      <c r="I27" s="2718"/>
      <c r="J27" s="2720"/>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721"/>
      <c r="B28" s="2722" t="s">
        <v>2829</v>
      </c>
      <c r="C28" s="2723" t="s">
        <v>2830</v>
      </c>
      <c r="D28" s="2723" t="s">
        <v>2831</v>
      </c>
      <c r="E28" s="2724" t="s">
        <v>2832</v>
      </c>
      <c r="F28" s="2725"/>
      <c r="G28" s="2644"/>
      <c r="H28" s="2644"/>
      <c r="I28" s="2644"/>
      <c r="J28" s="2645"/>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thickBot="1">
      <c r="A29" s="2726"/>
      <c r="B29" s="2727" t="s">
        <v>2833</v>
      </c>
      <c r="C29" s="206">
        <f ca="1">ROUND(C5*C18*C19*C20*C21*C24,0)</f>
        <v>32002</v>
      </c>
      <c r="D29" s="2728">
        <f>'数据-汇总表'!F20+'数据-汇总表'!F21</f>
        <v>25370.109999999993</v>
      </c>
      <c r="E29" s="943">
        <f ca="1">ROUND(C29*D29/10000,0)</f>
        <v>81189</v>
      </c>
      <c r="F29" s="2729" t="s">
        <v>2834</v>
      </c>
      <c r="G29" s="2730"/>
      <c r="H29" s="2730"/>
      <c r="I29" s="2730"/>
      <c r="J29" s="2731"/>
      <c r="K29" s="1357"/>
      <c r="L29" s="1357"/>
      <c r="M29" s="1357"/>
      <c r="N29" s="1357"/>
      <c r="O29" s="1362"/>
      <c r="P29" s="1362"/>
      <c r="Q29" s="1363"/>
      <c r="R29" s="1363"/>
      <c r="S29" s="1363"/>
      <c r="T29" s="1358"/>
      <c r="U29" s="1358"/>
      <c r="V29" s="1358"/>
      <c r="W29" s="1357"/>
      <c r="X29" s="1357"/>
      <c r="Y29" s="1357"/>
      <c r="Z29" s="1364"/>
      <c r="AA29" s="1365"/>
      <c r="AB29" s="1365"/>
      <c r="AC29" s="1365"/>
      <c r="AD29" s="1365"/>
      <c r="AE29" s="2671"/>
      <c r="AF29" s="2671"/>
      <c r="AG29" s="2603"/>
      <c r="AH29" s="2603"/>
      <c r="AI29" s="2603"/>
      <c r="AJ29" s="2603"/>
    </row>
    <row r="30" spans="1:37" ht="25.5" hidden="1" thickBot="1">
      <c r="A30" s="2732"/>
      <c r="B30" s="2733" t="s">
        <v>2835</v>
      </c>
      <c r="C30" s="229">
        <f ca="1">ROUND(IF(E2="工业",C29*M39,C29*M38),0)</f>
        <v>8001</v>
      </c>
      <c r="D30" s="2734"/>
      <c r="E30" s="943">
        <f ca="1">ROUND(C30*D30/10000,0)</f>
        <v>0</v>
      </c>
      <c r="F30" s="2735" t="s">
        <v>2836</v>
      </c>
      <c r="G30" s="2736"/>
      <c r="H30" s="2736"/>
      <c r="I30" s="2736"/>
      <c r="J30" s="2737"/>
      <c r="K30" s="1357"/>
      <c r="L30" s="1357"/>
      <c r="M30" s="1357"/>
      <c r="N30" s="1357"/>
      <c r="O30" s="1362"/>
      <c r="P30" s="1362"/>
      <c r="Q30" s="1363"/>
      <c r="R30" s="1363"/>
      <c r="S30" s="1363"/>
      <c r="T30" s="1358"/>
      <c r="U30" s="1358"/>
      <c r="V30" s="1358"/>
      <c r="W30" s="1357"/>
      <c r="X30" s="1357"/>
      <c r="Y30" s="1357"/>
      <c r="Z30" s="1364"/>
      <c r="AA30" s="1365"/>
      <c r="AB30" s="1365"/>
      <c r="AC30" s="1365"/>
      <c r="AD30" s="1365"/>
      <c r="AE30" s="2671"/>
      <c r="AF30" s="2671"/>
      <c r="AG30" s="2603"/>
      <c r="AH30" s="2603"/>
      <c r="AI30" s="2603"/>
      <c r="AJ30" s="2603"/>
    </row>
    <row r="31" spans="1:37" ht="14.25" hidden="1">
      <c r="A31" s="2738"/>
      <c r="B31" s="2739" t="s">
        <v>2837</v>
      </c>
      <c r="C31" s="2740" t="s">
        <v>2838</v>
      </c>
      <c r="D31" s="2644"/>
      <c r="E31" s="2740"/>
      <c r="F31" s="2740"/>
      <c r="G31" s="2642" t="s">
        <v>2839</v>
      </c>
      <c r="H31" s="2644"/>
      <c r="I31" s="2741"/>
      <c r="J31" s="2645"/>
      <c r="K31" s="1357"/>
      <c r="L31" s="1357"/>
      <c r="M31" s="1357"/>
      <c r="N31" s="1357"/>
      <c r="O31" s="1362"/>
      <c r="P31" s="1362"/>
      <c r="Q31" s="1363"/>
      <c r="R31" s="1363"/>
      <c r="S31" s="1363"/>
      <c r="T31" s="1358"/>
      <c r="U31" s="1358"/>
      <c r="V31" s="1358"/>
      <c r="W31" s="1357"/>
      <c r="X31" s="1357"/>
      <c r="Y31" s="1357"/>
      <c r="Z31" s="1364"/>
      <c r="AA31" s="1365"/>
      <c r="AB31" s="1365"/>
      <c r="AC31" s="1365"/>
      <c r="AD31" s="1365"/>
      <c r="AE31" s="2671"/>
      <c r="AF31" s="2671"/>
      <c r="AG31" s="2603"/>
      <c r="AH31" s="2603"/>
      <c r="AI31" s="2603"/>
      <c r="AJ31" s="2603"/>
    </row>
    <row r="32" spans="1:37" ht="24" hidden="1">
      <c r="A32" s="2726"/>
      <c r="B32" s="2742"/>
      <c r="C32" s="501" t="s">
        <v>2830</v>
      </c>
      <c r="D32" s="498" t="s">
        <v>2831</v>
      </c>
      <c r="E32" s="498" t="s">
        <v>2832</v>
      </c>
      <c r="F32" s="388" t="s">
        <v>2840</v>
      </c>
      <c r="G32" s="2743" t="s">
        <v>2830</v>
      </c>
      <c r="H32" s="2743" t="s">
        <v>2831</v>
      </c>
      <c r="I32" s="2743" t="s">
        <v>2832</v>
      </c>
      <c r="J32" s="287"/>
      <c r="K32" s="1357"/>
      <c r="L32" s="1357"/>
      <c r="M32" s="1357"/>
      <c r="N32" s="1357"/>
      <c r="O32" s="1362"/>
      <c r="P32" s="1362"/>
      <c r="Q32" s="1363"/>
      <c r="R32" s="1363"/>
      <c r="S32" s="1363"/>
      <c r="T32" s="1358"/>
      <c r="U32" s="1358"/>
      <c r="V32" s="1358"/>
      <c r="W32" s="1357"/>
      <c r="X32" s="1357"/>
      <c r="Y32" s="1357"/>
      <c r="Z32" s="1364"/>
      <c r="AA32" s="1365"/>
      <c r="AB32" s="1365"/>
      <c r="AC32" s="1365"/>
      <c r="AD32" s="1365"/>
      <c r="AE32" s="2671"/>
      <c r="AF32" s="2671"/>
      <c r="AG32" s="2603"/>
      <c r="AH32" s="2603"/>
      <c r="AI32" s="2603"/>
      <c r="AJ32" s="2603"/>
    </row>
    <row r="33" spans="1:37" ht="36" hidden="1" customHeight="1">
      <c r="A33" s="3259" t="s">
        <v>2841</v>
      </c>
      <c r="B33" s="2744" t="s">
        <v>2842</v>
      </c>
      <c r="C33" s="206">
        <f ca="1">ROUND(D5*C19*C20*C24*F33,0)</f>
        <v>0</v>
      </c>
      <c r="D33" s="2728"/>
      <c r="E33" s="200">
        <f ca="1">ROUND(C33*D33/10000,0)</f>
        <v>0</v>
      </c>
      <c r="F33" s="200">
        <f>SUMIF(修正!A45:A56,G2,修正!B45:B56)</f>
        <v>0.7</v>
      </c>
      <c r="G33" s="200">
        <f t="shared" ref="G33:G39" ca="1" si="6">ROUND(IF(E2="工业",C33*$M$39,C33*$M$38),0)</f>
        <v>0</v>
      </c>
      <c r="H33" s="200">
        <f>D33</f>
        <v>0</v>
      </c>
      <c r="I33" s="200">
        <f ca="1">ROUND(G33*H33/10000,0)</f>
        <v>0</v>
      </c>
      <c r="J33" s="2745"/>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hidden="1">
      <c r="A34" s="3260"/>
      <c r="B34" s="2648" t="s">
        <v>2843</v>
      </c>
      <c r="C34" s="206">
        <f ca="1">ROUND(D5*C19*C20*C24*F34,0)</f>
        <v>0</v>
      </c>
      <c r="D34" s="2728"/>
      <c r="E34" s="200">
        <f t="shared" ref="E34:E39" ca="1" si="7">ROUND(C34*D34/10000,0)</f>
        <v>0</v>
      </c>
      <c r="F34" s="200">
        <f>SUMIF(修正!A45:A56,G2,修正!C45:C56)</f>
        <v>0.4</v>
      </c>
      <c r="G34" s="200">
        <f t="shared" ca="1" si="6"/>
        <v>0</v>
      </c>
      <c r="H34" s="200">
        <f t="shared" ref="H34:H39" si="8">D34</f>
        <v>0</v>
      </c>
      <c r="I34" s="200">
        <f t="shared" ref="I34:I39" ca="1" si="9">ROUND(G34*H34/10000,0)</f>
        <v>0</v>
      </c>
      <c r="J34" s="2745"/>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hidden="1">
      <c r="A35" s="3260"/>
      <c r="B35" s="2648" t="s">
        <v>2844</v>
      </c>
      <c r="C35" s="206">
        <f ca="1">ROUND(D5*C19*C20*C24*F35,0)</f>
        <v>0</v>
      </c>
      <c r="D35" s="2728"/>
      <c r="E35" s="200">
        <f t="shared" ca="1" si="7"/>
        <v>0</v>
      </c>
      <c r="F35" s="200">
        <f>SUMIF(修正!A45:A56,G2,修正!D45:D56)</f>
        <v>0.28000000000000003</v>
      </c>
      <c r="G35" s="200">
        <f t="shared" ca="1" si="6"/>
        <v>0</v>
      </c>
      <c r="H35" s="200">
        <f t="shared" si="8"/>
        <v>0</v>
      </c>
      <c r="I35" s="200">
        <f t="shared" ca="1" si="9"/>
        <v>0</v>
      </c>
      <c r="J35" s="2745"/>
      <c r="K35" s="1357"/>
      <c r="L35" s="1357"/>
      <c r="M35" s="1357"/>
      <c r="N35" s="1357"/>
      <c r="O35" s="1357"/>
      <c r="P35" s="1357"/>
      <c r="Q35" s="1357"/>
      <c r="R35" s="1357"/>
      <c r="S35" s="1357"/>
      <c r="T35" s="1357"/>
      <c r="U35" s="1357"/>
      <c r="V35" s="1357"/>
      <c r="W35" s="1357"/>
      <c r="X35" s="1357"/>
      <c r="Y35" s="1357"/>
      <c r="Z35" s="1358"/>
    </row>
    <row r="36" spans="1:37" ht="13.5" hidden="1" thickBot="1">
      <c r="A36" s="3261"/>
      <c r="B36" s="2648" t="s">
        <v>2845</v>
      </c>
      <c r="C36" s="206">
        <f ca="1">ROUND(D5*C19*C20*C24*F36,0)</f>
        <v>0</v>
      </c>
      <c r="D36" s="2728"/>
      <c r="E36" s="200">
        <f t="shared" ca="1" si="7"/>
        <v>0</v>
      </c>
      <c r="F36" s="200">
        <f>SUMIF(修正!A45:A56,G2,修正!E45:E56)</f>
        <v>0.25</v>
      </c>
      <c r="G36" s="200">
        <f t="shared" ca="1" si="6"/>
        <v>0</v>
      </c>
      <c r="H36" s="200">
        <f t="shared" si="8"/>
        <v>0</v>
      </c>
      <c r="I36" s="200">
        <f t="shared" ca="1" si="9"/>
        <v>0</v>
      </c>
      <c r="J36" s="2745"/>
      <c r="K36" s="1357"/>
      <c r="L36" s="2602"/>
      <c r="M36" s="2602"/>
      <c r="N36" s="1357"/>
      <c r="O36" s="1357"/>
      <c r="P36" s="1357"/>
      <c r="Q36" s="1357"/>
      <c r="R36" s="1357"/>
      <c r="S36" s="1357"/>
      <c r="T36" s="1357"/>
      <c r="U36" s="1357"/>
      <c r="V36" s="1357"/>
      <c r="W36" s="1357"/>
      <c r="X36" s="1357"/>
      <c r="Y36" s="1357"/>
      <c r="Z36" s="1358"/>
    </row>
    <row r="37" spans="1:37" hidden="1">
      <c r="A37" s="2746"/>
      <c r="B37" s="2648" t="s">
        <v>2846</v>
      </c>
      <c r="C37" s="200">
        <f ca="1">ROUND(C5*C19*C20*C24*F37,0)</f>
        <v>9305</v>
      </c>
      <c r="D37" s="2728"/>
      <c r="E37" s="200">
        <f t="shared" ca="1" si="7"/>
        <v>0</v>
      </c>
      <c r="F37" s="206">
        <f>SUMIF(修正!A45:A56,G2,修正!F45:F56)</f>
        <v>0.25</v>
      </c>
      <c r="G37" s="200">
        <f t="shared" ca="1" si="6"/>
        <v>2326</v>
      </c>
      <c r="H37" s="200">
        <f t="shared" si="8"/>
        <v>0</v>
      </c>
      <c r="I37" s="200">
        <f t="shared" ca="1" si="9"/>
        <v>0</v>
      </c>
      <c r="J37" s="2745"/>
      <c r="K37" s="1357"/>
      <c r="L37" s="2747" t="s">
        <v>2847</v>
      </c>
      <c r="M37" s="2748"/>
      <c r="N37" s="1357"/>
      <c r="O37" s="1357"/>
      <c r="P37" s="1357"/>
      <c r="Q37" s="1357"/>
      <c r="R37" s="1357"/>
      <c r="S37" s="1357"/>
      <c r="T37" s="1357"/>
      <c r="U37" s="1357"/>
      <c r="V37" s="1357"/>
      <c r="W37" s="1357"/>
      <c r="X37" s="1357"/>
      <c r="Y37" s="1357"/>
      <c r="Z37" s="1358"/>
    </row>
    <row r="38" spans="1:37" hidden="1">
      <c r="A38" s="2746"/>
      <c r="B38" s="2648" t="s">
        <v>2848</v>
      </c>
      <c r="C38" s="200">
        <f ca="1">ROUND(C5*C19*C20*C24*F38,0)</f>
        <v>9305</v>
      </c>
      <c r="D38" s="2728"/>
      <c r="E38" s="200">
        <f t="shared" ca="1" si="7"/>
        <v>0</v>
      </c>
      <c r="F38" s="206">
        <f>SUMIF(修正!A45:A56,G2,修正!G45:G56)</f>
        <v>0.25</v>
      </c>
      <c r="G38" s="200">
        <f t="shared" ca="1" si="6"/>
        <v>2326</v>
      </c>
      <c r="H38" s="200">
        <f t="shared" si="8"/>
        <v>0</v>
      </c>
      <c r="I38" s="200">
        <f t="shared" ca="1" si="9"/>
        <v>0</v>
      </c>
      <c r="J38" s="2745"/>
      <c r="K38" s="1357"/>
      <c r="L38" s="1873" t="s">
        <v>2849</v>
      </c>
      <c r="M38" s="2749">
        <v>0.25</v>
      </c>
      <c r="N38" s="1357"/>
      <c r="O38" s="1357"/>
      <c r="P38" s="1357"/>
      <c r="Q38" s="1357"/>
      <c r="R38" s="1357"/>
      <c r="S38" s="1357"/>
      <c r="T38" s="1357"/>
      <c r="U38" s="1357"/>
      <c r="V38" s="1357"/>
      <c r="W38" s="1357"/>
      <c r="X38" s="1357"/>
      <c r="Y38" s="1357"/>
      <c r="Z38" s="1358"/>
    </row>
    <row r="39" spans="1:37" ht="13.5" hidden="1" thickBot="1">
      <c r="A39" s="2732"/>
      <c r="B39" s="2750" t="s">
        <v>2850</v>
      </c>
      <c r="C39" s="229">
        <f ca="1">ROUND(C5*C19*C20*C24*F39,0)</f>
        <v>7444</v>
      </c>
      <c r="D39" s="2734"/>
      <c r="E39" s="229">
        <f t="shared" ca="1" si="7"/>
        <v>0</v>
      </c>
      <c r="F39" s="933">
        <f>SUMIF(修正!A45:A56,G2,修正!H45:H56)</f>
        <v>0.2</v>
      </c>
      <c r="G39" s="229" t="e">
        <f t="shared" si="6"/>
        <v>#DIV/0!</v>
      </c>
      <c r="H39" s="229">
        <f t="shared" si="8"/>
        <v>0</v>
      </c>
      <c r="I39" s="229" t="e">
        <f t="shared" si="9"/>
        <v>#DIV/0!</v>
      </c>
      <c r="J39" s="2751"/>
      <c r="K39" s="1357"/>
      <c r="L39" s="2752" t="s">
        <v>2793</v>
      </c>
      <c r="M39" s="2753">
        <v>0.15</v>
      </c>
      <c r="N39" s="1357"/>
      <c r="O39" s="1357"/>
      <c r="P39" s="1357"/>
      <c r="Q39" s="1357"/>
      <c r="R39" s="1357"/>
      <c r="S39" s="1357"/>
      <c r="T39" s="1357"/>
      <c r="U39" s="1357"/>
      <c r="V39" s="1357"/>
      <c r="W39" s="1357"/>
      <c r="X39" s="1357"/>
      <c r="Y39" s="1357"/>
      <c r="Z39" s="1358"/>
    </row>
    <row r="40" spans="1:37" s="1357" customFormat="1" hidden="1">
      <c r="Z40" s="1358"/>
      <c r="AA40" s="1358"/>
      <c r="AB40" s="1358"/>
      <c r="AC40" s="1358"/>
      <c r="AD40" s="1358"/>
      <c r="AE40" s="1358"/>
      <c r="AF40" s="1358"/>
      <c r="AG40" s="1358"/>
      <c r="AH40" s="1358"/>
      <c r="AI40" s="1358"/>
      <c r="AJ40" s="1358"/>
    </row>
    <row r="41" spans="1:37" s="1357" customFormat="1" hidden="1">
      <c r="A41" s="1358"/>
      <c r="B41" s="2754"/>
      <c r="Z41" s="1358"/>
      <c r="AA41" s="1358"/>
      <c r="AB41" s="1358"/>
      <c r="AC41" s="1358"/>
      <c r="AD41" s="1358"/>
      <c r="AE41" s="1358"/>
      <c r="AF41" s="1358"/>
      <c r="AG41" s="1358"/>
      <c r="AH41" s="1358"/>
      <c r="AI41" s="1358"/>
      <c r="AJ41" s="1358"/>
    </row>
    <row r="42" spans="1:37" s="1357" customFormat="1" hidden="1">
      <c r="A42" s="1358"/>
      <c r="B42" s="2754"/>
      <c r="Z42" s="1358"/>
      <c r="AA42" s="1358"/>
      <c r="AB42" s="1358"/>
      <c r="AC42" s="1358"/>
      <c r="AD42" s="1358"/>
      <c r="AE42" s="1358"/>
      <c r="AF42" s="1358"/>
      <c r="AG42" s="1358"/>
      <c r="AH42" s="1358"/>
      <c r="AI42" s="1358"/>
      <c r="AJ42" s="1358"/>
    </row>
    <row r="43" spans="1:37" s="1357" customFormat="1" hidden="1">
      <c r="A43" s="1358"/>
      <c r="B43" s="2754"/>
      <c r="Z43" s="1358"/>
      <c r="AA43" s="1358"/>
      <c r="AB43" s="1358"/>
      <c r="AC43" s="1358"/>
      <c r="AD43" s="1358"/>
      <c r="AE43" s="1358"/>
      <c r="AF43" s="1358"/>
      <c r="AG43" s="1358"/>
      <c r="AH43" s="1358"/>
      <c r="AI43" s="1358"/>
      <c r="AJ43" s="1358"/>
    </row>
    <row r="44" spans="1:37" s="1357" customFormat="1" hidden="1">
      <c r="A44" s="1358"/>
      <c r="B44" s="2754"/>
      <c r="Z44" s="1358"/>
      <c r="AA44" s="1358"/>
      <c r="AB44" s="1358"/>
      <c r="AC44" s="1358"/>
      <c r="AD44" s="1358"/>
      <c r="AE44" s="1358"/>
      <c r="AF44" s="1358"/>
      <c r="AG44" s="1358"/>
      <c r="AH44" s="1358"/>
      <c r="AI44" s="1358"/>
      <c r="AJ44" s="1358"/>
    </row>
    <row r="45" spans="1:37" s="1357" customFormat="1" ht="15.75" hidden="1" thickBot="1">
      <c r="A45" s="2755" t="s">
        <v>2851</v>
      </c>
      <c r="B45" s="2756"/>
      <c r="C45" s="7"/>
      <c r="D45" s="7"/>
      <c r="E45" s="7"/>
      <c r="F45" s="6"/>
      <c r="G45" s="6"/>
      <c r="H45" s="6"/>
      <c r="I45" s="7"/>
      <c r="J45" s="7"/>
      <c r="K45" s="7"/>
      <c r="L45" s="7"/>
      <c r="M45" s="7"/>
      <c r="N45" s="2671"/>
      <c r="Z45" s="1358"/>
      <c r="AA45" s="1358"/>
      <c r="AB45" s="1358"/>
      <c r="AC45" s="1358"/>
      <c r="AD45" s="1358"/>
      <c r="AE45" s="1358"/>
      <c r="AF45" s="1358"/>
      <c r="AG45" s="1358"/>
      <c r="AH45" s="1358"/>
      <c r="AI45" s="1358"/>
      <c r="AJ45" s="1358"/>
    </row>
    <row r="46" spans="1:37" s="1357" customFormat="1" ht="15" hidden="1">
      <c r="A46" s="2757" t="s">
        <v>2852</v>
      </c>
      <c r="B46" s="2758" t="e">
        <f>1+E48</f>
        <v>#VALUE!</v>
      </c>
      <c r="C46" s="2759"/>
      <c r="D46" s="812"/>
      <c r="E46" s="813"/>
      <c r="F46" s="2760"/>
      <c r="G46" s="6"/>
      <c r="H46" s="7"/>
      <c r="I46" s="7"/>
      <c r="J46" s="7"/>
      <c r="K46" s="7"/>
      <c r="L46" s="7"/>
      <c r="M46" s="7"/>
      <c r="N46" s="2671"/>
      <c r="Z46" s="1358"/>
      <c r="AA46" s="1358"/>
      <c r="AB46" s="1358"/>
      <c r="AC46" s="1358"/>
      <c r="AD46" s="1358"/>
      <c r="AE46" s="1358"/>
      <c r="AF46" s="1358"/>
      <c r="AG46" s="1358"/>
      <c r="AH46" s="1358"/>
      <c r="AI46" s="1358"/>
      <c r="AJ46" s="1358"/>
    </row>
    <row r="47" spans="1:37" s="1357" customFormat="1" ht="24.75" hidden="1">
      <c r="A47" s="2761" t="s">
        <v>2853</v>
      </c>
      <c r="B47" s="1795" t="s">
        <v>2854</v>
      </c>
      <c r="C47" s="1795" t="s">
        <v>2855</v>
      </c>
      <c r="D47" s="1795" t="s">
        <v>2856</v>
      </c>
      <c r="E47" s="817" t="s">
        <v>2857</v>
      </c>
      <c r="F47" s="2762" t="s">
        <v>2858</v>
      </c>
      <c r="G47" s="1795" t="s">
        <v>754</v>
      </c>
      <c r="H47" s="2763" t="s">
        <v>2859</v>
      </c>
      <c r="I47" s="1795" t="s">
        <v>2860</v>
      </c>
      <c r="J47" s="603" t="s">
        <v>2509</v>
      </c>
      <c r="K47" s="603" t="s">
        <v>2510</v>
      </c>
      <c r="L47" s="603" t="s">
        <v>2511</v>
      </c>
      <c r="M47" s="603" t="s">
        <v>2512</v>
      </c>
      <c r="N47" s="603" t="s">
        <v>2513</v>
      </c>
      <c r="AA47" s="1358"/>
      <c r="AB47" s="1358"/>
      <c r="AC47" s="1358"/>
      <c r="AD47" s="1358"/>
      <c r="AE47" s="1358"/>
      <c r="AF47" s="1358"/>
      <c r="AG47" s="1358"/>
      <c r="AH47" s="1358"/>
      <c r="AI47" s="1358"/>
      <c r="AJ47" s="1358"/>
      <c r="AK47" s="1358"/>
    </row>
    <row r="48" spans="1:37" s="1357" customFormat="1" ht="24.75" hidden="1">
      <c r="A48" s="2761" t="s">
        <v>2861</v>
      </c>
      <c r="B48" s="2764">
        <f>估价对象房地状况!C4</f>
        <v>0</v>
      </c>
      <c r="C48" s="2653" t="s">
        <v>3548</v>
      </c>
      <c r="D48" s="1273" t="e">
        <f t="shared" ref="D48:D56" si="10">SUMIF($J$47:$N$47,C48,J48:N48)</f>
        <v>#VALUE!</v>
      </c>
      <c r="E48" s="819" t="e">
        <f>ROUND(SUM(D48:D56),4)</f>
        <v>#VALUE!</v>
      </c>
      <c r="F48" s="2386" t="str">
        <f>IF(E2="商业",SUMIF(L1:L12,G2,N1:N12),"——")</f>
        <v>——</v>
      </c>
      <c r="G48" s="1271" t="str">
        <f>H48</f>
        <v>——</v>
      </c>
      <c r="H48" s="1275" t="str">
        <f t="shared" ref="H48:H56" si="11">IFERROR(ROUNDDOWN($F$48*I48/2,4),"——")</f>
        <v>——</v>
      </c>
      <c r="I48" s="818">
        <v>0.33</v>
      </c>
      <c r="J48" s="1272" t="e">
        <f t="shared" ref="J48:J56" si="12">K48+$G48</f>
        <v>#VALUE!</v>
      </c>
      <c r="K48" s="1272" t="e">
        <f t="shared" ref="K48:K56" si="13">$L48+$G48</f>
        <v>#VALUE!</v>
      </c>
      <c r="L48" s="1272">
        <v>0</v>
      </c>
      <c r="M48" s="1272" t="e">
        <f t="shared" ref="M48:N56" si="14">L48-$G48</f>
        <v>#VALUE!</v>
      </c>
      <c r="N48" s="1272" t="e">
        <f t="shared" si="14"/>
        <v>#VALUE!</v>
      </c>
      <c r="AA48" s="1358"/>
      <c r="AB48" s="1358"/>
      <c r="AC48" s="1358"/>
      <c r="AD48" s="1358"/>
      <c r="AE48" s="1358"/>
      <c r="AF48" s="1358"/>
      <c r="AG48" s="1358"/>
      <c r="AH48" s="1358"/>
      <c r="AI48" s="1358"/>
      <c r="AJ48" s="1358"/>
      <c r="AK48" s="1358"/>
    </row>
    <row r="49" spans="1:37" s="1357" customFormat="1" ht="14.25" hidden="1">
      <c r="A49" s="2761" t="s">
        <v>2862</v>
      </c>
      <c r="B49" s="2765">
        <f>估价对象房地状况!C18</f>
        <v>0</v>
      </c>
      <c r="C49" s="2653" t="str">
        <f>C71</f>
        <v>较好</v>
      </c>
      <c r="D49" s="1273" t="e">
        <f t="shared" si="10"/>
        <v>#VALUE!</v>
      </c>
      <c r="E49" s="820"/>
      <c r="F49" s="2386"/>
      <c r="G49" s="1271" t="str">
        <f t="shared" ref="G49:G56" si="15">H49</f>
        <v>——</v>
      </c>
      <c r="H49" s="1275" t="str">
        <f t="shared" si="11"/>
        <v>——</v>
      </c>
      <c r="I49" s="818">
        <v>0.25</v>
      </c>
      <c r="J49" s="1272" t="e">
        <f t="shared" si="12"/>
        <v>#VALUE!</v>
      </c>
      <c r="K49" s="1272" t="e">
        <f t="shared" si="13"/>
        <v>#VALUE!</v>
      </c>
      <c r="L49" s="1272">
        <v>0</v>
      </c>
      <c r="M49" s="1272" t="e">
        <f t="shared" si="14"/>
        <v>#VALUE!</v>
      </c>
      <c r="N49" s="1272" t="e">
        <f t="shared" si="14"/>
        <v>#VALUE!</v>
      </c>
      <c r="AA49" s="1358"/>
      <c r="AB49" s="1358"/>
      <c r="AC49" s="1358"/>
      <c r="AD49" s="1358"/>
      <c r="AE49" s="1358"/>
      <c r="AF49" s="1358"/>
      <c r="AG49" s="1358"/>
      <c r="AH49" s="1358"/>
      <c r="AI49" s="1358"/>
      <c r="AJ49" s="1358"/>
      <c r="AK49" s="1358"/>
    </row>
    <row r="50" spans="1:37" s="1357" customFormat="1" ht="24" hidden="1">
      <c r="A50" s="2761" t="s">
        <v>2863</v>
      </c>
      <c r="B50" s="2765">
        <f>估价对象房地状况!C19</f>
        <v>0</v>
      </c>
      <c r="C50" s="2653" t="s">
        <v>3619</v>
      </c>
      <c r="D50" s="1273">
        <f t="shared" si="10"/>
        <v>0</v>
      </c>
      <c r="E50" s="820"/>
      <c r="F50" s="2386"/>
      <c r="G50" s="1271" t="str">
        <f t="shared" si="15"/>
        <v>——</v>
      </c>
      <c r="H50" s="1275" t="str">
        <f t="shared" si="11"/>
        <v>——</v>
      </c>
      <c r="I50" s="818">
        <v>0.05</v>
      </c>
      <c r="J50" s="1272" t="e">
        <f t="shared" si="12"/>
        <v>#VALUE!</v>
      </c>
      <c r="K50" s="1272" t="e">
        <f t="shared" si="13"/>
        <v>#VALUE!</v>
      </c>
      <c r="L50" s="1272">
        <v>0</v>
      </c>
      <c r="M50" s="1272" t="e">
        <f t="shared" si="14"/>
        <v>#VALUE!</v>
      </c>
      <c r="N50" s="1272" t="e">
        <f t="shared" si="14"/>
        <v>#VALUE!</v>
      </c>
      <c r="AA50" s="1358"/>
      <c r="AB50" s="1358"/>
      <c r="AC50" s="1358"/>
      <c r="AD50" s="1358"/>
      <c r="AE50" s="1358"/>
      <c r="AF50" s="1358"/>
      <c r="AG50" s="1358"/>
      <c r="AH50" s="1358"/>
      <c r="AI50" s="1358"/>
      <c r="AJ50" s="1358"/>
      <c r="AK50" s="1358"/>
    </row>
    <row r="51" spans="1:37" s="1357" customFormat="1" ht="24" hidden="1">
      <c r="A51" s="2761" t="s">
        <v>2864</v>
      </c>
      <c r="B51" s="2766"/>
      <c r="C51" s="2653" t="s">
        <v>3619</v>
      </c>
      <c r="D51" s="1273">
        <f t="shared" si="10"/>
        <v>0</v>
      </c>
      <c r="E51" s="820"/>
      <c r="F51" s="2386"/>
      <c r="G51" s="1271" t="str">
        <f t="shared" si="15"/>
        <v>——</v>
      </c>
      <c r="H51" s="1275" t="str">
        <f t="shared" si="11"/>
        <v>——</v>
      </c>
      <c r="I51" s="818">
        <v>0.05</v>
      </c>
      <c r="J51" s="1272" t="e">
        <f t="shared" si="12"/>
        <v>#VALUE!</v>
      </c>
      <c r="K51" s="1272" t="e">
        <f t="shared" si="13"/>
        <v>#VALUE!</v>
      </c>
      <c r="L51" s="1272">
        <v>0</v>
      </c>
      <c r="M51" s="1272" t="e">
        <f t="shared" si="14"/>
        <v>#VALUE!</v>
      </c>
      <c r="N51" s="1272" t="e">
        <f t="shared" si="14"/>
        <v>#VALUE!</v>
      </c>
      <c r="AA51" s="1358"/>
      <c r="AB51" s="1358"/>
      <c r="AC51" s="1358"/>
      <c r="AD51" s="1358"/>
      <c r="AE51" s="1358"/>
      <c r="AF51" s="1358"/>
      <c r="AG51" s="1358"/>
      <c r="AH51" s="1358"/>
      <c r="AI51" s="1358"/>
      <c r="AJ51" s="1358"/>
      <c r="AK51" s="1358"/>
    </row>
    <row r="52" spans="1:37" s="1357" customFormat="1" ht="24" hidden="1">
      <c r="A52" s="2761" t="s">
        <v>2866</v>
      </c>
      <c r="B52" s="2765">
        <f>估价对象房地状况!C24</f>
        <v>0</v>
      </c>
      <c r="C52" s="2653" t="str">
        <f>C73</f>
        <v>较好</v>
      </c>
      <c r="D52" s="1273" t="e">
        <f t="shared" si="10"/>
        <v>#VALUE!</v>
      </c>
      <c r="E52" s="820"/>
      <c r="F52" s="2386"/>
      <c r="G52" s="1271" t="str">
        <f t="shared" si="15"/>
        <v>——</v>
      </c>
      <c r="H52" s="1275" t="str">
        <f t="shared" si="11"/>
        <v>——</v>
      </c>
      <c r="I52" s="818">
        <v>0.08</v>
      </c>
      <c r="J52" s="1272" t="e">
        <f t="shared" si="12"/>
        <v>#VALUE!</v>
      </c>
      <c r="K52" s="1272" t="e">
        <f t="shared" si="13"/>
        <v>#VALUE!</v>
      </c>
      <c r="L52" s="1272">
        <v>0</v>
      </c>
      <c r="M52" s="1272" t="e">
        <f t="shared" si="14"/>
        <v>#VALUE!</v>
      </c>
      <c r="N52" s="1272" t="e">
        <f t="shared" si="14"/>
        <v>#VALUE!</v>
      </c>
      <c r="AA52" s="1358"/>
      <c r="AB52" s="1358"/>
      <c r="AC52" s="1358"/>
      <c r="AD52" s="1358"/>
      <c r="AE52" s="1358"/>
      <c r="AF52" s="1358"/>
      <c r="AG52" s="1358"/>
      <c r="AH52" s="1358"/>
      <c r="AI52" s="1358"/>
      <c r="AJ52" s="1358"/>
      <c r="AK52" s="1358"/>
    </row>
    <row r="53" spans="1:37" s="1357" customFormat="1" ht="24" hidden="1">
      <c r="A53" s="2761" t="s">
        <v>2867</v>
      </c>
      <c r="B53" s="2767"/>
      <c r="C53" s="2653" t="str">
        <f>C76</f>
        <v>好</v>
      </c>
      <c r="D53" s="1273" t="e">
        <f t="shared" si="10"/>
        <v>#VALUE!</v>
      </c>
      <c r="E53" s="820"/>
      <c r="F53" s="2386"/>
      <c r="G53" s="1271" t="str">
        <f t="shared" si="15"/>
        <v>——</v>
      </c>
      <c r="H53" s="1275" t="str">
        <f t="shared" si="11"/>
        <v>——</v>
      </c>
      <c r="I53" s="818">
        <v>0.03</v>
      </c>
      <c r="J53" s="1272" t="e">
        <f t="shared" si="12"/>
        <v>#VALUE!</v>
      </c>
      <c r="K53" s="1272" t="e">
        <f t="shared" si="13"/>
        <v>#VALUE!</v>
      </c>
      <c r="L53" s="1272">
        <v>0</v>
      </c>
      <c r="M53" s="1272" t="e">
        <f t="shared" si="14"/>
        <v>#VALUE!</v>
      </c>
      <c r="N53" s="1272" t="e">
        <f t="shared" si="14"/>
        <v>#VALUE!</v>
      </c>
      <c r="AA53" s="1358"/>
      <c r="AB53" s="1358"/>
      <c r="AC53" s="1358"/>
      <c r="AD53" s="1358"/>
      <c r="AE53" s="1358"/>
      <c r="AF53" s="1358"/>
      <c r="AG53" s="1358"/>
      <c r="AH53" s="1358"/>
      <c r="AI53" s="1358"/>
      <c r="AJ53" s="1358"/>
      <c r="AK53" s="1358"/>
    </row>
    <row r="54" spans="1:37" s="1357" customFormat="1" ht="24" hidden="1">
      <c r="A54" s="2768" t="s">
        <v>2869</v>
      </c>
      <c r="B54" s="1711">
        <f>估价对象房地状况!C21</f>
        <v>0</v>
      </c>
      <c r="C54" s="2653" t="str">
        <f>C74</f>
        <v>好</v>
      </c>
      <c r="D54" s="1273" t="e">
        <f t="shared" si="10"/>
        <v>#VALUE!</v>
      </c>
      <c r="E54" s="820"/>
      <c r="F54" s="2386"/>
      <c r="G54" s="1271" t="str">
        <f t="shared" si="15"/>
        <v>——</v>
      </c>
      <c r="H54" s="1275" t="str">
        <f t="shared" si="11"/>
        <v>——</v>
      </c>
      <c r="I54" s="818">
        <v>0.05</v>
      </c>
      <c r="J54" s="1272" t="e">
        <f t="shared" si="12"/>
        <v>#VALUE!</v>
      </c>
      <c r="K54" s="1272" t="e">
        <f t="shared" si="13"/>
        <v>#VALUE!</v>
      </c>
      <c r="L54" s="1272">
        <v>0</v>
      </c>
      <c r="M54" s="1272" t="e">
        <f t="shared" si="14"/>
        <v>#VALUE!</v>
      </c>
      <c r="N54" s="1272" t="e">
        <f t="shared" si="14"/>
        <v>#VALUE!</v>
      </c>
      <c r="AA54" s="1358"/>
      <c r="AB54" s="1358"/>
      <c r="AC54" s="1358"/>
      <c r="AD54" s="1358"/>
      <c r="AE54" s="1358"/>
      <c r="AF54" s="1358"/>
      <c r="AG54" s="1358"/>
      <c r="AH54" s="1358"/>
      <c r="AI54" s="1358"/>
      <c r="AJ54" s="1358"/>
      <c r="AK54" s="1358"/>
    </row>
    <row r="55" spans="1:37" s="1357" customFormat="1" ht="24" hidden="1">
      <c r="A55" s="2768" t="s">
        <v>2870</v>
      </c>
      <c r="B55" s="2765">
        <f>估价对象房地状况!C22</f>
        <v>0</v>
      </c>
      <c r="C55" s="2653" t="str">
        <f>C75</f>
        <v>好</v>
      </c>
      <c r="D55" s="1273" t="e">
        <f t="shared" si="10"/>
        <v>#VALUE!</v>
      </c>
      <c r="E55" s="820"/>
      <c r="F55" s="2386"/>
      <c r="G55" s="1271" t="str">
        <f t="shared" si="15"/>
        <v>——</v>
      </c>
      <c r="H55" s="1275" t="str">
        <f t="shared" si="11"/>
        <v>——</v>
      </c>
      <c r="I55" s="818">
        <v>0.1</v>
      </c>
      <c r="J55" s="1272" t="e">
        <f t="shared" si="12"/>
        <v>#VALUE!</v>
      </c>
      <c r="K55" s="1272" t="e">
        <f t="shared" si="13"/>
        <v>#VALUE!</v>
      </c>
      <c r="L55" s="1272">
        <v>0</v>
      </c>
      <c r="M55" s="1272" t="e">
        <f t="shared" si="14"/>
        <v>#VALUE!</v>
      </c>
      <c r="N55" s="1272" t="e">
        <f t="shared" si="14"/>
        <v>#VALUE!</v>
      </c>
      <c r="AA55" s="1358"/>
      <c r="AB55" s="1358"/>
      <c r="AC55" s="1358"/>
      <c r="AD55" s="1358"/>
      <c r="AE55" s="1358"/>
      <c r="AF55" s="1358"/>
      <c r="AG55" s="1358"/>
      <c r="AH55" s="1358"/>
      <c r="AI55" s="1358"/>
      <c r="AJ55" s="1358"/>
      <c r="AK55" s="1358"/>
    </row>
    <row r="56" spans="1:37" s="1357" customFormat="1" ht="24.75" hidden="1" thickBot="1">
      <c r="A56" s="2769" t="s">
        <v>2871</v>
      </c>
      <c r="B56" s="2770">
        <f>估价对象房地状况!C20</f>
        <v>0</v>
      </c>
      <c r="C56" s="2653" t="str">
        <f>C77</f>
        <v>较好</v>
      </c>
      <c r="D56" s="1273" t="e">
        <f t="shared" si="10"/>
        <v>#VALUE!</v>
      </c>
      <c r="E56" s="823"/>
      <c r="F56" s="2386"/>
      <c r="G56" s="1271" t="str">
        <f t="shared" si="15"/>
        <v>——</v>
      </c>
      <c r="H56" s="1275" t="str">
        <f t="shared" si="11"/>
        <v>——</v>
      </c>
      <c r="I56" s="822">
        <v>0.06</v>
      </c>
      <c r="J56" s="1272" t="e">
        <f t="shared" si="12"/>
        <v>#VALUE!</v>
      </c>
      <c r="K56" s="1272" t="e">
        <f t="shared" si="13"/>
        <v>#VALUE!</v>
      </c>
      <c r="L56" s="1272">
        <v>0</v>
      </c>
      <c r="M56" s="1272" t="e">
        <f t="shared" si="14"/>
        <v>#VALUE!</v>
      </c>
      <c r="N56" s="1272" t="e">
        <f t="shared" si="14"/>
        <v>#VALUE!</v>
      </c>
      <c r="AA56" s="1358"/>
      <c r="AB56" s="1358"/>
      <c r="AC56" s="1358"/>
      <c r="AD56" s="1358"/>
      <c r="AE56" s="1358"/>
      <c r="AF56" s="1358"/>
      <c r="AG56" s="1358"/>
      <c r="AH56" s="1358"/>
      <c r="AI56" s="1358"/>
      <c r="AJ56" s="1358"/>
      <c r="AK56" s="1358"/>
    </row>
    <row r="57" spans="1:37" s="1357" customFormat="1" ht="15" hidden="1">
      <c r="A57" s="2757" t="s">
        <v>2872</v>
      </c>
      <c r="B57" s="2758">
        <f>1+E59</f>
        <v>1</v>
      </c>
      <c r="C57" s="812"/>
      <c r="D57" s="812"/>
      <c r="E57" s="813"/>
      <c r="F57" s="2760"/>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hidden="1">
      <c r="A58" s="2761" t="s">
        <v>2853</v>
      </c>
      <c r="B58" s="1795"/>
      <c r="C58" s="1795" t="s">
        <v>2855</v>
      </c>
      <c r="D58" s="1795" t="s">
        <v>2856</v>
      </c>
      <c r="E58" s="817" t="s">
        <v>2857</v>
      </c>
      <c r="F58" s="2762" t="s">
        <v>2873</v>
      </c>
      <c r="G58" s="1795" t="s">
        <v>754</v>
      </c>
      <c r="H58" s="2763" t="s">
        <v>2859</v>
      </c>
      <c r="I58" s="1795" t="s">
        <v>2860</v>
      </c>
      <c r="J58" s="603" t="s">
        <v>2509</v>
      </c>
      <c r="K58" s="603" t="s">
        <v>2510</v>
      </c>
      <c r="L58" s="603" t="s">
        <v>2511</v>
      </c>
      <c r="M58" s="603" t="s">
        <v>2512</v>
      </c>
      <c r="N58" s="603" t="s">
        <v>2513</v>
      </c>
      <c r="AA58" s="1358"/>
      <c r="AB58" s="1358"/>
      <c r="AC58" s="1358"/>
      <c r="AD58" s="1358"/>
      <c r="AE58" s="1358"/>
      <c r="AF58" s="1358"/>
      <c r="AG58" s="1358"/>
      <c r="AH58" s="1358"/>
      <c r="AI58" s="1358"/>
      <c r="AJ58" s="1358"/>
      <c r="AK58" s="1358"/>
    </row>
    <row r="59" spans="1:37" s="1357" customFormat="1" ht="24" hidden="1">
      <c r="A59" s="2761" t="s">
        <v>2874</v>
      </c>
      <c r="B59" s="2764">
        <f>估价对象房地状况!C17</f>
        <v>0</v>
      </c>
      <c r="C59" s="2653"/>
      <c r="D59" s="1273">
        <f t="shared" ref="D59:D67" si="16">SUMIF($J$58:$N$58,C59,J59:N59)</f>
        <v>0</v>
      </c>
      <c r="E59" s="819">
        <f>ROUND(SUM(D59:D67),4)</f>
        <v>0</v>
      </c>
      <c r="F59" s="2386" t="str">
        <f>IF(E2="办公",SUMIF(L1:L12,G2,N1:N12),"——")</f>
        <v>——</v>
      </c>
      <c r="G59" s="1271"/>
      <c r="H59" s="1275" t="str">
        <f t="shared" ref="H59:H67" si="17">IFERROR(ROUNDDOWN($F$59*I59/2,4),"——")</f>
        <v>——</v>
      </c>
      <c r="I59" s="818">
        <v>0.24</v>
      </c>
      <c r="J59" s="1272">
        <f t="shared" ref="J59:J67" si="18">K59+$G59</f>
        <v>0</v>
      </c>
      <c r="K59" s="1272">
        <f t="shared" ref="K59:K67" si="19">$L59+$G59</f>
        <v>0</v>
      </c>
      <c r="L59" s="1272">
        <v>0</v>
      </c>
      <c r="M59" s="1272">
        <f t="shared" ref="M59:N67" si="20">L59-$G59</f>
        <v>0</v>
      </c>
      <c r="N59" s="1272">
        <f t="shared" si="20"/>
        <v>0</v>
      </c>
      <c r="AA59" s="1358"/>
      <c r="AB59" s="1358"/>
      <c r="AC59" s="1358"/>
      <c r="AD59" s="1358"/>
      <c r="AE59" s="1358"/>
      <c r="AF59" s="1358"/>
      <c r="AG59" s="1358"/>
      <c r="AH59" s="1358"/>
      <c r="AI59" s="1358"/>
      <c r="AJ59" s="1358"/>
      <c r="AK59" s="1358"/>
    </row>
    <row r="60" spans="1:37" s="1357" customFormat="1" ht="14.25" hidden="1">
      <c r="A60" s="2761" t="s">
        <v>2862</v>
      </c>
      <c r="B60" s="2765">
        <f>估价对象房地状况!C18</f>
        <v>0</v>
      </c>
      <c r="C60" s="2653"/>
      <c r="D60" s="1273">
        <f t="shared" si="16"/>
        <v>0</v>
      </c>
      <c r="E60" s="820"/>
      <c r="F60" s="2386"/>
      <c r="G60" s="1271"/>
      <c r="H60" s="1275" t="str">
        <f t="shared" si="17"/>
        <v>——</v>
      </c>
      <c r="I60" s="818">
        <v>0.3</v>
      </c>
      <c r="J60" s="1272">
        <f t="shared" si="18"/>
        <v>0</v>
      </c>
      <c r="K60" s="1272">
        <f t="shared" si="19"/>
        <v>0</v>
      </c>
      <c r="L60" s="1272">
        <v>0</v>
      </c>
      <c r="M60" s="1272">
        <f t="shared" si="20"/>
        <v>0</v>
      </c>
      <c r="N60" s="1272">
        <f t="shared" si="20"/>
        <v>0</v>
      </c>
      <c r="AA60" s="1358"/>
      <c r="AB60" s="1358"/>
      <c r="AC60" s="1358"/>
      <c r="AD60" s="1358"/>
      <c r="AE60" s="1358"/>
      <c r="AF60" s="1358"/>
      <c r="AG60" s="1358"/>
      <c r="AH60" s="1358"/>
      <c r="AI60" s="1358"/>
      <c r="AJ60" s="1358"/>
      <c r="AK60" s="1358"/>
    </row>
    <row r="61" spans="1:37" s="1357" customFormat="1" ht="24" hidden="1">
      <c r="A61" s="2761" t="s">
        <v>2863</v>
      </c>
      <c r="B61" s="2765">
        <f>估价对象房地状况!C19</f>
        <v>0</v>
      </c>
      <c r="C61" s="2653"/>
      <c r="D61" s="1273">
        <f t="shared" si="16"/>
        <v>0</v>
      </c>
      <c r="E61" s="820"/>
      <c r="F61" s="2386"/>
      <c r="G61" s="1271"/>
      <c r="H61" s="1275" t="str">
        <f t="shared" si="17"/>
        <v>——</v>
      </c>
      <c r="I61" s="818">
        <v>0.08</v>
      </c>
      <c r="J61" s="1272">
        <f t="shared" si="18"/>
        <v>0</v>
      </c>
      <c r="K61" s="1272">
        <f t="shared" si="19"/>
        <v>0</v>
      </c>
      <c r="L61" s="1272">
        <v>0</v>
      </c>
      <c r="M61" s="1272">
        <f t="shared" si="20"/>
        <v>0</v>
      </c>
      <c r="N61" s="1272">
        <f t="shared" si="20"/>
        <v>0</v>
      </c>
      <c r="AA61" s="1358"/>
      <c r="AB61" s="1358"/>
      <c r="AC61" s="1358"/>
      <c r="AD61" s="1358"/>
      <c r="AE61" s="1358"/>
      <c r="AF61" s="1358"/>
      <c r="AG61" s="1358"/>
      <c r="AH61" s="1358"/>
      <c r="AI61" s="1358"/>
      <c r="AJ61" s="1358"/>
      <c r="AK61" s="1358"/>
    </row>
    <row r="62" spans="1:37" s="1357" customFormat="1" ht="36.75" hidden="1">
      <c r="A62" s="2761" t="s">
        <v>2864</v>
      </c>
      <c r="B62" s="2766" t="s">
        <v>2865</v>
      </c>
      <c r="C62" s="2653"/>
      <c r="D62" s="1273">
        <f t="shared" si="16"/>
        <v>0</v>
      </c>
      <c r="E62" s="820"/>
      <c r="F62" s="2386"/>
      <c r="G62" s="1271"/>
      <c r="H62" s="1275" t="str">
        <f t="shared" si="17"/>
        <v>——</v>
      </c>
      <c r="I62" s="818">
        <v>0.04</v>
      </c>
      <c r="J62" s="1272">
        <f t="shared" si="18"/>
        <v>0</v>
      </c>
      <c r="K62" s="1272">
        <f t="shared" si="19"/>
        <v>0</v>
      </c>
      <c r="L62" s="1272">
        <v>0</v>
      </c>
      <c r="M62" s="1272">
        <f t="shared" si="20"/>
        <v>0</v>
      </c>
      <c r="N62" s="1272">
        <f t="shared" si="20"/>
        <v>0</v>
      </c>
      <c r="AA62" s="1358"/>
      <c r="AB62" s="1358"/>
      <c r="AC62" s="1358"/>
      <c r="AD62" s="1358"/>
      <c r="AE62" s="1358"/>
      <c r="AF62" s="1358"/>
      <c r="AG62" s="1358"/>
      <c r="AH62" s="1358"/>
      <c r="AI62" s="1358"/>
      <c r="AJ62" s="1358"/>
      <c r="AK62" s="1358"/>
    </row>
    <row r="63" spans="1:37" s="1357" customFormat="1" ht="24" hidden="1">
      <c r="A63" s="2761" t="s">
        <v>2866</v>
      </c>
      <c r="B63" s="2765">
        <f>估价对象房地状况!C24</f>
        <v>0</v>
      </c>
      <c r="C63" s="2653"/>
      <c r="D63" s="1273">
        <f t="shared" si="16"/>
        <v>0</v>
      </c>
      <c r="E63" s="820"/>
      <c r="F63" s="2386"/>
      <c r="G63" s="1271"/>
      <c r="H63" s="1275" t="str">
        <f t="shared" si="17"/>
        <v>——</v>
      </c>
      <c r="I63" s="818">
        <v>0.05</v>
      </c>
      <c r="J63" s="1272">
        <f t="shared" si="18"/>
        <v>0</v>
      </c>
      <c r="K63" s="1272">
        <f t="shared" si="19"/>
        <v>0</v>
      </c>
      <c r="L63" s="1272">
        <v>0</v>
      </c>
      <c r="M63" s="1272">
        <f t="shared" si="20"/>
        <v>0</v>
      </c>
      <c r="N63" s="1272">
        <f t="shared" si="20"/>
        <v>0</v>
      </c>
      <c r="AA63" s="1358"/>
      <c r="AB63" s="1358"/>
      <c r="AC63" s="1358"/>
      <c r="AD63" s="1358"/>
      <c r="AE63" s="1358"/>
      <c r="AF63" s="1358"/>
      <c r="AG63" s="1358"/>
      <c r="AH63" s="1358"/>
      <c r="AI63" s="1358"/>
      <c r="AJ63" s="1358"/>
      <c r="AK63" s="1358"/>
    </row>
    <row r="64" spans="1:37" s="1357" customFormat="1" ht="24" hidden="1">
      <c r="A64" s="2761" t="s">
        <v>2867</v>
      </c>
      <c r="B64" s="2767" t="s">
        <v>2868</v>
      </c>
      <c r="C64" s="2653"/>
      <c r="D64" s="1273">
        <f t="shared" si="16"/>
        <v>0</v>
      </c>
      <c r="E64" s="820"/>
      <c r="F64" s="2386"/>
      <c r="G64" s="1271"/>
      <c r="H64" s="1275" t="str">
        <f t="shared" si="17"/>
        <v>——</v>
      </c>
      <c r="I64" s="818">
        <v>0.05</v>
      </c>
      <c r="J64" s="1272">
        <f t="shared" si="18"/>
        <v>0</v>
      </c>
      <c r="K64" s="1272">
        <f t="shared" si="19"/>
        <v>0</v>
      </c>
      <c r="L64" s="1272">
        <v>0</v>
      </c>
      <c r="M64" s="1272">
        <f t="shared" si="20"/>
        <v>0</v>
      </c>
      <c r="N64" s="1272">
        <f t="shared" si="20"/>
        <v>0</v>
      </c>
      <c r="AA64" s="1358"/>
      <c r="AB64" s="1358"/>
      <c r="AC64" s="1358"/>
      <c r="AD64" s="1358"/>
      <c r="AE64" s="1358"/>
      <c r="AF64" s="1358"/>
      <c r="AG64" s="1358"/>
      <c r="AH64" s="1358"/>
      <c r="AI64" s="1358"/>
      <c r="AJ64" s="1358"/>
      <c r="AK64" s="1358"/>
    </row>
    <row r="65" spans="1:37" s="1357" customFormat="1" ht="24" hidden="1">
      <c r="A65" s="2761" t="s">
        <v>2869</v>
      </c>
      <c r="B65" s="1711">
        <f>估价对象房地状况!C21</f>
        <v>0</v>
      </c>
      <c r="C65" s="2653"/>
      <c r="D65" s="1273">
        <f t="shared" si="16"/>
        <v>0</v>
      </c>
      <c r="E65" s="820"/>
      <c r="F65" s="2386"/>
      <c r="G65" s="1271"/>
      <c r="H65" s="1275" t="str">
        <f t="shared" si="17"/>
        <v>——</v>
      </c>
      <c r="I65" s="818">
        <v>0.06</v>
      </c>
      <c r="J65" s="1272">
        <f t="shared" si="18"/>
        <v>0</v>
      </c>
      <c r="K65" s="1272">
        <f t="shared" si="19"/>
        <v>0</v>
      </c>
      <c r="L65" s="1272">
        <v>0</v>
      </c>
      <c r="M65" s="1272">
        <f t="shared" si="20"/>
        <v>0</v>
      </c>
      <c r="N65" s="1272">
        <f t="shared" si="20"/>
        <v>0</v>
      </c>
      <c r="AA65" s="1358"/>
      <c r="AB65" s="1358"/>
      <c r="AC65" s="1358"/>
      <c r="AD65" s="1358"/>
      <c r="AE65" s="1358"/>
      <c r="AF65" s="1358"/>
      <c r="AG65" s="1358"/>
      <c r="AH65" s="1358"/>
      <c r="AI65" s="1358"/>
      <c r="AJ65" s="1358"/>
      <c r="AK65" s="1358"/>
    </row>
    <row r="66" spans="1:37" s="1357" customFormat="1" ht="24" hidden="1">
      <c r="A66" s="2761" t="s">
        <v>2870</v>
      </c>
      <c r="B66" s="1711">
        <f>估价对象房地状况!C22</f>
        <v>0</v>
      </c>
      <c r="C66" s="2653"/>
      <c r="D66" s="1273">
        <f t="shared" si="16"/>
        <v>0</v>
      </c>
      <c r="E66" s="820"/>
      <c r="F66" s="2386"/>
      <c r="G66" s="1271"/>
      <c r="H66" s="1275" t="str">
        <f t="shared" si="17"/>
        <v>——</v>
      </c>
      <c r="I66" s="818">
        <v>0.12</v>
      </c>
      <c r="J66" s="1272">
        <f t="shared" si="18"/>
        <v>0</v>
      </c>
      <c r="K66" s="1272">
        <f t="shared" si="19"/>
        <v>0</v>
      </c>
      <c r="L66" s="1272">
        <v>0</v>
      </c>
      <c r="M66" s="1272">
        <f t="shared" si="20"/>
        <v>0</v>
      </c>
      <c r="N66" s="1272">
        <f t="shared" si="20"/>
        <v>0</v>
      </c>
      <c r="AA66" s="1358"/>
      <c r="AB66" s="1358"/>
      <c r="AC66" s="1358"/>
      <c r="AD66" s="1358"/>
      <c r="AE66" s="1358"/>
      <c r="AF66" s="1358"/>
      <c r="AG66" s="1358"/>
      <c r="AH66" s="1358"/>
      <c r="AI66" s="1358"/>
      <c r="AJ66" s="1358"/>
      <c r="AK66" s="1358"/>
    </row>
    <row r="67" spans="1:37" s="1357" customFormat="1" ht="24.75" hidden="1" thickBot="1">
      <c r="A67" s="2769" t="s">
        <v>2871</v>
      </c>
      <c r="B67" s="2771">
        <f>估价对象房地状况!C20</f>
        <v>0</v>
      </c>
      <c r="C67" s="2653"/>
      <c r="D67" s="1273">
        <f t="shared" si="16"/>
        <v>0</v>
      </c>
      <c r="E67" s="823"/>
      <c r="F67" s="2386"/>
      <c r="G67" s="1271"/>
      <c r="H67" s="1275" t="str">
        <f t="shared" si="17"/>
        <v>——</v>
      </c>
      <c r="I67" s="822">
        <v>0.06</v>
      </c>
      <c r="J67" s="1272">
        <f t="shared" si="18"/>
        <v>0</v>
      </c>
      <c r="K67" s="1272">
        <f t="shared" si="19"/>
        <v>0</v>
      </c>
      <c r="L67" s="1272">
        <v>0</v>
      </c>
      <c r="M67" s="1272">
        <f t="shared" si="20"/>
        <v>0</v>
      </c>
      <c r="N67" s="1272">
        <f t="shared" si="20"/>
        <v>0</v>
      </c>
      <c r="AA67" s="1358"/>
      <c r="AB67" s="1358"/>
      <c r="AC67" s="1358"/>
      <c r="AD67" s="1358"/>
      <c r="AE67" s="1358"/>
      <c r="AF67" s="1358"/>
      <c r="AG67" s="1358"/>
      <c r="AH67" s="1358"/>
      <c r="AI67" s="1358"/>
      <c r="AJ67" s="1358"/>
      <c r="AK67" s="1358"/>
    </row>
    <row r="68" spans="1:37" s="1357" customFormat="1" ht="15">
      <c r="A68" s="2757" t="s">
        <v>2875</v>
      </c>
      <c r="B68" s="2758">
        <f>1+E70</f>
        <v>1.0616000000000001</v>
      </c>
      <c r="C68" s="812"/>
      <c r="D68" s="812"/>
      <c r="E68" s="813"/>
      <c r="F68" s="2760"/>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761" t="s">
        <v>2853</v>
      </c>
      <c r="B69" s="1795"/>
      <c r="C69" s="1795" t="s">
        <v>2855</v>
      </c>
      <c r="D69" s="1795" t="s">
        <v>2856</v>
      </c>
      <c r="E69" s="817" t="s">
        <v>2857</v>
      </c>
      <c r="F69" s="2762" t="s">
        <v>2873</v>
      </c>
      <c r="G69" s="1795" t="s">
        <v>754</v>
      </c>
      <c r="H69" s="2763" t="s">
        <v>2859</v>
      </c>
      <c r="I69" s="1795" t="s">
        <v>2860</v>
      </c>
      <c r="J69" s="603" t="s">
        <v>2509</v>
      </c>
      <c r="K69" s="603" t="s">
        <v>2510</v>
      </c>
      <c r="L69" s="603" t="s">
        <v>2511</v>
      </c>
      <c r="M69" s="603" t="s">
        <v>2512</v>
      </c>
      <c r="N69" s="603" t="s">
        <v>2513</v>
      </c>
      <c r="AA69" s="1358"/>
      <c r="AB69" s="1358"/>
      <c r="AC69" s="1358"/>
      <c r="AD69" s="1358"/>
      <c r="AE69" s="1358"/>
      <c r="AF69" s="1358"/>
      <c r="AG69" s="1358"/>
      <c r="AH69" s="1358"/>
      <c r="AI69" s="1358"/>
      <c r="AJ69" s="1358"/>
      <c r="AK69" s="1358"/>
    </row>
    <row r="70" spans="1:37" s="1357" customFormat="1" ht="24">
      <c r="A70" s="2761" t="s">
        <v>2876</v>
      </c>
      <c r="B70" s="2764">
        <f>估价对象房地状况!C15</f>
        <v>0</v>
      </c>
      <c r="C70" s="2653" t="str">
        <f>'比较法-住宅'!C16</f>
        <v>较好</v>
      </c>
      <c r="D70" s="1273">
        <f t="shared" ref="D70:D78" si="21">SUMIF($J$69:$N$69,C70,J70:N70)</f>
        <v>6.7000000000000002E-3</v>
      </c>
      <c r="E70" s="819">
        <f>ROUND(SUM(D70:D78),4)</f>
        <v>6.1600000000000002E-2</v>
      </c>
      <c r="F70" s="2386">
        <f>IF(E2="住宅",SUMIF(L1:L12,G2,N1:N12),"——")</f>
        <v>9.6000000000000002E-2</v>
      </c>
      <c r="G70" s="1271">
        <f>H70</f>
        <v>6.7000000000000002E-3</v>
      </c>
      <c r="H70" s="1275">
        <f t="shared" ref="H70:H78" si="22">IFERROR(ROUNDDOWN($F$70*I70/2,4),"——")</f>
        <v>6.7000000000000002E-3</v>
      </c>
      <c r="I70" s="818">
        <v>0.14000000000000001</v>
      </c>
      <c r="J70" s="1272">
        <f t="shared" ref="J70:J78" si="23">K70+$G70</f>
        <v>1.34E-2</v>
      </c>
      <c r="K70" s="1272">
        <f t="shared" ref="K70:K78" si="24">$L70+$G70</f>
        <v>6.7000000000000002E-3</v>
      </c>
      <c r="L70" s="1272">
        <v>0</v>
      </c>
      <c r="M70" s="1272">
        <f t="shared" ref="M70:N78" si="25">L70-$G70</f>
        <v>-6.7000000000000002E-3</v>
      </c>
      <c r="N70" s="1272">
        <f t="shared" si="25"/>
        <v>-1.34E-2</v>
      </c>
      <c r="AA70" s="1358"/>
      <c r="AB70" s="1358"/>
      <c r="AC70" s="1358"/>
      <c r="AD70" s="1358"/>
      <c r="AE70" s="1358"/>
      <c r="AF70" s="1358"/>
      <c r="AG70" s="1358"/>
      <c r="AH70" s="1358"/>
      <c r="AI70" s="1358"/>
      <c r="AJ70" s="1358"/>
      <c r="AK70" s="1358"/>
    </row>
    <row r="71" spans="1:37" s="1357" customFormat="1" ht="14.25">
      <c r="A71" s="2761" t="s">
        <v>2862</v>
      </c>
      <c r="B71" s="2765">
        <f>估价对象房地状况!C18</f>
        <v>0</v>
      </c>
      <c r="C71" s="2653" t="str">
        <f>'比较法-住宅'!C18</f>
        <v>较好</v>
      </c>
      <c r="D71" s="1273">
        <f t="shared" si="21"/>
        <v>1.44E-2</v>
      </c>
      <c r="E71" s="824"/>
      <c r="F71" s="2386"/>
      <c r="G71" s="1271">
        <f t="shared" ref="G71:G78" si="26">H71</f>
        <v>1.44E-2</v>
      </c>
      <c r="H71" s="1275">
        <f t="shared" si="22"/>
        <v>1.44E-2</v>
      </c>
      <c r="I71" s="818">
        <v>0.3</v>
      </c>
      <c r="J71" s="1272">
        <f t="shared" si="23"/>
        <v>2.8799999999999999E-2</v>
      </c>
      <c r="K71" s="1272">
        <f t="shared" si="24"/>
        <v>1.44E-2</v>
      </c>
      <c r="L71" s="1272">
        <v>0</v>
      </c>
      <c r="M71" s="1272">
        <f t="shared" si="25"/>
        <v>-1.44E-2</v>
      </c>
      <c r="N71" s="1272">
        <f t="shared" si="25"/>
        <v>-2.8799999999999999E-2</v>
      </c>
      <c r="AA71" s="1358"/>
      <c r="AB71" s="1358"/>
      <c r="AC71" s="1358"/>
      <c r="AD71" s="1358"/>
      <c r="AE71" s="1358"/>
      <c r="AF71" s="1358"/>
      <c r="AG71" s="1358"/>
      <c r="AH71" s="1358"/>
      <c r="AI71" s="1358"/>
      <c r="AJ71" s="1358"/>
      <c r="AK71" s="1358"/>
    </row>
    <row r="72" spans="1:37" s="1357" customFormat="1" ht="24">
      <c r="A72" s="2761" t="s">
        <v>2863</v>
      </c>
      <c r="B72" s="2765">
        <f>估价对象房地状况!C19</f>
        <v>0</v>
      </c>
      <c r="C72" s="2653" t="s">
        <v>3548</v>
      </c>
      <c r="D72" s="1273">
        <f t="shared" si="21"/>
        <v>3.8E-3</v>
      </c>
      <c r="E72" s="824"/>
      <c r="F72" s="2386"/>
      <c r="G72" s="1271">
        <f t="shared" si="26"/>
        <v>3.8E-3</v>
      </c>
      <c r="H72" s="1275">
        <f t="shared" si="22"/>
        <v>3.8E-3</v>
      </c>
      <c r="I72" s="818">
        <v>0.08</v>
      </c>
      <c r="J72" s="1272">
        <f t="shared" si="23"/>
        <v>7.6E-3</v>
      </c>
      <c r="K72" s="1272">
        <f t="shared" si="24"/>
        <v>3.8E-3</v>
      </c>
      <c r="L72" s="1272">
        <v>0</v>
      </c>
      <c r="M72" s="1272">
        <f t="shared" si="25"/>
        <v>-3.8E-3</v>
      </c>
      <c r="N72" s="1272">
        <f t="shared" si="25"/>
        <v>-7.6E-3</v>
      </c>
      <c r="AA72" s="1358"/>
      <c r="AB72" s="1358"/>
      <c r="AC72" s="1358"/>
      <c r="AD72" s="1358"/>
      <c r="AE72" s="1358"/>
      <c r="AF72" s="1358"/>
      <c r="AG72" s="1358"/>
      <c r="AH72" s="1358"/>
      <c r="AI72" s="1358"/>
      <c r="AJ72" s="1358"/>
      <c r="AK72" s="1358"/>
    </row>
    <row r="73" spans="1:37" s="1357" customFormat="1" ht="14.25">
      <c r="A73" s="2761" t="s">
        <v>2877</v>
      </c>
      <c r="B73" s="2765">
        <f>估价对象房地状况!C24</f>
        <v>0</v>
      </c>
      <c r="C73" s="2653" t="s">
        <v>3548</v>
      </c>
      <c r="D73" s="1273">
        <f t="shared" si="21"/>
        <v>1.9E-3</v>
      </c>
      <c r="E73" s="824"/>
      <c r="F73" s="2386"/>
      <c r="G73" s="1271">
        <f t="shared" si="26"/>
        <v>1.9E-3</v>
      </c>
      <c r="H73" s="1275">
        <f t="shared" si="22"/>
        <v>1.9E-3</v>
      </c>
      <c r="I73" s="818">
        <v>0.04</v>
      </c>
      <c r="J73" s="1272">
        <f t="shared" si="23"/>
        <v>3.8E-3</v>
      </c>
      <c r="K73" s="1272">
        <f t="shared" si="24"/>
        <v>1.9E-3</v>
      </c>
      <c r="L73" s="1272">
        <v>0</v>
      </c>
      <c r="M73" s="1272">
        <f t="shared" si="25"/>
        <v>-1.9E-3</v>
      </c>
      <c r="N73" s="1272">
        <f t="shared" si="25"/>
        <v>-3.8E-3</v>
      </c>
      <c r="AA73" s="1358"/>
      <c r="AB73" s="1358"/>
      <c r="AC73" s="1358"/>
      <c r="AD73" s="1358"/>
      <c r="AE73" s="1358"/>
      <c r="AF73" s="1358"/>
      <c r="AG73" s="1358"/>
      <c r="AH73" s="1358"/>
      <c r="AI73" s="1358"/>
      <c r="AJ73" s="1358"/>
      <c r="AK73" s="1358"/>
    </row>
    <row r="74" spans="1:37" s="1357" customFormat="1" ht="24">
      <c r="A74" s="2761" t="s">
        <v>2869</v>
      </c>
      <c r="B74" s="1711">
        <f>估价对象房地状况!C21</f>
        <v>0</v>
      </c>
      <c r="C74" s="2653" t="s">
        <v>3549</v>
      </c>
      <c r="D74" s="1273">
        <f t="shared" si="21"/>
        <v>7.6E-3</v>
      </c>
      <c r="E74" s="824"/>
      <c r="F74" s="2386"/>
      <c r="G74" s="1271">
        <f t="shared" si="26"/>
        <v>3.8E-3</v>
      </c>
      <c r="H74" s="1275">
        <f t="shared" si="22"/>
        <v>3.8E-3</v>
      </c>
      <c r="I74" s="818">
        <v>0.08</v>
      </c>
      <c r="J74" s="1272">
        <f t="shared" si="23"/>
        <v>7.6E-3</v>
      </c>
      <c r="K74" s="1272">
        <f t="shared" si="24"/>
        <v>3.8E-3</v>
      </c>
      <c r="L74" s="1272">
        <v>0</v>
      </c>
      <c r="M74" s="1272">
        <f t="shared" si="25"/>
        <v>-3.8E-3</v>
      </c>
      <c r="N74" s="1272">
        <f t="shared" si="25"/>
        <v>-7.6E-3</v>
      </c>
      <c r="AA74" s="1358"/>
      <c r="AB74" s="1358"/>
      <c r="AC74" s="1358"/>
      <c r="AD74" s="1358"/>
      <c r="AE74" s="1358"/>
      <c r="AF74" s="1358"/>
      <c r="AG74" s="1358"/>
      <c r="AH74" s="1358"/>
      <c r="AI74" s="1358"/>
      <c r="AJ74" s="1358"/>
      <c r="AK74" s="1358"/>
    </row>
    <row r="75" spans="1:37" s="1357" customFormat="1" ht="24">
      <c r="A75" s="2761" t="s">
        <v>2870</v>
      </c>
      <c r="B75" s="1711">
        <f>估价对象房地状况!C22</f>
        <v>0</v>
      </c>
      <c r="C75" s="2653" t="s">
        <v>3549</v>
      </c>
      <c r="D75" s="1273">
        <f t="shared" si="21"/>
        <v>1.14E-2</v>
      </c>
      <c r="E75" s="824"/>
      <c r="F75" s="2386"/>
      <c r="G75" s="1271">
        <f t="shared" si="26"/>
        <v>5.7000000000000002E-3</v>
      </c>
      <c r="H75" s="1275">
        <f t="shared" si="22"/>
        <v>5.7000000000000002E-3</v>
      </c>
      <c r="I75" s="818">
        <v>0.12</v>
      </c>
      <c r="J75" s="1272">
        <f t="shared" si="23"/>
        <v>1.14E-2</v>
      </c>
      <c r="K75" s="1272">
        <f t="shared" si="24"/>
        <v>5.7000000000000002E-3</v>
      </c>
      <c r="L75" s="1272">
        <v>0</v>
      </c>
      <c r="M75" s="1272">
        <f t="shared" si="25"/>
        <v>-5.7000000000000002E-3</v>
      </c>
      <c r="N75" s="1272">
        <f t="shared" si="25"/>
        <v>-1.14E-2</v>
      </c>
      <c r="AA75" s="1358"/>
      <c r="AB75" s="1358"/>
      <c r="AC75" s="1358"/>
      <c r="AD75" s="1358"/>
      <c r="AE75" s="1358"/>
      <c r="AF75" s="1358"/>
      <c r="AG75" s="1358"/>
      <c r="AH75" s="1358"/>
      <c r="AI75" s="1358"/>
      <c r="AJ75" s="1358"/>
      <c r="AK75" s="1358"/>
    </row>
    <row r="76" spans="1:37" s="2602" customFormat="1" ht="24">
      <c r="A76" s="2761" t="s">
        <v>2867</v>
      </c>
      <c r="B76" s="2767"/>
      <c r="C76" s="2653" t="s">
        <v>3549</v>
      </c>
      <c r="D76" s="1273">
        <f t="shared" si="21"/>
        <v>4.7999999999999996E-3</v>
      </c>
      <c r="E76" s="824"/>
      <c r="F76" s="2386"/>
      <c r="G76" s="1271">
        <f t="shared" si="26"/>
        <v>2.3999999999999998E-3</v>
      </c>
      <c r="H76" s="1275">
        <f t="shared" si="22"/>
        <v>2.3999999999999998E-3</v>
      </c>
      <c r="I76" s="818">
        <v>0.05</v>
      </c>
      <c r="J76" s="1272">
        <f t="shared" si="23"/>
        <v>4.7999999999999996E-3</v>
      </c>
      <c r="K76" s="1272">
        <f t="shared" si="24"/>
        <v>2.3999999999999998E-3</v>
      </c>
      <c r="L76" s="1272">
        <v>0</v>
      </c>
      <c r="M76" s="1272">
        <f t="shared" si="25"/>
        <v>-2.3999999999999998E-3</v>
      </c>
      <c r="N76" s="1272">
        <f t="shared" si="25"/>
        <v>-4.7999999999999996E-3</v>
      </c>
      <c r="AA76" s="2772"/>
      <c r="AB76" s="1358"/>
      <c r="AC76" s="1358"/>
      <c r="AD76" s="1358"/>
      <c r="AE76" s="1358"/>
      <c r="AF76" s="1358"/>
      <c r="AG76" s="1358"/>
      <c r="AH76" s="2772"/>
      <c r="AI76" s="2772"/>
      <c r="AJ76" s="2772"/>
      <c r="AK76" s="2772"/>
    </row>
    <row r="77" spans="1:37" ht="24">
      <c r="A77" s="2761" t="s">
        <v>2871</v>
      </c>
      <c r="B77" s="2764">
        <f>估价对象房地状况!C20</f>
        <v>0</v>
      </c>
      <c r="C77" s="2653" t="str">
        <f>'比较法-住宅'!C24</f>
        <v>较好</v>
      </c>
      <c r="D77" s="1273">
        <f t="shared" si="21"/>
        <v>7.1999999999999998E-3</v>
      </c>
      <c r="E77" s="824"/>
      <c r="F77" s="2386"/>
      <c r="G77" s="1271">
        <f t="shared" si="26"/>
        <v>7.1999999999999998E-3</v>
      </c>
      <c r="H77" s="1275">
        <f t="shared" si="22"/>
        <v>7.1999999999999998E-3</v>
      </c>
      <c r="I77" s="818">
        <v>0.15</v>
      </c>
      <c r="J77" s="1272">
        <f t="shared" si="23"/>
        <v>1.44E-2</v>
      </c>
      <c r="K77" s="1272">
        <f t="shared" si="24"/>
        <v>7.1999999999999998E-3</v>
      </c>
      <c r="L77" s="1272">
        <v>0</v>
      </c>
      <c r="M77" s="1272">
        <f t="shared" si="25"/>
        <v>-7.1999999999999998E-3</v>
      </c>
      <c r="N77" s="1272">
        <f t="shared" si="25"/>
        <v>-1.44E-2</v>
      </c>
      <c r="Z77" s="2603"/>
      <c r="AA77" s="2679"/>
      <c r="AG77" s="1359"/>
      <c r="AK77" s="2679"/>
    </row>
    <row r="78" spans="1:37" ht="24.75" thickBot="1">
      <c r="A78" s="2769" t="s">
        <v>2878</v>
      </c>
      <c r="B78" s="2773"/>
      <c r="C78" s="2653" t="s">
        <v>3549</v>
      </c>
      <c r="D78" s="1273">
        <f t="shared" si="21"/>
        <v>3.8E-3</v>
      </c>
      <c r="E78" s="825"/>
      <c r="F78" s="2386"/>
      <c r="G78" s="1271">
        <f t="shared" si="26"/>
        <v>1.9E-3</v>
      </c>
      <c r="H78" s="1275">
        <f t="shared" si="22"/>
        <v>1.9E-3</v>
      </c>
      <c r="I78" s="822">
        <v>0.04</v>
      </c>
      <c r="J78" s="1272">
        <f t="shared" si="23"/>
        <v>3.8E-3</v>
      </c>
      <c r="K78" s="1272">
        <f t="shared" si="24"/>
        <v>1.9E-3</v>
      </c>
      <c r="L78" s="1272">
        <v>0</v>
      </c>
      <c r="M78" s="1272">
        <f t="shared" si="25"/>
        <v>-1.9E-3</v>
      </c>
      <c r="N78" s="1272">
        <f t="shared" si="25"/>
        <v>-3.8E-3</v>
      </c>
      <c r="Z78" s="2603"/>
      <c r="AA78" s="2679"/>
      <c r="AG78" s="1359"/>
      <c r="AK78" s="2679"/>
    </row>
    <row r="79" spans="1:37" ht="15" hidden="1">
      <c r="A79" s="2757" t="s">
        <v>2879</v>
      </c>
      <c r="B79" s="2758">
        <f>1+E81</f>
        <v>1</v>
      </c>
      <c r="C79" s="812"/>
      <c r="D79" s="812"/>
      <c r="E79" s="813"/>
      <c r="F79" s="2760"/>
      <c r="G79" s="6"/>
      <c r="H79" s="6"/>
      <c r="I79" s="6"/>
      <c r="J79" s="7"/>
      <c r="K79" s="7"/>
      <c r="L79" s="7"/>
      <c r="M79" s="7"/>
      <c r="N79" s="7"/>
      <c r="Z79" s="2603"/>
      <c r="AA79" s="2679"/>
      <c r="AG79" s="1359"/>
      <c r="AK79" s="2679"/>
    </row>
    <row r="80" spans="1:37" ht="24.75" hidden="1">
      <c r="A80" s="2761" t="s">
        <v>2853</v>
      </c>
      <c r="B80" s="1795"/>
      <c r="C80" s="1795" t="s">
        <v>2855</v>
      </c>
      <c r="D80" s="1795" t="s">
        <v>2856</v>
      </c>
      <c r="E80" s="817" t="s">
        <v>2857</v>
      </c>
      <c r="F80" s="2762" t="s">
        <v>2873</v>
      </c>
      <c r="G80" s="1795" t="s">
        <v>754</v>
      </c>
      <c r="H80" s="2763" t="s">
        <v>2859</v>
      </c>
      <c r="I80" s="1795" t="s">
        <v>2860</v>
      </c>
      <c r="J80" s="603" t="s">
        <v>2509</v>
      </c>
      <c r="K80" s="603" t="s">
        <v>2510</v>
      </c>
      <c r="L80" s="603" t="s">
        <v>2511</v>
      </c>
      <c r="M80" s="603" t="s">
        <v>2512</v>
      </c>
      <c r="N80" s="603" t="s">
        <v>2513</v>
      </c>
      <c r="Z80" s="2603"/>
      <c r="AA80" s="2679"/>
      <c r="AG80" s="1359"/>
      <c r="AK80" s="2679"/>
    </row>
    <row r="81" spans="1:37" ht="24" hidden="1">
      <c r="A81" s="2761" t="s">
        <v>2880</v>
      </c>
      <c r="B81" s="2765">
        <f>估价对象房地状况!G15</f>
        <v>0</v>
      </c>
      <c r="C81" s="2653"/>
      <c r="D81" s="1273">
        <f t="shared" ref="D81:D88" si="27">SUMIF($J$80:$N$80,C81,J81:N81)</f>
        <v>0</v>
      </c>
      <c r="E81" s="819">
        <f>ROUND(SUM(D81:D88),4)</f>
        <v>0</v>
      </c>
      <c r="F81" s="2386" t="str">
        <f>IF(E2="工业",SUMIF(L1:L12,G2,N1:N12),"——")</f>
        <v>——</v>
      </c>
      <c r="G81" s="1271"/>
      <c r="H81" s="1275" t="str">
        <f t="shared" ref="H81:H88" si="28">IFERROR(ROUNDDOWN($F$81*I81/2,4),"——")</f>
        <v>——</v>
      </c>
      <c r="I81" s="818">
        <v>0.26</v>
      </c>
      <c r="J81" s="1272">
        <f t="shared" ref="J81:J88" si="29">K81+$G81</f>
        <v>0</v>
      </c>
      <c r="K81" s="1272">
        <f t="shared" ref="K81:K88" si="30">$L81+$G81</f>
        <v>0</v>
      </c>
      <c r="L81" s="1272">
        <v>0</v>
      </c>
      <c r="M81" s="1272">
        <f t="shared" ref="M81:N88" si="31">L81-$G81</f>
        <v>0</v>
      </c>
      <c r="N81" s="1272">
        <f t="shared" si="31"/>
        <v>0</v>
      </c>
      <c r="Z81" s="2603"/>
      <c r="AA81" s="2679"/>
      <c r="AG81" s="1359"/>
      <c r="AK81" s="2679"/>
    </row>
    <row r="82" spans="1:37" ht="14.25" hidden="1">
      <c r="A82" s="2761" t="s">
        <v>2862</v>
      </c>
      <c r="B82" s="2765">
        <f>估价对象房地状况!G16</f>
        <v>0</v>
      </c>
      <c r="C82" s="2653"/>
      <c r="D82" s="1273">
        <f t="shared" si="27"/>
        <v>0</v>
      </c>
      <c r="E82" s="824"/>
      <c r="F82" s="2386"/>
      <c r="G82" s="1271"/>
      <c r="H82" s="1275" t="str">
        <f t="shared" si="28"/>
        <v>——</v>
      </c>
      <c r="I82" s="818">
        <v>0.33</v>
      </c>
      <c r="J82" s="1272">
        <f t="shared" si="29"/>
        <v>0</v>
      </c>
      <c r="K82" s="1272">
        <f t="shared" si="30"/>
        <v>0</v>
      </c>
      <c r="L82" s="1272">
        <v>0</v>
      </c>
      <c r="M82" s="1272">
        <f t="shared" si="31"/>
        <v>0</v>
      </c>
      <c r="N82" s="1272">
        <f t="shared" si="31"/>
        <v>0</v>
      </c>
      <c r="Z82" s="2603"/>
      <c r="AA82" s="2679"/>
      <c r="AG82" s="1359"/>
      <c r="AK82" s="2679"/>
    </row>
    <row r="83" spans="1:37" ht="24" hidden="1">
      <c r="A83" s="2761" t="s">
        <v>2863</v>
      </c>
      <c r="B83" s="2765">
        <f>估价对象房地状况!G17</f>
        <v>0</v>
      </c>
      <c r="C83" s="2653"/>
      <c r="D83" s="1273">
        <f t="shared" si="27"/>
        <v>0</v>
      </c>
      <c r="E83" s="824"/>
      <c r="F83" s="2386"/>
      <c r="G83" s="1271"/>
      <c r="H83" s="1275" t="str">
        <f t="shared" si="28"/>
        <v>——</v>
      </c>
      <c r="I83" s="818">
        <v>0.05</v>
      </c>
      <c r="J83" s="1272">
        <f t="shared" si="29"/>
        <v>0</v>
      </c>
      <c r="K83" s="1272">
        <f t="shared" si="30"/>
        <v>0</v>
      </c>
      <c r="L83" s="1272">
        <v>0</v>
      </c>
      <c r="M83" s="1272">
        <f t="shared" si="31"/>
        <v>0</v>
      </c>
      <c r="N83" s="1272">
        <f t="shared" si="31"/>
        <v>0</v>
      </c>
      <c r="Z83" s="2603"/>
      <c r="AA83" s="2679"/>
      <c r="AG83" s="1359"/>
      <c r="AK83" s="2679"/>
    </row>
    <row r="84" spans="1:37" ht="14.25" hidden="1">
      <c r="A84" s="2761" t="s">
        <v>2877</v>
      </c>
      <c r="B84" s="2765">
        <f>估价对象房地状况!G22</f>
        <v>0</v>
      </c>
      <c r="C84" s="2653"/>
      <c r="D84" s="1273">
        <f t="shared" si="27"/>
        <v>0</v>
      </c>
      <c r="E84" s="824"/>
      <c r="F84" s="2386"/>
      <c r="G84" s="1271"/>
      <c r="H84" s="1275" t="str">
        <f t="shared" si="28"/>
        <v>——</v>
      </c>
      <c r="I84" s="818">
        <v>0.04</v>
      </c>
      <c r="J84" s="1272">
        <f t="shared" si="29"/>
        <v>0</v>
      </c>
      <c r="K84" s="1272">
        <f t="shared" si="30"/>
        <v>0</v>
      </c>
      <c r="L84" s="1272">
        <v>0</v>
      </c>
      <c r="M84" s="1272">
        <f t="shared" si="31"/>
        <v>0</v>
      </c>
      <c r="N84" s="1272">
        <f t="shared" si="31"/>
        <v>0</v>
      </c>
      <c r="Z84" s="2603"/>
      <c r="AA84" s="2679"/>
      <c r="AG84" s="1359"/>
      <c r="AK84" s="2679"/>
    </row>
    <row r="85" spans="1:37" ht="24" hidden="1">
      <c r="A85" s="2761" t="s">
        <v>2869</v>
      </c>
      <c r="B85" s="1711">
        <f>估价对象房地状况!G19</f>
        <v>0</v>
      </c>
      <c r="C85" s="2653"/>
      <c r="D85" s="1273">
        <f t="shared" si="27"/>
        <v>0</v>
      </c>
      <c r="E85" s="824"/>
      <c r="F85" s="2386"/>
      <c r="G85" s="1271"/>
      <c r="H85" s="1275" t="str">
        <f t="shared" si="28"/>
        <v>——</v>
      </c>
      <c r="I85" s="818">
        <v>0.06</v>
      </c>
      <c r="J85" s="1272">
        <f t="shared" si="29"/>
        <v>0</v>
      </c>
      <c r="K85" s="1272">
        <f t="shared" si="30"/>
        <v>0</v>
      </c>
      <c r="L85" s="1272">
        <v>0</v>
      </c>
      <c r="M85" s="1272">
        <f t="shared" si="31"/>
        <v>0</v>
      </c>
      <c r="N85" s="1272">
        <f t="shared" si="31"/>
        <v>0</v>
      </c>
      <c r="Z85" s="2603"/>
      <c r="AA85" s="2679"/>
      <c r="AG85" s="1359"/>
      <c r="AK85" s="2679"/>
    </row>
    <row r="86" spans="1:37" ht="24" hidden="1">
      <c r="A86" s="2761" t="s">
        <v>2870</v>
      </c>
      <c r="B86" s="1711">
        <f>估价对象房地状况!G20</f>
        <v>0</v>
      </c>
      <c r="C86" s="2653"/>
      <c r="D86" s="1273">
        <f t="shared" si="27"/>
        <v>0</v>
      </c>
      <c r="E86" s="824"/>
      <c r="F86" s="2386"/>
      <c r="G86" s="1271"/>
      <c r="H86" s="1275" t="str">
        <f t="shared" si="28"/>
        <v>——</v>
      </c>
      <c r="I86" s="818">
        <v>0.15</v>
      </c>
      <c r="J86" s="1272">
        <f t="shared" si="29"/>
        <v>0</v>
      </c>
      <c r="K86" s="1272">
        <f t="shared" si="30"/>
        <v>0</v>
      </c>
      <c r="L86" s="1272">
        <v>0</v>
      </c>
      <c r="M86" s="1272">
        <f t="shared" si="31"/>
        <v>0</v>
      </c>
      <c r="N86" s="1272">
        <f t="shared" si="31"/>
        <v>0</v>
      </c>
      <c r="Z86" s="2603"/>
      <c r="AA86" s="2679"/>
      <c r="AG86" s="1359"/>
      <c r="AK86" s="2679"/>
    </row>
    <row r="87" spans="1:37" ht="24" hidden="1">
      <c r="A87" s="2761" t="s">
        <v>2867</v>
      </c>
      <c r="B87" s="2767" t="s">
        <v>2881</v>
      </c>
      <c r="C87" s="2653"/>
      <c r="D87" s="1273">
        <f t="shared" si="27"/>
        <v>0</v>
      </c>
      <c r="E87" s="824"/>
      <c r="F87" s="2386"/>
      <c r="G87" s="1271"/>
      <c r="H87" s="1275" t="str">
        <f t="shared" si="28"/>
        <v>——</v>
      </c>
      <c r="I87" s="818">
        <v>0.05</v>
      </c>
      <c r="J87" s="1272">
        <f t="shared" si="29"/>
        <v>0</v>
      </c>
      <c r="K87" s="1272">
        <f t="shared" si="30"/>
        <v>0</v>
      </c>
      <c r="L87" s="1272">
        <v>0</v>
      </c>
      <c r="M87" s="1272">
        <f t="shared" si="31"/>
        <v>0</v>
      </c>
      <c r="N87" s="1272">
        <f t="shared" si="31"/>
        <v>0</v>
      </c>
      <c r="Z87" s="2603"/>
      <c r="AA87" s="2679"/>
      <c r="AG87" s="1359"/>
      <c r="AK87" s="2679"/>
    </row>
    <row r="88" spans="1:37" ht="15" hidden="1" thickBot="1">
      <c r="A88" s="2769" t="s">
        <v>2882</v>
      </c>
      <c r="B88" s="2774">
        <f>估价对象房地状况!G18</f>
        <v>0</v>
      </c>
      <c r="C88" s="2653"/>
      <c r="D88" s="1273">
        <f t="shared" si="27"/>
        <v>0</v>
      </c>
      <c r="E88" s="825"/>
      <c r="F88" s="2386"/>
      <c r="G88" s="1271"/>
      <c r="H88" s="1275" t="str">
        <f t="shared" si="28"/>
        <v>——</v>
      </c>
      <c r="I88" s="822">
        <v>0.06</v>
      </c>
      <c r="J88" s="1272">
        <f t="shared" si="29"/>
        <v>0</v>
      </c>
      <c r="K88" s="1272">
        <f t="shared" si="30"/>
        <v>0</v>
      </c>
      <c r="L88" s="1272">
        <v>0</v>
      </c>
      <c r="M88" s="1272">
        <f t="shared" si="31"/>
        <v>0</v>
      </c>
      <c r="N88" s="1272">
        <f t="shared" si="31"/>
        <v>0</v>
      </c>
      <c r="Z88" s="2603"/>
      <c r="AA88" s="2679"/>
      <c r="AG88" s="1359"/>
      <c r="AK88" s="2679"/>
    </row>
    <row r="89" spans="1:37" hidden="1"/>
    <row r="90" spans="1:37" hidden="1">
      <c r="A90" s="3253" t="s">
        <v>2883</v>
      </c>
      <c r="B90" s="3253"/>
      <c r="C90" s="3253"/>
      <c r="D90" s="3253"/>
      <c r="E90" s="3253"/>
      <c r="F90" s="3253"/>
      <c r="G90" s="3253"/>
      <c r="H90" s="3253"/>
      <c r="I90" s="3253"/>
      <c r="J90" s="3253"/>
      <c r="K90" s="2775"/>
      <c r="L90" s="2775"/>
      <c r="M90" s="2775"/>
      <c r="N90" s="2775"/>
    </row>
    <row r="91" spans="1:37" hidden="1">
      <c r="A91" s="3255" t="s">
        <v>2884</v>
      </c>
      <c r="B91" s="3255" t="s">
        <v>2885</v>
      </c>
      <c r="C91" s="2729" t="s">
        <v>2886</v>
      </c>
      <c r="D91" s="2730"/>
      <c r="E91" s="2730"/>
      <c r="F91" s="2730"/>
      <c r="G91" s="2730"/>
      <c r="H91" s="2730"/>
      <c r="I91" s="2730"/>
      <c r="J91" s="2776"/>
      <c r="K91" s="2777"/>
      <c r="L91" s="2777"/>
      <c r="M91" s="2777"/>
      <c r="N91" s="2777"/>
    </row>
    <row r="92" spans="1:37" hidden="1">
      <c r="A92" s="3255"/>
      <c r="B92" s="3255"/>
      <c r="C92" s="943" t="s">
        <v>2752</v>
      </c>
      <c r="D92" s="943" t="s">
        <v>2753</v>
      </c>
      <c r="E92" s="943" t="s">
        <v>2754</v>
      </c>
      <c r="F92" s="943" t="s">
        <v>2755</v>
      </c>
      <c r="G92" s="943" t="s">
        <v>2756</v>
      </c>
      <c r="H92" s="943" t="s">
        <v>2757</v>
      </c>
      <c r="I92" s="943" t="s">
        <v>2758</v>
      </c>
      <c r="J92" s="943" t="s">
        <v>2759</v>
      </c>
      <c r="K92" s="943" t="s">
        <v>2760</v>
      </c>
      <c r="L92" s="943" t="s">
        <v>2761</v>
      </c>
      <c r="M92" s="943" t="s">
        <v>2762</v>
      </c>
      <c r="N92" s="943" t="s">
        <v>2763</v>
      </c>
    </row>
    <row r="93" spans="1:37" hidden="1">
      <c r="A93" s="3256" t="s">
        <v>2887</v>
      </c>
      <c r="B93" s="2778">
        <v>1</v>
      </c>
      <c r="C93" s="2779">
        <v>1.9361999999999999</v>
      </c>
      <c r="D93" s="2779">
        <v>1.9361999999999999</v>
      </c>
      <c r="E93" s="2779">
        <v>1.8629</v>
      </c>
      <c r="F93" s="2779">
        <v>1.8629</v>
      </c>
      <c r="G93" s="2779">
        <v>1.8629</v>
      </c>
      <c r="H93" s="2779">
        <v>1.8629</v>
      </c>
      <c r="I93" s="2779">
        <v>1.8629</v>
      </c>
      <c r="J93" s="2779">
        <v>1.9419999999999999</v>
      </c>
      <c r="K93" s="2779">
        <v>1.9419999999999999</v>
      </c>
      <c r="L93" s="2779">
        <v>1.9419999999999999</v>
      </c>
      <c r="M93" s="2779">
        <v>1.9419999999999999</v>
      </c>
      <c r="N93" s="2779">
        <v>1.9419999999999999</v>
      </c>
    </row>
    <row r="94" spans="1:37" hidden="1">
      <c r="A94" s="3257"/>
      <c r="B94" s="2778">
        <v>2</v>
      </c>
      <c r="C94" s="2779">
        <v>1.4198</v>
      </c>
      <c r="D94" s="2779">
        <v>1.4198</v>
      </c>
      <c r="E94" s="2779">
        <v>1.3371999999999999</v>
      </c>
      <c r="F94" s="2779">
        <v>1.3371999999999999</v>
      </c>
      <c r="G94" s="2779">
        <v>1.3371999999999999</v>
      </c>
      <c r="H94" s="2779">
        <v>1.3371999999999999</v>
      </c>
      <c r="I94" s="2779">
        <v>1.3371999999999999</v>
      </c>
      <c r="J94" s="2779">
        <v>1.2799</v>
      </c>
      <c r="K94" s="2779">
        <v>1.2799</v>
      </c>
      <c r="L94" s="2779">
        <v>1.2799</v>
      </c>
      <c r="M94" s="2779">
        <v>1.2799</v>
      </c>
      <c r="N94" s="2779">
        <v>1.2799</v>
      </c>
    </row>
    <row r="95" spans="1:37" hidden="1">
      <c r="A95" s="3257"/>
      <c r="B95" s="2778">
        <v>3</v>
      </c>
      <c r="C95" s="2779">
        <v>1.1594</v>
      </c>
      <c r="D95" s="2779">
        <v>1.1594</v>
      </c>
      <c r="E95" s="2779">
        <v>1.0788</v>
      </c>
      <c r="F95" s="2779">
        <v>1.0788</v>
      </c>
      <c r="G95" s="2779">
        <v>1.0788</v>
      </c>
      <c r="H95" s="2779">
        <v>1.0788</v>
      </c>
      <c r="I95" s="2779">
        <v>1.0788</v>
      </c>
      <c r="J95" s="2779">
        <v>1.0072000000000001</v>
      </c>
      <c r="K95" s="2779">
        <v>1.0072000000000001</v>
      </c>
      <c r="L95" s="2779">
        <v>1.0072000000000001</v>
      </c>
      <c r="M95" s="2779">
        <v>1.0072000000000001</v>
      </c>
      <c r="N95" s="2779">
        <v>1.0072000000000001</v>
      </c>
    </row>
    <row r="96" spans="1:37" hidden="1">
      <c r="A96" s="3257"/>
      <c r="B96" s="2778">
        <v>4</v>
      </c>
      <c r="C96" s="2779">
        <v>0.96220000000000006</v>
      </c>
      <c r="D96" s="2779">
        <v>0.96220000000000006</v>
      </c>
      <c r="E96" s="2779">
        <v>0.86560000000000004</v>
      </c>
      <c r="F96" s="2779">
        <v>0.86560000000000004</v>
      </c>
      <c r="G96" s="2779">
        <v>0.86560000000000004</v>
      </c>
      <c r="H96" s="2779">
        <v>0.86560000000000004</v>
      </c>
      <c r="I96" s="2779">
        <v>0.86560000000000004</v>
      </c>
      <c r="J96" s="2779">
        <v>0.75249999999999995</v>
      </c>
      <c r="K96" s="2779">
        <v>0.75249999999999995</v>
      </c>
      <c r="L96" s="2779">
        <v>0.75249999999999995</v>
      </c>
      <c r="M96" s="2779">
        <v>0.75249999999999995</v>
      </c>
      <c r="N96" s="2779">
        <v>0.75249999999999995</v>
      </c>
    </row>
    <row r="97" spans="1:14" hidden="1">
      <c r="A97" s="3257"/>
      <c r="B97" s="2778">
        <v>5</v>
      </c>
      <c r="C97" s="2779">
        <v>0.8417</v>
      </c>
      <c r="D97" s="2779">
        <v>0.8417</v>
      </c>
      <c r="E97" s="2779">
        <v>0.73709999999999998</v>
      </c>
      <c r="F97" s="2779">
        <v>0.73709999999999998</v>
      </c>
      <c r="G97" s="2779">
        <v>0.73709999999999998</v>
      </c>
      <c r="H97" s="2779">
        <v>0.73709999999999998</v>
      </c>
      <c r="I97" s="2779">
        <v>0.73709999999999998</v>
      </c>
      <c r="J97" s="2779">
        <v>0.56589999999999996</v>
      </c>
      <c r="K97" s="2779">
        <v>0.56589999999999996</v>
      </c>
      <c r="L97" s="2779">
        <v>0.56589999999999996</v>
      </c>
      <c r="M97" s="2779">
        <v>0.56589999999999996</v>
      </c>
      <c r="N97" s="2779">
        <v>0.56589999999999996</v>
      </c>
    </row>
    <row r="98" spans="1:14" hidden="1">
      <c r="A98" s="3257"/>
      <c r="B98" s="2778">
        <v>6</v>
      </c>
      <c r="C98" s="2779">
        <v>0.76080000000000003</v>
      </c>
      <c r="D98" s="2779">
        <v>0.76080000000000003</v>
      </c>
      <c r="E98" s="2779">
        <v>0.6482</v>
      </c>
      <c r="F98" s="2779">
        <v>0.6482</v>
      </c>
      <c r="G98" s="2779">
        <v>0.6482</v>
      </c>
      <c r="H98" s="2779">
        <v>0.6482</v>
      </c>
      <c r="I98" s="2779">
        <v>0.6482</v>
      </c>
      <c r="J98" s="2779">
        <v>0.45250000000000001</v>
      </c>
      <c r="K98" s="2779">
        <v>0.45250000000000001</v>
      </c>
      <c r="L98" s="2779">
        <v>0.45250000000000001</v>
      </c>
      <c r="M98" s="2779">
        <v>0.45250000000000001</v>
      </c>
      <c r="N98" s="2779">
        <v>0.45250000000000001</v>
      </c>
    </row>
    <row r="99" spans="1:14" hidden="1">
      <c r="A99" s="3257"/>
      <c r="B99" s="2778" t="s">
        <v>2768</v>
      </c>
      <c r="C99" s="2780">
        <f>$I$3</f>
        <v>0</v>
      </c>
      <c r="D99" s="2780">
        <f t="shared" ref="D99:M99" si="32">$I$3</f>
        <v>0</v>
      </c>
      <c r="E99" s="2780">
        <f t="shared" si="32"/>
        <v>0</v>
      </c>
      <c r="F99" s="2780">
        <f t="shared" si="32"/>
        <v>0</v>
      </c>
      <c r="G99" s="2780">
        <f t="shared" si="32"/>
        <v>0</v>
      </c>
      <c r="H99" s="2780">
        <f t="shared" si="32"/>
        <v>0</v>
      </c>
      <c r="I99" s="2780">
        <f t="shared" si="32"/>
        <v>0</v>
      </c>
      <c r="J99" s="2780">
        <f t="shared" si="32"/>
        <v>0</v>
      </c>
      <c r="K99" s="2780">
        <f t="shared" si="32"/>
        <v>0</v>
      </c>
      <c r="L99" s="2780">
        <f t="shared" si="32"/>
        <v>0</v>
      </c>
      <c r="M99" s="2780">
        <f t="shared" si="32"/>
        <v>0</v>
      </c>
      <c r="N99" s="2780">
        <f>$I$3</f>
        <v>0</v>
      </c>
    </row>
    <row r="100" spans="1:14" hidden="1">
      <c r="A100" s="3258"/>
      <c r="B100" s="2778">
        <v>7</v>
      </c>
      <c r="C100" s="2781">
        <f>(-0.163*(C99^2)-0.59*C99+7617)*(10^(-4))</f>
        <v>0.76170000000000004</v>
      </c>
      <c r="D100" s="2781">
        <f>(-0.163*(D99^2)-0.59*D99+7617)*(10^(-4))</f>
        <v>0.76170000000000004</v>
      </c>
      <c r="E100" s="2781">
        <f>(-0.161*(E99^2)-7.509*E99+6533)*(10^(-4))</f>
        <v>0.65329999999999999</v>
      </c>
      <c r="F100" s="2781">
        <f>(-0.161*(F99^2)-7.509*F99+6533)*(10^(-4))</f>
        <v>0.65329999999999999</v>
      </c>
      <c r="G100" s="2781">
        <f>(-0.161*(G99^2)-7.509*G99+6533)*(10^(-4))</f>
        <v>0.65329999999999999</v>
      </c>
      <c r="H100" s="2781">
        <f>(-0.161*(H99^2)-7.509*H99+6533)*(10^(-4))</f>
        <v>0.65329999999999999</v>
      </c>
      <c r="I100" s="2781">
        <f>(-0.161*(I99^2)-7.509*I99+6533)*(10^(-4))</f>
        <v>0.65329999999999999</v>
      </c>
      <c r="J100" s="2781">
        <f>(-0.214*(J99^2)-21.991*J99+4665)*(10^(-4))</f>
        <v>0.46650000000000003</v>
      </c>
      <c r="K100" s="2781">
        <f>(-0.214*(K99^2)-21.991*K99+4665)*(10^(-4))</f>
        <v>0.46650000000000003</v>
      </c>
      <c r="L100" s="2781">
        <f>(-0.214*(L99^2)-21.991*L99+4665)*(10^(-4))</f>
        <v>0.46650000000000003</v>
      </c>
      <c r="M100" s="2781">
        <f>(-0.214*(M99^2)-21.991*M99+4665)*(10^(-4))</f>
        <v>0.46650000000000003</v>
      </c>
      <c r="N100" s="2781">
        <f>(-0.214*(N99^2)-21.991*N99+4665)*(10^(-4))</f>
        <v>0.46650000000000003</v>
      </c>
    </row>
    <row r="101" spans="1:14" hidden="1">
      <c r="A101" s="3256" t="s">
        <v>2888</v>
      </c>
      <c r="B101" s="2782" t="s">
        <v>2889</v>
      </c>
      <c r="C101" s="2783">
        <f>$G$3</f>
        <v>4.79</v>
      </c>
      <c r="D101" s="2783">
        <f t="shared" ref="D101:N101" si="33">$G$3</f>
        <v>4.79</v>
      </c>
      <c r="E101" s="2783">
        <f t="shared" si="33"/>
        <v>4.79</v>
      </c>
      <c r="F101" s="2783">
        <f t="shared" si="33"/>
        <v>4.79</v>
      </c>
      <c r="G101" s="2783">
        <f t="shared" si="33"/>
        <v>4.79</v>
      </c>
      <c r="H101" s="2783">
        <f t="shared" si="33"/>
        <v>4.79</v>
      </c>
      <c r="I101" s="2783">
        <f t="shared" si="33"/>
        <v>4.79</v>
      </c>
      <c r="J101" s="2783">
        <f t="shared" si="33"/>
        <v>4.79</v>
      </c>
      <c r="K101" s="2783">
        <f t="shared" si="33"/>
        <v>4.79</v>
      </c>
      <c r="L101" s="2783">
        <f t="shared" si="33"/>
        <v>4.79</v>
      </c>
      <c r="M101" s="2783">
        <f t="shared" si="33"/>
        <v>4.79</v>
      </c>
      <c r="N101" s="2783">
        <f t="shared" si="33"/>
        <v>4.79</v>
      </c>
    </row>
    <row r="102" spans="1:14" hidden="1">
      <c r="A102" s="3257"/>
      <c r="B102" s="2778">
        <v>1</v>
      </c>
      <c r="C102" s="2779">
        <f>1.9362/C101</f>
        <v>0.40421711899791229</v>
      </c>
      <c r="D102" s="2779">
        <f>1.9362/D101</f>
        <v>0.40421711899791229</v>
      </c>
      <c r="E102" s="2779">
        <f>1.8629/E101</f>
        <v>0.38891440501043839</v>
      </c>
      <c r="F102" s="2779">
        <f>1.8629/F101</f>
        <v>0.38891440501043839</v>
      </c>
      <c r="G102" s="2779">
        <f>1.8629/G101</f>
        <v>0.38891440501043839</v>
      </c>
      <c r="H102" s="2779">
        <f>1.8629/H101</f>
        <v>0.38891440501043839</v>
      </c>
      <c r="I102" s="2779">
        <f>1.8629/I101</f>
        <v>0.38891440501043839</v>
      </c>
      <c r="J102" s="2779">
        <f>1.942/J101</f>
        <v>0.40542797494780791</v>
      </c>
      <c r="K102" s="2779">
        <f>1.942/K101</f>
        <v>0.40542797494780791</v>
      </c>
      <c r="L102" s="2779">
        <f>1.942/L101</f>
        <v>0.40542797494780791</v>
      </c>
      <c r="M102" s="2779">
        <f>1.942/M101</f>
        <v>0.40542797494780791</v>
      </c>
      <c r="N102" s="2779">
        <f>1.942/N101</f>
        <v>0.40542797494780791</v>
      </c>
    </row>
    <row r="103" spans="1:14" hidden="1">
      <c r="A103" s="3257"/>
      <c r="B103" s="2778">
        <v>2</v>
      </c>
      <c r="C103" s="2779">
        <f>1.4198/C101</f>
        <v>0.2964091858037578</v>
      </c>
      <c r="D103" s="2779">
        <f>1.4198/D101</f>
        <v>0.2964091858037578</v>
      </c>
      <c r="E103" s="2779">
        <f>1.3372/E101</f>
        <v>0.27916492693110645</v>
      </c>
      <c r="F103" s="2779">
        <f>1.3372/F101</f>
        <v>0.27916492693110645</v>
      </c>
      <c r="G103" s="2779">
        <f>1.3372/G101</f>
        <v>0.27916492693110645</v>
      </c>
      <c r="H103" s="2779">
        <f>1.3372/H101</f>
        <v>0.27916492693110645</v>
      </c>
      <c r="I103" s="2779">
        <f>1.3372/I101</f>
        <v>0.27916492693110645</v>
      </c>
      <c r="J103" s="2779">
        <f>1.2799/J101</f>
        <v>0.26720250521920669</v>
      </c>
      <c r="K103" s="2779">
        <f>1.2799/K101</f>
        <v>0.26720250521920669</v>
      </c>
      <c r="L103" s="2779">
        <f>1.2799/L101</f>
        <v>0.26720250521920669</v>
      </c>
      <c r="M103" s="2779">
        <f>1.2799/M101</f>
        <v>0.26720250521920669</v>
      </c>
      <c r="N103" s="2779">
        <f>1.2799/N101</f>
        <v>0.26720250521920669</v>
      </c>
    </row>
    <row r="104" spans="1:14" hidden="1">
      <c r="A104" s="3257"/>
      <c r="B104" s="2778">
        <v>3</v>
      </c>
      <c r="C104" s="2779">
        <f>1.1594/C101</f>
        <v>0.24204592901878913</v>
      </c>
      <c r="D104" s="2779">
        <f>1.1594/D101</f>
        <v>0.24204592901878913</v>
      </c>
      <c r="E104" s="2779">
        <f>1.0788/E101</f>
        <v>0.22521920668058454</v>
      </c>
      <c r="F104" s="2779">
        <f>1.0788/F101</f>
        <v>0.22521920668058454</v>
      </c>
      <c r="G104" s="2779">
        <f>1.0788/G101</f>
        <v>0.22521920668058454</v>
      </c>
      <c r="H104" s="2779">
        <f>1.0788/H101</f>
        <v>0.22521920668058454</v>
      </c>
      <c r="I104" s="2779">
        <f>1.0788/I101</f>
        <v>0.22521920668058454</v>
      </c>
      <c r="J104" s="2779">
        <f>1.0072/J101</f>
        <v>0.21027139874739043</v>
      </c>
      <c r="K104" s="2779">
        <f>1.0072/K101</f>
        <v>0.21027139874739043</v>
      </c>
      <c r="L104" s="2779">
        <f>1.0072/L101</f>
        <v>0.21027139874739043</v>
      </c>
      <c r="M104" s="2779">
        <f>1.0072/M101</f>
        <v>0.21027139874739043</v>
      </c>
      <c r="N104" s="2779">
        <f>1.0072/N101</f>
        <v>0.21027139874739043</v>
      </c>
    </row>
    <row r="105" spans="1:14" hidden="1">
      <c r="A105" s="3257"/>
      <c r="B105" s="2778">
        <v>4</v>
      </c>
      <c r="C105" s="2779">
        <f>0.9622/C101</f>
        <v>0.20087682672233823</v>
      </c>
      <c r="D105" s="2779">
        <f>0.9622/D101</f>
        <v>0.20087682672233823</v>
      </c>
      <c r="E105" s="2779">
        <f>0.8656/E101</f>
        <v>0.18070981210855949</v>
      </c>
      <c r="F105" s="2779">
        <f>0.8656/F101</f>
        <v>0.18070981210855949</v>
      </c>
      <c r="G105" s="2779">
        <f>0.8656/G101</f>
        <v>0.18070981210855949</v>
      </c>
      <c r="H105" s="2779">
        <f>0.8656/H101</f>
        <v>0.18070981210855949</v>
      </c>
      <c r="I105" s="2779">
        <f>0.8656/I101</f>
        <v>0.18070981210855949</v>
      </c>
      <c r="J105" s="2779">
        <f>0.7525/J101</f>
        <v>0.15709812108559498</v>
      </c>
      <c r="K105" s="2779">
        <f>0.7525/K101</f>
        <v>0.15709812108559498</v>
      </c>
      <c r="L105" s="2779">
        <f>0.7525/L101</f>
        <v>0.15709812108559498</v>
      </c>
      <c r="M105" s="2779">
        <f>0.7525/M101</f>
        <v>0.15709812108559498</v>
      </c>
      <c r="N105" s="2779">
        <f>0.7525/N101</f>
        <v>0.15709812108559498</v>
      </c>
    </row>
    <row r="106" spans="1:14" hidden="1">
      <c r="A106" s="3257"/>
      <c r="B106" s="2778">
        <v>5</v>
      </c>
      <c r="C106" s="2779">
        <f>0.8417/C101</f>
        <v>0.17572025052192067</v>
      </c>
      <c r="D106" s="2779">
        <f>0.8417/D101</f>
        <v>0.17572025052192067</v>
      </c>
      <c r="E106" s="2779">
        <f>0.7371/E101</f>
        <v>0.15388308977035489</v>
      </c>
      <c r="F106" s="2779">
        <f>0.7371/F101</f>
        <v>0.15388308977035489</v>
      </c>
      <c r="G106" s="2779">
        <f>0.7371/G101</f>
        <v>0.15388308977035489</v>
      </c>
      <c r="H106" s="2779">
        <f>0.7371/H101</f>
        <v>0.15388308977035489</v>
      </c>
      <c r="I106" s="2779">
        <f>0.7371/I101</f>
        <v>0.15388308977035489</v>
      </c>
      <c r="J106" s="2779">
        <f>0.5659/J101</f>
        <v>0.11814196242171189</v>
      </c>
      <c r="K106" s="2779">
        <f>0.5659/K101</f>
        <v>0.11814196242171189</v>
      </c>
      <c r="L106" s="2779">
        <f>0.5659/L101</f>
        <v>0.11814196242171189</v>
      </c>
      <c r="M106" s="2779">
        <f>0.5659/M101</f>
        <v>0.11814196242171189</v>
      </c>
      <c r="N106" s="2779">
        <f>0.5659/N101</f>
        <v>0.11814196242171189</v>
      </c>
    </row>
    <row r="107" spans="1:14" hidden="1">
      <c r="A107" s="3257"/>
      <c r="B107" s="2778">
        <v>6</v>
      </c>
      <c r="C107" s="2779">
        <f>0.7608/C101</f>
        <v>0.15883089770354908</v>
      </c>
      <c r="D107" s="2779">
        <f>0.7608/D101</f>
        <v>0.15883089770354908</v>
      </c>
      <c r="E107" s="2779">
        <f>0.6482/E101</f>
        <v>0.13532359081419623</v>
      </c>
      <c r="F107" s="2779">
        <f>0.6482/F101</f>
        <v>0.13532359081419623</v>
      </c>
      <c r="G107" s="2779">
        <f>0.6482/G101</f>
        <v>0.13532359081419623</v>
      </c>
      <c r="H107" s="2779">
        <f>0.6482/H101</f>
        <v>0.13532359081419623</v>
      </c>
      <c r="I107" s="2779">
        <f>0.6482/I101</f>
        <v>0.13532359081419623</v>
      </c>
      <c r="J107" s="2779">
        <f>0.4525/J101</f>
        <v>9.4467640918580384E-2</v>
      </c>
      <c r="K107" s="2779">
        <f>0.4525/K101</f>
        <v>9.4467640918580384E-2</v>
      </c>
      <c r="L107" s="2779">
        <f>0.4525/L101</f>
        <v>9.4467640918580384E-2</v>
      </c>
      <c r="M107" s="2779">
        <f>0.4525/M101</f>
        <v>9.4467640918580384E-2</v>
      </c>
      <c r="N107" s="2779">
        <f>0.4525/N101</f>
        <v>9.4467640918580384E-2</v>
      </c>
    </row>
    <row r="108" spans="1:14" hidden="1">
      <c r="A108" s="3257"/>
      <c r="B108" s="3208" t="s">
        <v>2890</v>
      </c>
      <c r="C108" s="2780">
        <f>C99</f>
        <v>0</v>
      </c>
      <c r="D108" s="2780">
        <f t="shared" ref="D108:N108" si="34">D99</f>
        <v>0</v>
      </c>
      <c r="E108" s="2780">
        <f t="shared" si="34"/>
        <v>0</v>
      </c>
      <c r="F108" s="2780">
        <f t="shared" si="34"/>
        <v>0</v>
      </c>
      <c r="G108" s="2780">
        <f t="shared" si="34"/>
        <v>0</v>
      </c>
      <c r="H108" s="2780">
        <f t="shared" si="34"/>
        <v>0</v>
      </c>
      <c r="I108" s="2780">
        <f t="shared" si="34"/>
        <v>0</v>
      </c>
      <c r="J108" s="2780">
        <f t="shared" si="34"/>
        <v>0</v>
      </c>
      <c r="K108" s="2780">
        <f t="shared" si="34"/>
        <v>0</v>
      </c>
      <c r="L108" s="2780">
        <f t="shared" si="34"/>
        <v>0</v>
      </c>
      <c r="M108" s="2780">
        <f t="shared" si="34"/>
        <v>0</v>
      </c>
      <c r="N108" s="2780">
        <f t="shared" si="34"/>
        <v>0</v>
      </c>
    </row>
    <row r="109" spans="1:14" hidden="1">
      <c r="A109" s="3258"/>
      <c r="B109" s="3209"/>
      <c r="C109" s="2781">
        <f>(-0.163*(C108^2)-0.59*C108+7617)*(10^(-4))/C101</f>
        <v>0.1590187891440501</v>
      </c>
      <c r="D109" s="2781">
        <f>(-0.163*(D108^2)-0.59*D108+7617)*(10^(-4))/D101</f>
        <v>0.1590187891440501</v>
      </c>
      <c r="E109" s="2781">
        <f>(-0.161*(E108^2)-7.509*E108+6533)*(10^(-4))/E101</f>
        <v>0.13638830897703549</v>
      </c>
      <c r="F109" s="2781">
        <f>(-0.161*(F108^2)-7.509*F108+6533)*(10^(-4))/F101</f>
        <v>0.13638830897703549</v>
      </c>
      <c r="G109" s="2781">
        <f>(-0.161*(G108^2)-7.509*G108+6533)*(10^(-4))/G101</f>
        <v>0.13638830897703549</v>
      </c>
      <c r="H109" s="2781">
        <f>(-0.161*(H108^2)-7.509*H108+6533)*(10^(-4))/H101</f>
        <v>0.13638830897703549</v>
      </c>
      <c r="I109" s="2781">
        <f>(-0.161*(I108^2)-7.509*I108+6533)*(10^(-4))/I101</f>
        <v>0.13638830897703549</v>
      </c>
      <c r="J109" s="2781">
        <f>(-0.214*(J108^2)-21.991*J108+4665)*(10^(-4))/J101</f>
        <v>9.7390396659707723E-2</v>
      </c>
      <c r="K109" s="2781">
        <f>(-0.214*(K108^2)-21.991*K108+4665)*(10^(-4))/K101</f>
        <v>9.7390396659707723E-2</v>
      </c>
      <c r="L109" s="2781">
        <f>(-0.214*(L108^2)-21.991*L108+4665)*(10^(-4))/L101</f>
        <v>9.7390396659707723E-2</v>
      </c>
      <c r="M109" s="2781">
        <f>(-0.214*(M108^2)-21.991*M108+4665)*(10^(-4))/M101</f>
        <v>9.7390396659707723E-2</v>
      </c>
      <c r="N109" s="2781">
        <f>(-0.214*(N108^2)-21.991*N108+4665)*(10^(-4))/N101</f>
        <v>9.7390396659707723E-2</v>
      </c>
    </row>
    <row r="110" spans="1:14" hidden="1">
      <c r="A110" s="3254" t="s">
        <v>2891</v>
      </c>
      <c r="B110" s="3254"/>
      <c r="C110" s="3254"/>
      <c r="D110" s="3254"/>
      <c r="E110" s="3254"/>
      <c r="F110" s="3254"/>
      <c r="G110" s="3254"/>
      <c r="H110" s="3254"/>
      <c r="I110" s="3254"/>
      <c r="J110" s="3254"/>
      <c r="K110" s="2784"/>
      <c r="L110" s="2784"/>
      <c r="M110" s="2784"/>
      <c r="N110" s="2784"/>
    </row>
    <row r="111" spans="1:14" hidden="1"/>
    <row r="112" spans="1:14" ht="13.5" hidden="1" thickBot="1"/>
    <row r="113" spans="1:13" ht="25.5" hidden="1" thickBot="1">
      <c r="A113" s="901" t="s">
        <v>2892</v>
      </c>
      <c r="B113" s="1274">
        <f>G3</f>
        <v>4.79</v>
      </c>
      <c r="C113" s="902" t="s">
        <v>2893</v>
      </c>
      <c r="D113" s="903">
        <f>SUMPRODUCT((A115:A118=F113)*(B114:M114=H113)*B115:M118)</f>
        <v>0.83650000000000002</v>
      </c>
      <c r="E113" s="2607" t="s">
        <v>2726</v>
      </c>
      <c r="F113" s="2786" t="str">
        <f>E2</f>
        <v>住宅</v>
      </c>
      <c r="G113" s="2607" t="s">
        <v>2727</v>
      </c>
      <c r="H113" s="2786" t="str">
        <f>G2</f>
        <v>三级</v>
      </c>
      <c r="I113" s="2607"/>
      <c r="J113" s="2787"/>
      <c r="K113" s="2787"/>
      <c r="L113" s="2787"/>
      <c r="M113" s="2787"/>
    </row>
    <row r="114" spans="1:13" hidden="1">
      <c r="A114" s="906"/>
      <c r="B114" s="2788" t="s">
        <v>2894</v>
      </c>
      <c r="C114" s="2788" t="s">
        <v>2895</v>
      </c>
      <c r="D114" s="2788" t="s">
        <v>2896</v>
      </c>
      <c r="E114" s="2789" t="s">
        <v>2897</v>
      </c>
      <c r="F114" s="2789" t="s">
        <v>2898</v>
      </c>
      <c r="G114" s="2789" t="s">
        <v>2899</v>
      </c>
      <c r="H114" s="2790" t="s">
        <v>2900</v>
      </c>
      <c r="I114" s="2790" t="s">
        <v>2901</v>
      </c>
      <c r="J114" s="2791" t="s">
        <v>2902</v>
      </c>
      <c r="K114" s="2791" t="s">
        <v>2903</v>
      </c>
      <c r="L114" s="2791" t="s">
        <v>2904</v>
      </c>
      <c r="M114" s="2792" t="s">
        <v>2905</v>
      </c>
    </row>
    <row r="115" spans="1:13" hidden="1">
      <c r="A115" s="907" t="s">
        <v>2790</v>
      </c>
      <c r="B115" s="908">
        <f>ROUND(0.9335-0.0094*B113,4)</f>
        <v>0.88849999999999996</v>
      </c>
      <c r="C115" s="908">
        <f>B115</f>
        <v>0.88849999999999996</v>
      </c>
      <c r="D115" s="908">
        <f>ROUND(0.8331-0.0109*B113,4)</f>
        <v>0.78090000000000004</v>
      </c>
      <c r="E115" s="908">
        <f>D115</f>
        <v>0.78090000000000004</v>
      </c>
      <c r="F115" s="908">
        <f>E115</f>
        <v>0.78090000000000004</v>
      </c>
      <c r="G115" s="908">
        <f>F115</f>
        <v>0.78090000000000004</v>
      </c>
      <c r="H115" s="908">
        <f>G115</f>
        <v>0.78090000000000004</v>
      </c>
      <c r="I115" s="908">
        <f>ROUND(0.689-0.0155*B113,4)</f>
        <v>0.61480000000000001</v>
      </c>
      <c r="J115" s="908">
        <f t="shared" ref="J115:M118" si="35">I115</f>
        <v>0.61480000000000001</v>
      </c>
      <c r="K115" s="908">
        <f t="shared" si="35"/>
        <v>0.61480000000000001</v>
      </c>
      <c r="L115" s="908">
        <f t="shared" si="35"/>
        <v>0.61480000000000001</v>
      </c>
      <c r="M115" s="909">
        <f t="shared" si="35"/>
        <v>0.61480000000000001</v>
      </c>
    </row>
    <row r="116" spans="1:13" hidden="1">
      <c r="A116" s="907" t="s">
        <v>2791</v>
      </c>
      <c r="B116" s="908">
        <f>ROUND(0.949-0.012*B113,4)</f>
        <v>0.89149999999999996</v>
      </c>
      <c r="C116" s="908">
        <f>B116</f>
        <v>0.89149999999999996</v>
      </c>
      <c r="D116" s="908">
        <f>ROUND(0.8567-0.013*B113,4)</f>
        <v>0.7944</v>
      </c>
      <c r="E116" s="908">
        <f t="shared" ref="E116:H117" si="36">D116</f>
        <v>0.7944</v>
      </c>
      <c r="F116" s="908">
        <f t="shared" si="36"/>
        <v>0.7944</v>
      </c>
      <c r="G116" s="908">
        <f t="shared" si="36"/>
        <v>0.7944</v>
      </c>
      <c r="H116" s="908">
        <f t="shared" si="36"/>
        <v>0.7944</v>
      </c>
      <c r="I116" s="908">
        <f>ROUND(0.7694-0.014*B113,4)</f>
        <v>0.70230000000000004</v>
      </c>
      <c r="J116" s="908">
        <f t="shared" si="35"/>
        <v>0.70230000000000004</v>
      </c>
      <c r="K116" s="908">
        <f t="shared" si="35"/>
        <v>0.70230000000000004</v>
      </c>
      <c r="L116" s="908">
        <f t="shared" si="35"/>
        <v>0.70230000000000004</v>
      </c>
      <c r="M116" s="909">
        <f t="shared" si="35"/>
        <v>0.70230000000000004</v>
      </c>
    </row>
    <row r="117" spans="1:13" hidden="1">
      <c r="A117" s="907" t="s">
        <v>2792</v>
      </c>
      <c r="B117" s="908">
        <f>ROUND(0.8808-0.006*B113,4)</f>
        <v>0.85209999999999997</v>
      </c>
      <c r="C117" s="908">
        <f>B117</f>
        <v>0.85209999999999997</v>
      </c>
      <c r="D117" s="908">
        <f>ROUND(0.8748-0.008*B113,4)</f>
        <v>0.83650000000000002</v>
      </c>
      <c r="E117" s="908">
        <f t="shared" si="36"/>
        <v>0.83650000000000002</v>
      </c>
      <c r="F117" s="908">
        <f t="shared" si="36"/>
        <v>0.83650000000000002</v>
      </c>
      <c r="G117" s="908">
        <f t="shared" si="36"/>
        <v>0.83650000000000002</v>
      </c>
      <c r="H117" s="908">
        <f t="shared" si="36"/>
        <v>0.83650000000000002</v>
      </c>
      <c r="I117" s="908">
        <f>ROUND(0.7412-0.0095*B113,4)</f>
        <v>0.69569999999999999</v>
      </c>
      <c r="J117" s="908">
        <f t="shared" si="35"/>
        <v>0.69569999999999999</v>
      </c>
      <c r="K117" s="908">
        <f t="shared" si="35"/>
        <v>0.69569999999999999</v>
      </c>
      <c r="L117" s="908">
        <f t="shared" si="35"/>
        <v>0.69569999999999999</v>
      </c>
      <c r="M117" s="909">
        <f t="shared" si="35"/>
        <v>0.69569999999999999</v>
      </c>
    </row>
    <row r="118" spans="1:13" ht="13.5" hidden="1" thickBot="1">
      <c r="A118" s="713" t="s">
        <v>2793</v>
      </c>
      <c r="B118" s="910">
        <f>ROUND(0.7275-0.01*B113,4)</f>
        <v>0.67959999999999998</v>
      </c>
      <c r="C118" s="910">
        <f>B118</f>
        <v>0.67959999999999998</v>
      </c>
      <c r="D118" s="910">
        <f>ROUND(0.7043-0.012*B113,4)</f>
        <v>0.64680000000000004</v>
      </c>
      <c r="E118" s="910">
        <f>D118</f>
        <v>0.64680000000000004</v>
      </c>
      <c r="F118" s="910">
        <f>E118</f>
        <v>0.64680000000000004</v>
      </c>
      <c r="G118" s="910">
        <f>ROUND(0.6299-0.0122*B113,4)</f>
        <v>0.57150000000000001</v>
      </c>
      <c r="H118" s="910">
        <f>G118</f>
        <v>0.57150000000000001</v>
      </c>
      <c r="I118" s="910">
        <f>ROUND(0.5667-0.0136*B113,4)</f>
        <v>0.50160000000000005</v>
      </c>
      <c r="J118" s="910">
        <f t="shared" si="35"/>
        <v>0.50160000000000005</v>
      </c>
      <c r="K118" s="910">
        <f t="shared" si="35"/>
        <v>0.50160000000000005</v>
      </c>
      <c r="L118" s="910">
        <f t="shared" si="35"/>
        <v>0.50160000000000005</v>
      </c>
      <c r="M118" s="911">
        <f t="shared" si="35"/>
        <v>0.50160000000000005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90" zoomScaleSheetLayoutView="85" workbookViewId="0">
      <selection activeCell="L39" sqref="L3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5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5" customFormat="1" ht="28.5" customHeight="1" thickBot="1">
      <c r="A1" s="1604" t="s">
        <v>2441</v>
      </c>
      <c r="B1" s="2467" t="s">
        <v>2442</v>
      </c>
      <c r="C1" s="1620" t="s">
        <v>2443</v>
      </c>
      <c r="D1" s="1607" t="s">
        <v>3597</v>
      </c>
      <c r="E1" s="2468"/>
      <c r="F1" s="2469" t="s">
        <v>2444</v>
      </c>
      <c r="G1" s="1617" t="s">
        <v>2445</v>
      </c>
      <c r="H1" s="1616"/>
      <c r="I1" s="1616"/>
      <c r="J1" s="1616"/>
      <c r="K1" s="1618"/>
      <c r="L1" s="1619"/>
      <c r="M1" s="1620"/>
      <c r="N1" s="1620"/>
      <c r="O1" s="1620"/>
      <c r="P1" s="2470"/>
      <c r="Q1" s="1606"/>
      <c r="R1" s="1606"/>
      <c r="S1" s="1606"/>
      <c r="T1" s="1606"/>
      <c r="U1" s="1606"/>
      <c r="V1" s="1606"/>
      <c r="W1" s="1606"/>
      <c r="X1" s="1606"/>
      <c r="Y1" s="1606"/>
      <c r="Z1" s="1606"/>
      <c r="AA1" s="1606"/>
      <c r="AB1" s="1606"/>
      <c r="AC1" s="1614"/>
    </row>
    <row r="2" spans="1:29" s="393" customFormat="1" ht="28.5" customHeight="1" thickTop="1">
      <c r="A2" s="1603" t="s">
        <v>1393</v>
      </c>
      <c r="B2" s="1405">
        <f>IF(C2="——",ROUND(C49*D3/10000,0),ROUND(C49*D3/10000,0)-D2)</f>
        <v>544</v>
      </c>
      <c r="C2" s="2471" t="s">
        <v>70</v>
      </c>
      <c r="D2" s="1352" t="e">
        <f ca="1">SUMIF(INDIRECT("'"&amp;F2&amp;"'"&amp;"!A:A"),"承租人权益价值",INDIRECT("'"&amp;F2&amp;"'"&amp;"!c:c"))</f>
        <v>#REF!</v>
      </c>
      <c r="E2" s="2472" t="s">
        <v>2446</v>
      </c>
      <c r="F2" s="2473"/>
      <c r="G2" s="1119"/>
      <c r="H2" s="1119"/>
      <c r="I2" s="1119"/>
      <c r="J2" s="1119"/>
      <c r="K2" s="2474"/>
      <c r="L2" s="2475"/>
      <c r="M2" s="2476"/>
      <c r="N2" s="2476"/>
      <c r="O2" s="2476"/>
      <c r="P2" s="2477"/>
      <c r="Q2" s="2478"/>
      <c r="R2" s="2478"/>
      <c r="S2" s="2478"/>
      <c r="T2" s="2478"/>
      <c r="U2" s="2478"/>
      <c r="V2" s="2478"/>
      <c r="W2" s="2478"/>
      <c r="X2" s="2478"/>
      <c r="Y2" s="2478"/>
      <c r="Z2" s="2478"/>
      <c r="AA2" s="2478"/>
      <c r="AB2" s="2478"/>
      <c r="AC2" s="2479"/>
    </row>
    <row r="3" spans="1:29" s="393" customFormat="1" ht="28.5" customHeight="1" thickBot="1">
      <c r="A3" s="247" t="s">
        <v>1394</v>
      </c>
      <c r="B3" s="399">
        <f>IF(C2="——",C49,ROUND(B2*10000/D3,0))</f>
        <v>61843</v>
      </c>
      <c r="C3" s="400" t="s">
        <v>2447</v>
      </c>
      <c r="D3" s="399">
        <f>IF(D1="",'数据-汇总表'!E3,SUMIF('数据-汇总表'!$C19:$C33,D1,'数据-汇总表'!$E19:$E33))</f>
        <v>88.04</v>
      </c>
      <c r="E3" s="1119"/>
      <c r="F3" s="2480"/>
      <c r="G3" s="1119"/>
      <c r="H3" s="1119"/>
      <c r="I3" s="1119"/>
      <c r="J3" s="1119"/>
      <c r="K3" s="2474"/>
      <c r="L3" s="2475"/>
      <c r="M3" s="2476"/>
      <c r="N3" s="2476"/>
      <c r="O3" s="2476"/>
      <c r="P3" s="2477"/>
      <c r="Q3" s="2478"/>
      <c r="R3" s="2478"/>
      <c r="S3" s="2478"/>
      <c r="T3" s="2478"/>
      <c r="U3" s="2478"/>
      <c r="V3" s="2478"/>
      <c r="W3" s="2478"/>
      <c r="X3" s="2478"/>
      <c r="Y3" s="2478"/>
      <c r="Z3" s="2478"/>
      <c r="AA3" s="2478"/>
      <c r="AB3" s="2478"/>
      <c r="AC3" s="1269"/>
    </row>
    <row r="4" spans="1:29" ht="15">
      <c r="A4" s="401" t="s">
        <v>2448</v>
      </c>
      <c r="B4" s="402"/>
      <c r="C4" s="3280" t="s">
        <v>2449</v>
      </c>
      <c r="D4" s="3281"/>
      <c r="E4" s="3282" t="s">
        <v>2450</v>
      </c>
      <c r="F4" s="3283"/>
      <c r="G4" s="3280" t="s">
        <v>2451</v>
      </c>
      <c r="H4" s="3281"/>
      <c r="I4" s="3280" t="s">
        <v>2452</v>
      </c>
      <c r="J4" s="3281"/>
      <c r="K4" s="2481" t="s">
        <v>2453</v>
      </c>
      <c r="L4" s="1125"/>
      <c r="M4" s="1126"/>
      <c r="N4" s="1126"/>
      <c r="O4" s="1126"/>
      <c r="P4" s="3284" t="s">
        <v>2454</v>
      </c>
      <c r="Q4" s="3285"/>
      <c r="R4" s="3290" t="s">
        <v>2450</v>
      </c>
      <c r="S4" s="3291"/>
      <c r="T4" s="3290" t="s">
        <v>2451</v>
      </c>
      <c r="U4" s="3291"/>
      <c r="V4" s="3296" t="s">
        <v>2452</v>
      </c>
      <c r="W4" s="3296"/>
      <c r="X4" s="1799"/>
      <c r="Y4" s="3290" t="s">
        <v>2454</v>
      </c>
      <c r="Z4" s="3291"/>
      <c r="AA4" s="3277" t="s">
        <v>2450</v>
      </c>
      <c r="AB4" s="3277" t="s">
        <v>2451</v>
      </c>
      <c r="AC4" s="3277" t="s">
        <v>2452</v>
      </c>
    </row>
    <row r="5" spans="1:29" ht="15">
      <c r="A5" s="404"/>
      <c r="B5" s="405"/>
      <c r="C5" s="3304">
        <v>1201</v>
      </c>
      <c r="D5" s="3300"/>
      <c r="E5" s="3305" t="s">
        <v>3551</v>
      </c>
      <c r="F5" s="3306"/>
      <c r="G5" s="3299" t="s">
        <v>3589</v>
      </c>
      <c r="H5" s="3300"/>
      <c r="I5" s="3299" t="s">
        <v>3584</v>
      </c>
      <c r="J5" s="3300"/>
      <c r="K5" s="2482"/>
      <c r="L5" s="1125"/>
      <c r="M5" s="1126"/>
      <c r="N5" s="1126"/>
      <c r="O5" s="1126"/>
      <c r="P5" s="3286"/>
      <c r="Q5" s="3287"/>
      <c r="R5" s="3292"/>
      <c r="S5" s="3293"/>
      <c r="T5" s="3292"/>
      <c r="U5" s="3293"/>
      <c r="V5" s="3296"/>
      <c r="W5" s="3296"/>
      <c r="X5" s="1799"/>
      <c r="Y5" s="3292"/>
      <c r="Z5" s="3293"/>
      <c r="AA5" s="3278"/>
      <c r="AB5" s="3278"/>
      <c r="AC5" s="3278"/>
    </row>
    <row r="6" spans="1:29" ht="15.75" thickBot="1">
      <c r="A6" s="406"/>
      <c r="B6" s="407"/>
      <c r="C6" s="3297" t="s">
        <v>3545</v>
      </c>
      <c r="D6" s="3298"/>
      <c r="E6" s="3297" t="s">
        <v>3583</v>
      </c>
      <c r="F6" s="3298"/>
      <c r="G6" s="3297" t="s">
        <v>3583</v>
      </c>
      <c r="H6" s="3298"/>
      <c r="I6" s="3297" t="s">
        <v>3583</v>
      </c>
      <c r="J6" s="3298"/>
      <c r="K6" s="2482" t="s">
        <v>2460</v>
      </c>
      <c r="L6" s="1125"/>
      <c r="M6" s="1126"/>
      <c r="N6" s="1126"/>
      <c r="O6" s="1126"/>
      <c r="P6" s="3288"/>
      <c r="Q6" s="3289"/>
      <c r="R6" s="3292"/>
      <c r="S6" s="3293"/>
      <c r="T6" s="3294"/>
      <c r="U6" s="3295"/>
      <c r="V6" s="3296"/>
      <c r="W6" s="3296"/>
      <c r="X6" s="1799"/>
      <c r="Y6" s="3294"/>
      <c r="Z6" s="3295"/>
      <c r="AA6" s="3279"/>
      <c r="AB6" s="3279"/>
      <c r="AC6" s="3279"/>
    </row>
    <row r="7" spans="1:29" s="117" customFormat="1" ht="15.75" thickBot="1">
      <c r="A7" s="408" t="s">
        <v>2461</v>
      </c>
      <c r="B7" s="409"/>
      <c r="C7" s="410">
        <f>'数据-取费表'!B2</f>
        <v>43161</v>
      </c>
      <c r="D7" s="411">
        <v>100</v>
      </c>
      <c r="E7" s="412">
        <v>43123</v>
      </c>
      <c r="F7" s="413">
        <f>SUMIF(58:58,YEAR(E7)&amp;"-"&amp;MONTH(E7),59:59)</f>
        <v>100</v>
      </c>
      <c r="G7" s="412">
        <v>43089</v>
      </c>
      <c r="H7" s="411">
        <f>SUMIF(58:58,YEAR(G7)&amp;"-"&amp;MONTH(G7),59:59)</f>
        <v>99</v>
      </c>
      <c r="I7" s="412">
        <v>43034</v>
      </c>
      <c r="J7" s="411">
        <f>SUMIF(58:58,YEAR(I7)&amp;"-"&amp;MONTH(I7),59:59)</f>
        <v>99</v>
      </c>
      <c r="K7" s="2483"/>
      <c r="L7" s="1127"/>
      <c r="M7" s="1128"/>
      <c r="N7" s="1128"/>
      <c r="O7" s="1128"/>
      <c r="P7" s="3301" t="s">
        <v>2462</v>
      </c>
      <c r="Q7" s="3303"/>
      <c r="R7" s="769" t="s">
        <v>23</v>
      </c>
      <c r="S7" s="770">
        <f t="shared" ref="S7:S15" si="0">F7</f>
        <v>100</v>
      </c>
      <c r="T7" s="769" t="s">
        <v>23</v>
      </c>
      <c r="U7" s="770">
        <f t="shared" ref="U7:U15" si="1">H7</f>
        <v>99</v>
      </c>
      <c r="V7" s="769" t="s">
        <v>23</v>
      </c>
      <c r="W7" s="770">
        <f t="shared" ref="W7:W15" si="2">J7</f>
        <v>99</v>
      </c>
      <c r="X7" s="771"/>
      <c r="Y7" s="3301" t="s">
        <v>2462</v>
      </c>
      <c r="Z7" s="3302"/>
      <c r="AA7" s="772">
        <f>D7/F7</f>
        <v>1</v>
      </c>
      <c r="AB7" s="772">
        <f>D7/H7</f>
        <v>1.0101010101010102</v>
      </c>
      <c r="AC7" s="772">
        <f>D7/J7</f>
        <v>1.0101010101010102</v>
      </c>
    </row>
    <row r="8" spans="1:29" s="117" customFormat="1" ht="15.75" thickBot="1">
      <c r="A8" s="408" t="s">
        <v>2463</v>
      </c>
      <c r="B8" s="409"/>
      <c r="C8" s="414" t="s">
        <v>2464</v>
      </c>
      <c r="D8" s="411">
        <v>100</v>
      </c>
      <c r="E8" s="2484" t="s">
        <v>3544</v>
      </c>
      <c r="F8" s="413">
        <f>SUMIF(61:61,E8,62:62)-SUMIF(61:61,C8,62:62)+100</f>
        <v>100</v>
      </c>
      <c r="G8" s="414" t="s">
        <v>3544</v>
      </c>
      <c r="H8" s="411">
        <f>SUMIF(61:61,G8,62:62)-SUMIF(61:61,C8,62:62)+100</f>
        <v>100</v>
      </c>
      <c r="I8" s="2484" t="s">
        <v>3544</v>
      </c>
      <c r="J8" s="411">
        <f>SUMIF(61:61,I8,62:62)-SUMIF(61:61,C8,62:62)+100</f>
        <v>100</v>
      </c>
      <c r="K8" s="2483"/>
      <c r="L8" s="1127"/>
      <c r="M8" s="1128"/>
      <c r="N8" s="1128"/>
      <c r="O8" s="1128"/>
      <c r="P8" s="3301" t="s">
        <v>2465</v>
      </c>
      <c r="Q8" s="3302"/>
      <c r="R8" s="769" t="s">
        <v>23</v>
      </c>
      <c r="S8" s="770">
        <f t="shared" si="0"/>
        <v>100</v>
      </c>
      <c r="T8" s="769" t="s">
        <v>23</v>
      </c>
      <c r="U8" s="770">
        <f t="shared" si="1"/>
        <v>100</v>
      </c>
      <c r="V8" s="769" t="s">
        <v>23</v>
      </c>
      <c r="W8" s="770">
        <f t="shared" si="2"/>
        <v>100</v>
      </c>
      <c r="X8" s="771"/>
      <c r="Y8" s="3301" t="s">
        <v>2465</v>
      </c>
      <c r="Z8" s="3302"/>
      <c r="AA8" s="772">
        <f t="shared" ref="AA8:AA19" si="3">D8/F8</f>
        <v>1</v>
      </c>
      <c r="AB8" s="772">
        <f t="shared" ref="AB8:AB19" si="4">D8/H8</f>
        <v>1</v>
      </c>
      <c r="AC8" s="772">
        <f t="shared" ref="AC8:AC19" si="5">D8/J8</f>
        <v>1</v>
      </c>
    </row>
    <row r="9" spans="1:29" s="117" customFormat="1">
      <c r="A9" s="415" t="s">
        <v>2466</v>
      </c>
      <c r="B9" s="71" t="s">
        <v>2467</v>
      </c>
      <c r="C9" s="2990" t="s">
        <v>3547</v>
      </c>
      <c r="D9" s="135">
        <v>100</v>
      </c>
      <c r="E9" s="417" t="s">
        <v>3546</v>
      </c>
      <c r="F9" s="135">
        <f>SUMIF(63:63,E9,64:64)-SUMIF(63:63,C9,64:64)+100</f>
        <v>100</v>
      </c>
      <c r="G9" s="417" t="s">
        <v>3546</v>
      </c>
      <c r="H9" s="135">
        <f>SUMIF(63:63,G9,64:64)-SUMIF(63:63,C9,64:64)+100</f>
        <v>100</v>
      </c>
      <c r="I9" s="417" t="s">
        <v>3546</v>
      </c>
      <c r="J9" s="135">
        <f>SUMIF(63:63,I9,64:64)-SUMIF(63:63,C9,64:64)+100</f>
        <v>100</v>
      </c>
      <c r="K9" s="2483"/>
      <c r="L9" s="1127"/>
      <c r="M9" s="1128"/>
      <c r="N9" s="1128"/>
      <c r="O9" s="1128"/>
      <c r="P9" s="3276" t="s">
        <v>2468</v>
      </c>
      <c r="Q9" s="1781" t="str">
        <f t="shared" ref="Q9:Q15" si="6">B9</f>
        <v>用途</v>
      </c>
      <c r="R9" s="769" t="s">
        <v>17</v>
      </c>
      <c r="S9" s="770">
        <f t="shared" si="0"/>
        <v>100</v>
      </c>
      <c r="T9" s="769" t="s">
        <v>17</v>
      </c>
      <c r="U9" s="770">
        <f t="shared" si="1"/>
        <v>100</v>
      </c>
      <c r="V9" s="769" t="s">
        <v>17</v>
      </c>
      <c r="W9" s="770">
        <f t="shared" si="2"/>
        <v>100</v>
      </c>
      <c r="X9" s="771"/>
      <c r="Y9" s="3142" t="s">
        <v>2469</v>
      </c>
      <c r="Z9" s="55" t="str">
        <f t="shared" ref="Z9:Z15" si="7">Q9</f>
        <v>用途</v>
      </c>
      <c r="AA9" s="772">
        <f t="shared" si="3"/>
        <v>1</v>
      </c>
      <c r="AB9" s="772">
        <f t="shared" si="4"/>
        <v>1</v>
      </c>
      <c r="AC9" s="772">
        <f t="shared" si="5"/>
        <v>1</v>
      </c>
    </row>
    <row r="10" spans="1:29" s="427" customFormat="1" ht="27">
      <c r="A10" s="421"/>
      <c r="B10" s="422" t="s">
        <v>2470</v>
      </c>
      <c r="C10" s="423" t="s">
        <v>3572</v>
      </c>
      <c r="D10" s="136">
        <v>100</v>
      </c>
      <c r="E10" s="424" t="s">
        <v>3572</v>
      </c>
      <c r="F10" s="425">
        <f>SUMIF(65:65,E10,66:66)-SUMIF(65:65,C10,66:66)+100</f>
        <v>100</v>
      </c>
      <c r="G10" s="423" t="s">
        <v>3572</v>
      </c>
      <c r="H10" s="136">
        <f>SUMIF(65:65,G10,66:66)-SUMIF(65:65,C10,66:66)+100</f>
        <v>100</v>
      </c>
      <c r="I10" s="423" t="s">
        <v>3572</v>
      </c>
      <c r="J10" s="136">
        <f>SUMIF(65:65,I10,66:66)-SUMIF(65:65,C10,66:66)+100</f>
        <v>100</v>
      </c>
      <c r="K10" s="426"/>
      <c r="L10" s="1130"/>
      <c r="M10" s="1131"/>
      <c r="N10" s="1131"/>
      <c r="O10" s="1131"/>
      <c r="P10" s="3276"/>
      <c r="Q10" s="1781" t="str">
        <f t="shared" si="6"/>
        <v>土地使用年限（年）</v>
      </c>
      <c r="R10" s="769" t="s">
        <v>17</v>
      </c>
      <c r="S10" s="770">
        <f t="shared" si="0"/>
        <v>100</v>
      </c>
      <c r="T10" s="769" t="s">
        <v>17</v>
      </c>
      <c r="U10" s="770">
        <f t="shared" si="1"/>
        <v>100</v>
      </c>
      <c r="V10" s="769" t="s">
        <v>17</v>
      </c>
      <c r="W10" s="770">
        <f t="shared" si="2"/>
        <v>100</v>
      </c>
      <c r="X10" s="771"/>
      <c r="Y10" s="3142"/>
      <c r="Z10" s="55" t="str">
        <f t="shared" si="7"/>
        <v>土地使用年限（年）</v>
      </c>
      <c r="AA10" s="772">
        <f t="shared" si="3"/>
        <v>1</v>
      </c>
      <c r="AB10" s="772">
        <f t="shared" si="4"/>
        <v>1</v>
      </c>
      <c r="AC10" s="772">
        <f t="shared" si="5"/>
        <v>1</v>
      </c>
    </row>
    <row r="11" spans="1:29" ht="15.75" thickBot="1">
      <c r="A11" s="428"/>
      <c r="B11" s="422" t="s">
        <v>2471</v>
      </c>
      <c r="C11" s="429">
        <f>'数据-汇总表'!I7</f>
        <v>4.79</v>
      </c>
      <c r="D11" s="136">
        <v>100</v>
      </c>
      <c r="E11" s="430">
        <v>2.35</v>
      </c>
      <c r="F11" s="425">
        <f>LOOKUP(E11,68:68,69:69)-LOOKUP(C11,68:68,69:69)+100</f>
        <v>102</v>
      </c>
      <c r="G11" s="429">
        <v>2.35</v>
      </c>
      <c r="H11" s="136">
        <f>LOOKUP(G11,68:68,69:69)-LOOKUP(C11,68:68,69:69)+100</f>
        <v>102</v>
      </c>
      <c r="I11" s="429">
        <v>2.35</v>
      </c>
      <c r="J11" s="136">
        <f>LOOKUP(I11,68:68,69:69)-LOOKUP(C11,68:68,69:69)+100</f>
        <v>102</v>
      </c>
      <c r="K11" s="426">
        <v>1</v>
      </c>
      <c r="L11" s="1133"/>
      <c r="M11" s="1126"/>
      <c r="N11" s="1126"/>
      <c r="O11" s="1126"/>
      <c r="P11" s="3276"/>
      <c r="Q11" s="1781" t="str">
        <f t="shared" si="6"/>
        <v>容积率</v>
      </c>
      <c r="R11" s="769" t="s">
        <v>21</v>
      </c>
      <c r="S11" s="770">
        <f t="shared" si="0"/>
        <v>102</v>
      </c>
      <c r="T11" s="769" t="s">
        <v>21</v>
      </c>
      <c r="U11" s="770">
        <f t="shared" si="1"/>
        <v>102</v>
      </c>
      <c r="V11" s="769" t="s">
        <v>21</v>
      </c>
      <c r="W11" s="770">
        <f t="shared" si="2"/>
        <v>102</v>
      </c>
      <c r="X11" s="771"/>
      <c r="Y11" s="3142"/>
      <c r="Z11" s="55" t="str">
        <f t="shared" si="7"/>
        <v>容积率</v>
      </c>
      <c r="AA11" s="772">
        <f t="shared" si="3"/>
        <v>0.98039215686274506</v>
      </c>
      <c r="AB11" s="772">
        <f t="shared" si="4"/>
        <v>0.98039215686274506</v>
      </c>
      <c r="AC11" s="772">
        <f t="shared" si="5"/>
        <v>0.98039215686274506</v>
      </c>
    </row>
    <row r="12" spans="1:29" s="117" customFormat="1" ht="15" hidden="1">
      <c r="A12" s="431"/>
      <c r="B12" s="2485"/>
      <c r="C12" s="432"/>
      <c r="D12" s="433">
        <v>100</v>
      </c>
      <c r="E12" s="432"/>
      <c r="F12" s="425">
        <f>SUMIF(70:70,E12,71:71)-SUMIF(70:70,C12,71:71)+100</f>
        <v>100</v>
      </c>
      <c r="G12" s="432"/>
      <c r="H12" s="136">
        <f>SUMIF(70:70,G12,71:71)-SUMIF(70:70,C12,71:71)+100</f>
        <v>100</v>
      </c>
      <c r="I12" s="432"/>
      <c r="J12" s="136">
        <f>SUMIF(70:70,I12,71:71)-SUMIF(70:70,C12,71:71)+100</f>
        <v>100</v>
      </c>
      <c r="K12" s="2486"/>
      <c r="L12" s="1127"/>
      <c r="M12" s="1128"/>
      <c r="N12" s="1128"/>
      <c r="O12" s="1128"/>
      <c r="P12" s="3276"/>
      <c r="Q12" s="1781">
        <f t="shared" si="6"/>
        <v>0</v>
      </c>
      <c r="R12" s="769" t="s">
        <v>21</v>
      </c>
      <c r="S12" s="770">
        <f t="shared" si="0"/>
        <v>100</v>
      </c>
      <c r="T12" s="769" t="s">
        <v>21</v>
      </c>
      <c r="U12" s="770">
        <f t="shared" si="1"/>
        <v>100</v>
      </c>
      <c r="V12" s="769" t="s">
        <v>21</v>
      </c>
      <c r="W12" s="770">
        <f t="shared" si="2"/>
        <v>100</v>
      </c>
      <c r="X12" s="771"/>
      <c r="Y12" s="3142"/>
      <c r="Z12" s="55">
        <f t="shared" si="7"/>
        <v>0</v>
      </c>
      <c r="AA12" s="772">
        <f>D12/F12</f>
        <v>1</v>
      </c>
      <c r="AB12" s="772">
        <f>D12/H12</f>
        <v>1</v>
      </c>
      <c r="AC12" s="772">
        <f>D12/J12</f>
        <v>1</v>
      </c>
    </row>
    <row r="13" spans="1:29" ht="15" hidden="1">
      <c r="A13" s="428"/>
      <c r="B13" s="2485"/>
      <c r="C13" s="434"/>
      <c r="D13" s="435">
        <v>100</v>
      </c>
      <c r="E13" s="434"/>
      <c r="F13" s="425">
        <f>SUMIF(72:72,E13,73:73)-SUMIF(72:72,C13,73:73)+100</f>
        <v>100</v>
      </c>
      <c r="G13" s="434"/>
      <c r="H13" s="435">
        <f>SUMIF(72:72,G13,73:73)-SUMIF(72:72,C13,73:73)+100</f>
        <v>100</v>
      </c>
      <c r="I13" s="434"/>
      <c r="J13" s="435">
        <f>SUMIF(72:72,I13,73:73)-SUMIF(72:72,C13,73:73)+100</f>
        <v>100</v>
      </c>
      <c r="K13" s="2486"/>
      <c r="L13" s="1135"/>
      <c r="M13" s="1126"/>
      <c r="N13" s="1126"/>
      <c r="O13" s="1126"/>
      <c r="P13" s="3276"/>
      <c r="Q13" s="1781">
        <f t="shared" si="6"/>
        <v>0</v>
      </c>
      <c r="R13" s="769" t="s">
        <v>21</v>
      </c>
      <c r="S13" s="770">
        <f t="shared" si="0"/>
        <v>100</v>
      </c>
      <c r="T13" s="769" t="s">
        <v>21</v>
      </c>
      <c r="U13" s="770">
        <f t="shared" si="1"/>
        <v>100</v>
      </c>
      <c r="V13" s="769" t="s">
        <v>21</v>
      </c>
      <c r="W13" s="770">
        <f t="shared" si="2"/>
        <v>100</v>
      </c>
      <c r="X13" s="771"/>
      <c r="Y13" s="3142"/>
      <c r="Z13" s="55">
        <f t="shared" si="7"/>
        <v>0</v>
      </c>
      <c r="AA13" s="772">
        <f t="shared" si="3"/>
        <v>1</v>
      </c>
      <c r="AB13" s="772">
        <f t="shared" si="4"/>
        <v>1</v>
      </c>
      <c r="AC13" s="772">
        <f t="shared" si="5"/>
        <v>1</v>
      </c>
    </row>
    <row r="14" spans="1:29" ht="15.75" hidden="1" thickBot="1">
      <c r="A14" s="436"/>
      <c r="B14" s="2487"/>
      <c r="C14" s="437"/>
      <c r="D14" s="438">
        <v>100</v>
      </c>
      <c r="E14" s="437"/>
      <c r="F14" s="439">
        <f>SUMIF(74:74,E14,75:75)-SUMIF(74:74,C14,75:75)+100</f>
        <v>100</v>
      </c>
      <c r="G14" s="437"/>
      <c r="H14" s="438">
        <f>SUMIF(74:74,G14,75:75)-SUMIF(74:74,C14,75:75)+100</f>
        <v>100</v>
      </c>
      <c r="I14" s="437"/>
      <c r="J14" s="438">
        <f>SUMIF(74:74,I14,75:75)-SUMIF(74:74,C14,75:75)+100</f>
        <v>100</v>
      </c>
      <c r="K14" s="2486"/>
      <c r="L14" s="1135"/>
      <c r="M14" s="1126"/>
      <c r="N14" s="1126"/>
      <c r="O14" s="1126"/>
      <c r="P14" s="3276"/>
      <c r="Q14" s="1781">
        <f t="shared" si="6"/>
        <v>0</v>
      </c>
      <c r="R14" s="769" t="s">
        <v>21</v>
      </c>
      <c r="S14" s="770">
        <f t="shared" si="0"/>
        <v>100</v>
      </c>
      <c r="T14" s="769" t="s">
        <v>21</v>
      </c>
      <c r="U14" s="770">
        <f t="shared" si="1"/>
        <v>100</v>
      </c>
      <c r="V14" s="769" t="s">
        <v>21</v>
      </c>
      <c r="W14" s="770">
        <f t="shared" si="2"/>
        <v>100</v>
      </c>
      <c r="X14" s="771"/>
      <c r="Y14" s="3142"/>
      <c r="Z14" s="55">
        <f t="shared" si="7"/>
        <v>0</v>
      </c>
      <c r="AA14" s="772">
        <f t="shared" si="3"/>
        <v>1</v>
      </c>
      <c r="AB14" s="772">
        <f t="shared" si="4"/>
        <v>1</v>
      </c>
      <c r="AC14" s="772">
        <f t="shared" si="5"/>
        <v>1</v>
      </c>
    </row>
    <row r="15" spans="1:29" ht="15">
      <c r="A15" s="440" t="s">
        <v>2472</v>
      </c>
      <c r="B15" s="69" t="s">
        <v>2006</v>
      </c>
      <c r="C15" s="2488">
        <f>估价对象房地状况!C3</f>
        <v>0</v>
      </c>
      <c r="D15" s="441">
        <v>100</v>
      </c>
      <c r="E15" s="444"/>
      <c r="F15" s="441">
        <f>SUMIF(76:76,E16,77:77)-SUMIF(76:76,C16,77:77)+100</f>
        <v>100</v>
      </c>
      <c r="G15" s="444"/>
      <c r="H15" s="441">
        <f>SUMIF(76:76,G16,77:77)-SUMIF(76:76,C16,77:77)+100</f>
        <v>100</v>
      </c>
      <c r="I15" s="444"/>
      <c r="J15" s="441">
        <f>SUMIF(76:76,I16,77:77)-SUMIF(76:76,C16,77:77)+100</f>
        <v>100</v>
      </c>
      <c r="K15" s="445"/>
      <c r="L15" s="1135"/>
      <c r="M15" s="1126"/>
      <c r="N15" s="1126"/>
      <c r="O15" s="1126"/>
      <c r="P15" s="3274" t="s">
        <v>2473</v>
      </c>
      <c r="Q15" s="1796" t="str">
        <f t="shared" si="6"/>
        <v>居住社区成熟度</v>
      </c>
      <c r="R15" s="773" t="s">
        <v>21</v>
      </c>
      <c r="S15" s="774">
        <f t="shared" si="0"/>
        <v>100</v>
      </c>
      <c r="T15" s="773" t="s">
        <v>21</v>
      </c>
      <c r="U15" s="774">
        <f t="shared" si="1"/>
        <v>100</v>
      </c>
      <c r="V15" s="773" t="s">
        <v>21</v>
      </c>
      <c r="W15" s="774">
        <f t="shared" si="2"/>
        <v>100</v>
      </c>
      <c r="X15" s="1799"/>
      <c r="Y15" s="3267" t="s">
        <v>2473</v>
      </c>
      <c r="Z15" s="1800" t="str">
        <f t="shared" si="7"/>
        <v>居住社区成熟度</v>
      </c>
      <c r="AA15" s="1797">
        <f t="shared" si="3"/>
        <v>1</v>
      </c>
      <c r="AB15" s="1797">
        <f t="shared" si="4"/>
        <v>1</v>
      </c>
      <c r="AC15" s="1797">
        <f t="shared" si="5"/>
        <v>1</v>
      </c>
    </row>
    <row r="16" spans="1:29" ht="15">
      <c r="A16" s="428"/>
      <c r="B16" s="446"/>
      <c r="C16" s="447" t="s">
        <v>3548</v>
      </c>
      <c r="D16" s="448"/>
      <c r="E16" s="2489" t="s">
        <v>3548</v>
      </c>
      <c r="F16" s="448"/>
      <c r="G16" s="2489" t="s">
        <v>3548</v>
      </c>
      <c r="H16" s="450"/>
      <c r="I16" s="2489" t="s">
        <v>3548</v>
      </c>
      <c r="J16" s="448"/>
      <c r="K16" s="2491"/>
      <c r="L16" s="1135"/>
      <c r="M16" s="1126"/>
      <c r="N16" s="1126"/>
      <c r="O16" s="1126"/>
      <c r="P16" s="3275"/>
      <c r="Q16" s="1796"/>
      <c r="R16" s="773"/>
      <c r="S16" s="774"/>
      <c r="T16" s="773"/>
      <c r="U16" s="774"/>
      <c r="V16" s="773"/>
      <c r="W16" s="774"/>
      <c r="X16" s="1799"/>
      <c r="Y16" s="3268"/>
      <c r="Z16" s="1800"/>
      <c r="AA16" s="1797">
        <v>1</v>
      </c>
      <c r="AB16" s="1797">
        <v>1</v>
      </c>
      <c r="AC16" s="1797">
        <v>1</v>
      </c>
    </row>
    <row r="17" spans="1:29" ht="15">
      <c r="A17" s="428"/>
      <c r="B17" s="451" t="s">
        <v>2012</v>
      </c>
      <c r="C17" s="2492">
        <f>估价对象房地状况!C6</f>
        <v>0</v>
      </c>
      <c r="D17" s="450">
        <v>100</v>
      </c>
      <c r="E17" s="454"/>
      <c r="F17" s="450">
        <f>SUMIF(78:78,E18,79:79)-SUMIF(78:78,C18,79:79)+100</f>
        <v>100</v>
      </c>
      <c r="G17" s="454"/>
      <c r="H17" s="455">
        <f>SUMIF(78:78,G18,79:79)-SUMIF(78:78,C18,79:79)+100</f>
        <v>100</v>
      </c>
      <c r="I17" s="454"/>
      <c r="J17" s="455">
        <f>SUMIF(78:78,I18,79:79)-SUMIF(78:78,C18,79:79)+100</f>
        <v>100</v>
      </c>
      <c r="K17" s="445"/>
      <c r="L17" s="1135"/>
      <c r="M17" s="1126"/>
      <c r="N17" s="1126"/>
      <c r="O17" s="1126"/>
      <c r="P17" s="3275"/>
      <c r="Q17" s="1796" t="str">
        <f>B17</f>
        <v>交通便捷度</v>
      </c>
      <c r="R17" s="773" t="s">
        <v>21</v>
      </c>
      <c r="S17" s="774">
        <f>F17</f>
        <v>100</v>
      </c>
      <c r="T17" s="773" t="s">
        <v>21</v>
      </c>
      <c r="U17" s="774">
        <f>H17</f>
        <v>100</v>
      </c>
      <c r="V17" s="773" t="s">
        <v>21</v>
      </c>
      <c r="W17" s="774">
        <f>J17</f>
        <v>100</v>
      </c>
      <c r="X17" s="1799"/>
      <c r="Y17" s="3268"/>
      <c r="Z17" s="1800" t="str">
        <f>Q17</f>
        <v>交通便捷度</v>
      </c>
      <c r="AA17" s="1797">
        <f t="shared" si="3"/>
        <v>1</v>
      </c>
      <c r="AB17" s="1797">
        <f t="shared" si="4"/>
        <v>1</v>
      </c>
      <c r="AC17" s="1797">
        <f t="shared" si="5"/>
        <v>1</v>
      </c>
    </row>
    <row r="18" spans="1:29" ht="15">
      <c r="A18" s="428"/>
      <c r="B18" s="456"/>
      <c r="C18" s="2493" t="s">
        <v>3548</v>
      </c>
      <c r="D18" s="450"/>
      <c r="E18" s="2494" t="s">
        <v>3548</v>
      </c>
      <c r="F18" s="450"/>
      <c r="G18" s="2494" t="s">
        <v>3548</v>
      </c>
      <c r="H18" s="448"/>
      <c r="I18" s="2494" t="s">
        <v>3548</v>
      </c>
      <c r="J18" s="448"/>
      <c r="K18" s="2491"/>
      <c r="L18" s="1135"/>
      <c r="M18" s="1126"/>
      <c r="N18" s="1126"/>
      <c r="O18" s="1126"/>
      <c r="P18" s="3275"/>
      <c r="Q18" s="1796"/>
      <c r="R18" s="773"/>
      <c r="S18" s="774"/>
      <c r="T18" s="773"/>
      <c r="U18" s="774"/>
      <c r="V18" s="773"/>
      <c r="W18" s="774"/>
      <c r="X18" s="1799"/>
      <c r="Y18" s="3268"/>
      <c r="Z18" s="1800"/>
      <c r="AA18" s="1797">
        <v>1</v>
      </c>
      <c r="AB18" s="1797">
        <v>1</v>
      </c>
      <c r="AC18" s="1797">
        <v>1</v>
      </c>
    </row>
    <row r="19" spans="1:29" ht="15">
      <c r="A19" s="428"/>
      <c r="B19" s="451" t="s">
        <v>2011</v>
      </c>
      <c r="C19" s="2492">
        <f>估价对象房地状况!C7</f>
        <v>0</v>
      </c>
      <c r="D19" s="455">
        <v>100</v>
      </c>
      <c r="E19" s="459"/>
      <c r="F19" s="455">
        <f>SUMIF(80:80,E20,81:81)-SUMIF(80:80,C20,81:81)+100</f>
        <v>100</v>
      </c>
      <c r="G19" s="459"/>
      <c r="H19" s="450">
        <f>SUMIF(80:80,G20,81:81)-SUMIF(80:80,C20,81:81)+100</f>
        <v>100</v>
      </c>
      <c r="I19" s="459"/>
      <c r="J19" s="450">
        <f>SUMIF(80:80,I20,81:81)-SUMIF(80:80,C20,81:81)+100</f>
        <v>100</v>
      </c>
      <c r="K19" s="445"/>
      <c r="L19" s="1135"/>
      <c r="M19" s="1126"/>
      <c r="N19" s="1126"/>
      <c r="O19" s="1126"/>
      <c r="P19" s="3275"/>
      <c r="Q19" s="1796" t="str">
        <f>B19</f>
        <v>公共配套设施</v>
      </c>
      <c r="R19" s="773" t="s">
        <v>21</v>
      </c>
      <c r="S19" s="774">
        <f>F19</f>
        <v>100</v>
      </c>
      <c r="T19" s="773" t="s">
        <v>21</v>
      </c>
      <c r="U19" s="774">
        <f>H19</f>
        <v>100</v>
      </c>
      <c r="V19" s="773" t="s">
        <v>21</v>
      </c>
      <c r="W19" s="774">
        <f>J19</f>
        <v>100</v>
      </c>
      <c r="X19" s="1799"/>
      <c r="Y19" s="3268"/>
      <c r="Z19" s="1800" t="str">
        <f>Q19</f>
        <v>公共配套设施</v>
      </c>
      <c r="AA19" s="1797">
        <f t="shared" si="3"/>
        <v>1</v>
      </c>
      <c r="AB19" s="1797">
        <f t="shared" si="4"/>
        <v>1</v>
      </c>
      <c r="AC19" s="1797">
        <f t="shared" si="5"/>
        <v>1</v>
      </c>
    </row>
    <row r="20" spans="1:29" ht="15">
      <c r="A20" s="428"/>
      <c r="B20" s="456"/>
      <c r="C20" s="447" t="s">
        <v>3549</v>
      </c>
      <c r="D20" s="448"/>
      <c r="E20" s="2489" t="s">
        <v>3549</v>
      </c>
      <c r="F20" s="448"/>
      <c r="G20" s="2489" t="s">
        <v>3549</v>
      </c>
      <c r="H20" s="448"/>
      <c r="I20" s="2489" t="s">
        <v>3549</v>
      </c>
      <c r="J20" s="448"/>
      <c r="K20" s="2491"/>
      <c r="L20" s="1135"/>
      <c r="M20" s="1126"/>
      <c r="N20" s="1126"/>
      <c r="O20" s="1126"/>
      <c r="P20" s="3275"/>
      <c r="Q20" s="1796"/>
      <c r="R20" s="773"/>
      <c r="S20" s="774"/>
      <c r="T20" s="773"/>
      <c r="U20" s="774"/>
      <c r="V20" s="773"/>
      <c r="W20" s="774"/>
      <c r="X20" s="1799"/>
      <c r="Y20" s="3268"/>
      <c r="Z20" s="1800"/>
      <c r="AA20" s="1797">
        <v>1</v>
      </c>
      <c r="AB20" s="1797">
        <v>1</v>
      </c>
      <c r="AC20" s="1797">
        <v>1</v>
      </c>
    </row>
    <row r="21" spans="1:29" ht="15">
      <c r="A21" s="428"/>
      <c r="B21" s="1371" t="s">
        <v>2013</v>
      </c>
      <c r="C21" s="2492">
        <f>估价对象房地状况!C8</f>
        <v>0</v>
      </c>
      <c r="D21" s="450">
        <v>100</v>
      </c>
      <c r="E21" s="459"/>
      <c r="F21" s="455">
        <f>SUMIF(82:82,E22,83:83)-SUMIF(82:82,C22,83:83)+100</f>
        <v>100</v>
      </c>
      <c r="G21" s="459"/>
      <c r="H21" s="450">
        <f>SUMIF(82:82,G22,83:83)-SUMIF(82:82,C22,83:83)+100</f>
        <v>100</v>
      </c>
      <c r="I21" s="459"/>
      <c r="J21" s="450">
        <f>SUMIF(82:82,I22,83:83)-SUMIF(82:82,C22,83:83)+100</f>
        <v>100</v>
      </c>
      <c r="K21" s="445"/>
      <c r="L21" s="1135"/>
      <c r="M21" s="1126"/>
      <c r="N21" s="1126"/>
      <c r="O21" s="1126"/>
      <c r="P21" s="3275"/>
      <c r="Q21" s="1796" t="str">
        <f>B21</f>
        <v>基础设施水平</v>
      </c>
      <c r="R21" s="773" t="s">
        <v>17</v>
      </c>
      <c r="S21" s="774">
        <f>F21</f>
        <v>100</v>
      </c>
      <c r="T21" s="773" t="s">
        <v>17</v>
      </c>
      <c r="U21" s="774">
        <f>H21</f>
        <v>100</v>
      </c>
      <c r="V21" s="773" t="s">
        <v>17</v>
      </c>
      <c r="W21" s="774">
        <f>J21</f>
        <v>100</v>
      </c>
      <c r="X21" s="1799"/>
      <c r="Y21" s="3268"/>
      <c r="Z21" s="1800" t="str">
        <f>Q21</f>
        <v>基础设施水平</v>
      </c>
      <c r="AA21" s="1797">
        <f t="shared" ref="AA21" si="8">D21/F21</f>
        <v>1</v>
      </c>
      <c r="AB21" s="1797">
        <f t="shared" ref="AB21" si="9">D21/H21</f>
        <v>1</v>
      </c>
      <c r="AC21" s="1797">
        <f t="shared" ref="AC21" si="10">D21/J21</f>
        <v>1</v>
      </c>
    </row>
    <row r="22" spans="1:29" ht="15">
      <c r="A22" s="428"/>
      <c r="B22" s="1371"/>
      <c r="C22" s="2493" t="s">
        <v>3550</v>
      </c>
      <c r="D22" s="448"/>
      <c r="E22" s="447" t="s">
        <v>3550</v>
      </c>
      <c r="F22" s="448"/>
      <c r="G22" s="447" t="s">
        <v>3550</v>
      </c>
      <c r="H22" s="448"/>
      <c r="I22" s="447" t="s">
        <v>3550</v>
      </c>
      <c r="J22" s="448"/>
      <c r="K22" s="2497"/>
      <c r="L22" s="1135"/>
      <c r="M22" s="1126"/>
      <c r="N22" s="1126"/>
      <c r="O22" s="1126"/>
      <c r="P22" s="3275"/>
      <c r="Q22" s="1796"/>
      <c r="R22" s="773"/>
      <c r="S22" s="774"/>
      <c r="T22" s="773"/>
      <c r="U22" s="774"/>
      <c r="V22" s="773"/>
      <c r="W22" s="774"/>
      <c r="X22" s="1799"/>
      <c r="Y22" s="3268"/>
      <c r="Z22" s="1800"/>
      <c r="AA22" s="1797">
        <v>1</v>
      </c>
      <c r="AB22" s="1797">
        <v>1</v>
      </c>
      <c r="AC22" s="1797">
        <v>1</v>
      </c>
    </row>
    <row r="23" spans="1:29" ht="15">
      <c r="A23" s="428"/>
      <c r="B23" s="451" t="s">
        <v>2015</v>
      </c>
      <c r="C23" s="2492">
        <f>估价对象房地状况!C9</f>
        <v>0</v>
      </c>
      <c r="D23" s="450">
        <v>100</v>
      </c>
      <c r="E23" s="454"/>
      <c r="F23" s="450">
        <f>SUMIF(84:84,E24,85:85)-SUMIF(84:84,C24,85:85)+100</f>
        <v>100</v>
      </c>
      <c r="G23" s="454"/>
      <c r="H23" s="450">
        <f>SUMIF(84:84,G24,85:85)-SUMIF(84:84,C24,85:85)+100</f>
        <v>100</v>
      </c>
      <c r="I23" s="454"/>
      <c r="J23" s="450">
        <f>SUMIF(84:84,I24,85:85)-SUMIF(84:84,C24,85:85)+100</f>
        <v>100</v>
      </c>
      <c r="K23" s="445"/>
      <c r="L23" s="1135"/>
      <c r="M23" s="1126"/>
      <c r="N23" s="1126"/>
      <c r="O23" s="1126"/>
      <c r="P23" s="3275"/>
      <c r="Q23" s="1796" t="str">
        <f>B23</f>
        <v>自然及人文环境</v>
      </c>
      <c r="R23" s="773" t="s">
        <v>21</v>
      </c>
      <c r="S23" s="774">
        <f>F23</f>
        <v>100</v>
      </c>
      <c r="T23" s="773" t="s">
        <v>21</v>
      </c>
      <c r="U23" s="774">
        <f>H23</f>
        <v>100</v>
      </c>
      <c r="V23" s="773" t="s">
        <v>21</v>
      </c>
      <c r="W23" s="774">
        <f>J23</f>
        <v>100</v>
      </c>
      <c r="X23" s="1799"/>
      <c r="Y23" s="3268"/>
      <c r="Z23" s="1800" t="str">
        <f>Q23</f>
        <v>自然及人文环境</v>
      </c>
      <c r="AA23" s="1797">
        <f>D23/F23</f>
        <v>1</v>
      </c>
      <c r="AB23" s="1797">
        <f>D23/H23</f>
        <v>1</v>
      </c>
      <c r="AC23" s="1797">
        <f>D23/J23</f>
        <v>1</v>
      </c>
    </row>
    <row r="24" spans="1:29" ht="15">
      <c r="A24" s="428"/>
      <c r="B24" s="456"/>
      <c r="C24" s="447" t="s">
        <v>3548</v>
      </c>
      <c r="D24" s="448"/>
      <c r="E24" s="2489" t="s">
        <v>3548</v>
      </c>
      <c r="F24" s="448"/>
      <c r="G24" s="2489" t="s">
        <v>3548</v>
      </c>
      <c r="H24" s="448"/>
      <c r="I24" s="2489" t="s">
        <v>3548</v>
      </c>
      <c r="J24" s="448"/>
      <c r="K24" s="2491"/>
      <c r="L24" s="1135"/>
      <c r="M24" s="1126"/>
      <c r="N24" s="1126"/>
      <c r="O24" s="1126"/>
      <c r="P24" s="3275"/>
      <c r="Q24" s="1796"/>
      <c r="R24" s="773"/>
      <c r="S24" s="774"/>
      <c r="T24" s="773"/>
      <c r="U24" s="774"/>
      <c r="V24" s="773"/>
      <c r="W24" s="774"/>
      <c r="X24" s="1799"/>
      <c r="Y24" s="3268"/>
      <c r="Z24" s="1800"/>
      <c r="AA24" s="1797">
        <v>1</v>
      </c>
      <c r="AB24" s="1797">
        <v>1</v>
      </c>
      <c r="AC24" s="1797">
        <v>1</v>
      </c>
    </row>
    <row r="25" spans="1:29" ht="15" hidden="1">
      <c r="A25" s="428"/>
      <c r="B25" s="422" t="s">
        <v>2474</v>
      </c>
      <c r="C25" s="460"/>
      <c r="D25" s="435">
        <v>100</v>
      </c>
      <c r="E25" s="2498"/>
      <c r="F25" s="435">
        <f>SUMIF(86:86,E25,87:87)-SUMIF(86:86,C25,87:87)+100</f>
        <v>100</v>
      </c>
      <c r="G25" s="2499"/>
      <c r="H25" s="435">
        <f>SUMIF(86:86,G25,87:87)-SUMIF(86:86,C25,87:87)+100</f>
        <v>100</v>
      </c>
      <c r="I25" s="2499"/>
      <c r="J25" s="435">
        <f>SUMIF(86:86,I25,87:87)-SUMIF(86:86,C25,87:87)+100</f>
        <v>100</v>
      </c>
      <c r="K25" s="426">
        <v>0</v>
      </c>
      <c r="L25" s="1135"/>
      <c r="M25" s="1126"/>
      <c r="N25" s="1126"/>
      <c r="O25" s="1126"/>
      <c r="P25" s="3275"/>
      <c r="Q25" s="1796" t="str">
        <f t="shared" ref="Q25:Q46" si="11">B25</f>
        <v>楼层-1</v>
      </c>
      <c r="R25" s="773" t="s">
        <v>21</v>
      </c>
      <c r="S25" s="774">
        <f t="shared" ref="S25:S46" si="12">F25</f>
        <v>100</v>
      </c>
      <c r="T25" s="773" t="s">
        <v>21</v>
      </c>
      <c r="U25" s="774">
        <f t="shared" ref="U25:U46" si="13">H25</f>
        <v>100</v>
      </c>
      <c r="V25" s="773" t="s">
        <v>21</v>
      </c>
      <c r="W25" s="774">
        <f t="shared" ref="W25:W46" si="14">J25</f>
        <v>100</v>
      </c>
      <c r="X25" s="1799"/>
      <c r="Y25" s="3268"/>
      <c r="Z25" s="1800" t="str">
        <f>Q25</f>
        <v>楼层-1</v>
      </c>
      <c r="AA25" s="1797">
        <f t="shared" ref="AA25:AA46" si="15">D25/F25</f>
        <v>1</v>
      </c>
      <c r="AB25" s="1797">
        <f t="shared" ref="AB25:AB46" si="16">D25/H25</f>
        <v>1</v>
      </c>
      <c r="AC25" s="1797">
        <f t="shared" ref="AC25:AC46" si="17">D25/J25</f>
        <v>1</v>
      </c>
    </row>
    <row r="26" spans="1:29" ht="15" hidden="1">
      <c r="A26" s="428"/>
      <c r="B26" s="422" t="s">
        <v>2475</v>
      </c>
      <c r="C26" s="460"/>
      <c r="D26" s="435">
        <v>100</v>
      </c>
      <c r="E26" s="2498"/>
      <c r="F26" s="435">
        <f>SUMIF(88:88,E26,89:89)-SUMIF(88:88,C26,89:89)+100</f>
        <v>100</v>
      </c>
      <c r="G26" s="2499"/>
      <c r="H26" s="435">
        <f>SUMIF(88:88,G26,89:89)-SUMIF(88:88,C26,89:89)+100</f>
        <v>100</v>
      </c>
      <c r="I26" s="2499"/>
      <c r="J26" s="435">
        <f>SUMIF(88:88,I26,89:89)-SUMIF(88:88,C26,89:89)+100</f>
        <v>100</v>
      </c>
      <c r="K26" s="426"/>
      <c r="L26" s="1135"/>
      <c r="M26" s="1126"/>
      <c r="N26" s="1126"/>
      <c r="O26" s="1126"/>
      <c r="P26" s="3275"/>
      <c r="Q26" s="1796" t="str">
        <f t="shared" si="11"/>
        <v>朝向</v>
      </c>
      <c r="R26" s="773" t="s">
        <v>21</v>
      </c>
      <c r="S26" s="774">
        <f t="shared" si="12"/>
        <v>100</v>
      </c>
      <c r="T26" s="773" t="s">
        <v>21</v>
      </c>
      <c r="U26" s="774">
        <f t="shared" si="13"/>
        <v>100</v>
      </c>
      <c r="V26" s="773" t="s">
        <v>21</v>
      </c>
      <c r="W26" s="774">
        <f t="shared" si="14"/>
        <v>100</v>
      </c>
      <c r="X26" s="1799"/>
      <c r="Y26" s="3268"/>
      <c r="Z26" s="1800" t="str">
        <f>Q26</f>
        <v>朝向</v>
      </c>
      <c r="AA26" s="1797">
        <f t="shared" si="15"/>
        <v>1</v>
      </c>
      <c r="AB26" s="1797">
        <f t="shared" si="16"/>
        <v>1</v>
      </c>
      <c r="AC26" s="1797">
        <f t="shared" si="17"/>
        <v>1</v>
      </c>
    </row>
    <row r="27" spans="1:29" s="117" customFormat="1" ht="15">
      <c r="A27" s="431"/>
      <c r="B27" s="2997" t="s">
        <v>3580</v>
      </c>
      <c r="C27" s="2998" t="s">
        <v>3578</v>
      </c>
      <c r="D27" s="462">
        <v>100</v>
      </c>
      <c r="E27" s="2999" t="s">
        <v>3579</v>
      </c>
      <c r="F27" s="462">
        <f>SUMIF(90:90,E27,91:91)-SUMIF(90:90,C27,91:91)+100</f>
        <v>99</v>
      </c>
      <c r="G27" s="3000" t="s">
        <v>3588</v>
      </c>
      <c r="H27" s="462">
        <f>SUMIF(90:90,G27,91:91)-SUMIF(90:90,C27,91:91)+100</f>
        <v>105.5</v>
      </c>
      <c r="I27" s="3000" t="s">
        <v>3582</v>
      </c>
      <c r="J27" s="462">
        <f>SUMIF(90:90,I27,91:91)-SUMIF(90:90,C27,91:91)+100</f>
        <v>101</v>
      </c>
      <c r="K27" s="2486"/>
      <c r="L27" s="1127"/>
      <c r="M27" s="1128"/>
      <c r="N27" s="1128"/>
      <c r="O27" s="1128"/>
      <c r="P27" s="3275"/>
      <c r="Q27" s="1781" t="str">
        <f t="shared" si="11"/>
        <v>朝向</v>
      </c>
      <c r="R27" s="769" t="s">
        <v>21</v>
      </c>
      <c r="S27" s="770">
        <f t="shared" si="12"/>
        <v>99</v>
      </c>
      <c r="T27" s="769" t="s">
        <v>21</v>
      </c>
      <c r="U27" s="770">
        <f t="shared" si="13"/>
        <v>105.5</v>
      </c>
      <c r="V27" s="769" t="s">
        <v>21</v>
      </c>
      <c r="W27" s="770">
        <f t="shared" si="14"/>
        <v>101</v>
      </c>
      <c r="X27" s="771"/>
      <c r="Y27" s="3268"/>
      <c r="Z27" s="55" t="str">
        <f>Q27</f>
        <v>朝向</v>
      </c>
      <c r="AA27" s="1797">
        <f t="shared" si="15"/>
        <v>1.0101010101010102</v>
      </c>
      <c r="AB27" s="1797">
        <f t="shared" si="16"/>
        <v>0.94786729857819907</v>
      </c>
      <c r="AC27" s="1797">
        <f t="shared" si="17"/>
        <v>0.99009900990099009</v>
      </c>
    </row>
    <row r="28" spans="1:29" ht="15.75" thickBot="1">
      <c r="A28" s="428"/>
      <c r="B28" s="2997" t="s">
        <v>3581</v>
      </c>
      <c r="C28" s="3001" t="s">
        <v>3585</v>
      </c>
      <c r="D28" s="435">
        <v>100</v>
      </c>
      <c r="E28" s="3001" t="s">
        <v>3586</v>
      </c>
      <c r="F28" s="435">
        <f>SUMIF(92:92,E28,93:93)-SUMIF(92:92,C28,93:93)+100</f>
        <v>95</v>
      </c>
      <c r="G28" s="3002" t="s">
        <v>3587</v>
      </c>
      <c r="H28" s="435">
        <f>SUMIF(92:92,G28,93:93)-SUMIF(92:92,C28,93:93)+100</f>
        <v>105</v>
      </c>
      <c r="I28" s="3001" t="s">
        <v>3586</v>
      </c>
      <c r="J28" s="435">
        <f>SUMIF(92:92,I28,93:93)-SUMIF(92:92,C28,93:93)+100</f>
        <v>95</v>
      </c>
      <c r="K28" s="2486"/>
      <c r="L28" s="1135"/>
      <c r="M28" s="1126"/>
      <c r="N28" s="1126"/>
      <c r="O28" s="1126"/>
      <c r="P28" s="3275"/>
      <c r="Q28" s="1796" t="str">
        <f t="shared" si="11"/>
        <v>楼层</v>
      </c>
      <c r="R28" s="773" t="s">
        <v>21</v>
      </c>
      <c r="S28" s="774">
        <f t="shared" si="12"/>
        <v>95</v>
      </c>
      <c r="T28" s="773" t="s">
        <v>21</v>
      </c>
      <c r="U28" s="774">
        <f t="shared" si="13"/>
        <v>105</v>
      </c>
      <c r="V28" s="773" t="s">
        <v>21</v>
      </c>
      <c r="W28" s="774">
        <f t="shared" si="14"/>
        <v>95</v>
      </c>
      <c r="X28" s="1799"/>
      <c r="Y28" s="3268"/>
      <c r="Z28" s="1800" t="str">
        <f t="shared" ref="Z28:Z46" si="18">Q28</f>
        <v>楼层</v>
      </c>
      <c r="AA28" s="1797">
        <f t="shared" si="15"/>
        <v>1.0526315789473684</v>
      </c>
      <c r="AB28" s="1797">
        <f t="shared" si="16"/>
        <v>0.95238095238095233</v>
      </c>
      <c r="AC28" s="1797">
        <f t="shared" si="17"/>
        <v>1.0526315789473684</v>
      </c>
    </row>
    <row r="29" spans="1:29" ht="15" hidden="1">
      <c r="A29" s="428"/>
      <c r="B29" s="1373"/>
      <c r="C29" s="434"/>
      <c r="D29" s="435">
        <v>100</v>
      </c>
      <c r="E29" s="434"/>
      <c r="F29" s="435">
        <f>SUMIF(94:94,E29,95:95)-SUMIF(94:94,C29,95:95)+100</f>
        <v>100</v>
      </c>
      <c r="G29" s="2500"/>
      <c r="H29" s="435">
        <f>SUMIF(94:94,G29,95:95)-SUMIF(94:94,C29,95:95)+100</f>
        <v>100</v>
      </c>
      <c r="I29" s="434"/>
      <c r="J29" s="435">
        <f>SUMIF(94:94,I29,95:95)-SUMIF(94:94,C29,95:95)+100</f>
        <v>100</v>
      </c>
      <c r="K29" s="2486"/>
      <c r="L29" s="1135"/>
      <c r="M29" s="1126"/>
      <c r="N29" s="1126"/>
      <c r="O29" s="1126"/>
      <c r="P29" s="3275"/>
      <c r="Q29" s="1796">
        <f t="shared" si="11"/>
        <v>0</v>
      </c>
      <c r="R29" s="773" t="s">
        <v>21</v>
      </c>
      <c r="S29" s="774">
        <f t="shared" si="12"/>
        <v>100</v>
      </c>
      <c r="T29" s="773" t="s">
        <v>21</v>
      </c>
      <c r="U29" s="774">
        <f t="shared" si="13"/>
        <v>100</v>
      </c>
      <c r="V29" s="773" t="s">
        <v>21</v>
      </c>
      <c r="W29" s="774">
        <f t="shared" si="14"/>
        <v>100</v>
      </c>
      <c r="X29" s="1799"/>
      <c r="Y29" s="3268"/>
      <c r="Z29" s="1800">
        <f t="shared" si="18"/>
        <v>0</v>
      </c>
      <c r="AA29" s="1797">
        <f t="shared" si="15"/>
        <v>1</v>
      </c>
      <c r="AB29" s="1797">
        <f t="shared" si="16"/>
        <v>1</v>
      </c>
      <c r="AC29" s="1797">
        <f t="shared" si="17"/>
        <v>1</v>
      </c>
    </row>
    <row r="30" spans="1:29" ht="15" hidden="1">
      <c r="A30" s="428"/>
      <c r="B30" s="1373"/>
      <c r="C30" s="434"/>
      <c r="D30" s="435">
        <v>100</v>
      </c>
      <c r="E30" s="434"/>
      <c r="F30" s="435">
        <f>SUMIF(96:96,E30,97:97)-SUMIF(96:96,C30,97:97)+100</f>
        <v>100</v>
      </c>
      <c r="G30" s="2500"/>
      <c r="H30" s="435">
        <f>SUMIF(96:96,G30,97:97)-SUMIF(96:96,C30,97:97)+100</f>
        <v>100</v>
      </c>
      <c r="I30" s="434"/>
      <c r="J30" s="435">
        <f>SUMIF(96:96,I30,97:97)-SUMIF(96:96,C30,97:97)+100</f>
        <v>100</v>
      </c>
      <c r="K30" s="2486"/>
      <c r="L30" s="1135"/>
      <c r="M30" s="1126"/>
      <c r="N30" s="1126"/>
      <c r="O30" s="1126"/>
      <c r="P30" s="3275"/>
      <c r="Q30" s="1796">
        <f t="shared" si="11"/>
        <v>0</v>
      </c>
      <c r="R30" s="773" t="s">
        <v>21</v>
      </c>
      <c r="S30" s="774">
        <f t="shared" si="12"/>
        <v>100</v>
      </c>
      <c r="T30" s="773" t="s">
        <v>21</v>
      </c>
      <c r="U30" s="774">
        <f t="shared" si="13"/>
        <v>100</v>
      </c>
      <c r="V30" s="773" t="s">
        <v>21</v>
      </c>
      <c r="W30" s="774">
        <f t="shared" si="14"/>
        <v>100</v>
      </c>
      <c r="X30" s="1799"/>
      <c r="Y30" s="3268"/>
      <c r="Z30" s="1800">
        <f t="shared" si="18"/>
        <v>0</v>
      </c>
      <c r="AA30" s="1797">
        <f t="shared" si="15"/>
        <v>1</v>
      </c>
      <c r="AB30" s="1797">
        <f t="shared" si="16"/>
        <v>1</v>
      </c>
      <c r="AC30" s="1797">
        <f t="shared" si="17"/>
        <v>1</v>
      </c>
    </row>
    <row r="31" spans="1:29" ht="15.75" hidden="1" thickBot="1">
      <c r="A31" s="436"/>
      <c r="B31" s="1373"/>
      <c r="C31" s="437"/>
      <c r="D31" s="438">
        <v>100</v>
      </c>
      <c r="E31" s="437"/>
      <c r="F31" s="438">
        <f>SUMIF(98:98,E31,99:99)-SUMIF(98:98,C31,99:99)+100</f>
        <v>100</v>
      </c>
      <c r="G31" s="2501"/>
      <c r="H31" s="438">
        <f>SUMIF(98:98,G31,99:99)-SUMIF(98:98,C31,99:99)+100</f>
        <v>100</v>
      </c>
      <c r="I31" s="437"/>
      <c r="J31" s="438">
        <f>SUMIF(98:98,I31,99:99)-SUMIF(98:98,C31,99:99)+100</f>
        <v>100</v>
      </c>
      <c r="K31" s="2486"/>
      <c r="L31" s="1135"/>
      <c r="M31" s="1126"/>
      <c r="N31" s="1126"/>
      <c r="O31" s="1126"/>
      <c r="P31" s="3275"/>
      <c r="Q31" s="1796">
        <f t="shared" si="11"/>
        <v>0</v>
      </c>
      <c r="R31" s="773" t="s">
        <v>21</v>
      </c>
      <c r="S31" s="774">
        <f t="shared" si="12"/>
        <v>100</v>
      </c>
      <c r="T31" s="773" t="s">
        <v>21</v>
      </c>
      <c r="U31" s="774">
        <f t="shared" si="13"/>
        <v>100</v>
      </c>
      <c r="V31" s="773" t="s">
        <v>21</v>
      </c>
      <c r="W31" s="774">
        <f t="shared" si="14"/>
        <v>100</v>
      </c>
      <c r="X31" s="1799"/>
      <c r="Y31" s="3268"/>
      <c r="Z31" s="1800">
        <f t="shared" si="18"/>
        <v>0</v>
      </c>
      <c r="AA31" s="1797">
        <f t="shared" si="15"/>
        <v>1</v>
      </c>
      <c r="AB31" s="1797">
        <f t="shared" si="16"/>
        <v>1</v>
      </c>
      <c r="AC31" s="1797">
        <f t="shared" si="17"/>
        <v>1</v>
      </c>
    </row>
    <row r="32" spans="1:29" ht="15">
      <c r="A32" s="440" t="s">
        <v>2476</v>
      </c>
      <c r="B32" s="71" t="s">
        <v>2477</v>
      </c>
      <c r="C32" s="2502" t="s">
        <v>3554</v>
      </c>
      <c r="D32" s="467">
        <v>100</v>
      </c>
      <c r="E32" s="2502" t="s">
        <v>3554</v>
      </c>
      <c r="F32" s="461">
        <f>SUMIF(100:100,E32,101:101)-SUMIF(100:100,C32,101:101)+100</f>
        <v>100</v>
      </c>
      <c r="G32" s="2502" t="s">
        <v>3591</v>
      </c>
      <c r="H32" s="467">
        <f>SUMIF(100:100,G32,101:101)-SUMIF(100:100,C32,101:101)+100</f>
        <v>105</v>
      </c>
      <c r="I32" s="2502" t="s">
        <v>3591</v>
      </c>
      <c r="J32" s="435">
        <f>SUMIF(100:100,I32,101:101)-SUMIF(100:100,C32,101:101)+100</f>
        <v>105</v>
      </c>
      <c r="K32" s="426">
        <v>5</v>
      </c>
      <c r="L32" s="1135"/>
      <c r="M32" s="1126"/>
      <c r="N32" s="1126"/>
      <c r="O32" s="1126"/>
      <c r="P32" s="3269" t="s">
        <v>2478</v>
      </c>
      <c r="Q32" s="1796" t="str">
        <f t="shared" si="11"/>
        <v>建筑类型</v>
      </c>
      <c r="R32" s="773" t="s">
        <v>21</v>
      </c>
      <c r="S32" s="774">
        <f t="shared" si="12"/>
        <v>100</v>
      </c>
      <c r="T32" s="773" t="s">
        <v>21</v>
      </c>
      <c r="U32" s="774">
        <f t="shared" si="13"/>
        <v>105</v>
      </c>
      <c r="V32" s="773" t="s">
        <v>21</v>
      </c>
      <c r="W32" s="774">
        <f t="shared" si="14"/>
        <v>105</v>
      </c>
      <c r="X32" s="1799"/>
      <c r="Y32" s="3272" t="s">
        <v>2478</v>
      </c>
      <c r="Z32" s="1800" t="str">
        <f t="shared" si="18"/>
        <v>建筑类型</v>
      </c>
      <c r="AA32" s="1797">
        <f t="shared" si="15"/>
        <v>1</v>
      </c>
      <c r="AB32" s="1797">
        <f t="shared" si="16"/>
        <v>0.95238095238095233</v>
      </c>
      <c r="AC32" s="1797">
        <f t="shared" si="17"/>
        <v>0.95238095238095233</v>
      </c>
    </row>
    <row r="33" spans="1:29" s="471" customFormat="1" ht="15" hidden="1">
      <c r="A33" s="468"/>
      <c r="B33" s="422" t="s">
        <v>2479</v>
      </c>
      <c r="C33" s="469">
        <v>100</v>
      </c>
      <c r="D33" s="136">
        <v>100</v>
      </c>
      <c r="E33" s="469">
        <v>100</v>
      </c>
      <c r="F33" s="425">
        <f>LOOKUP(E33,103:103,104:104)-LOOKUP(C33,103:103,104:104)+100</f>
        <v>100</v>
      </c>
      <c r="G33" s="469">
        <v>100</v>
      </c>
      <c r="H33" s="136">
        <f>LOOKUP(G33,103:103,104:104)-LOOKUP(C33,103:103,104:104)+100</f>
        <v>100</v>
      </c>
      <c r="I33" s="469">
        <v>100</v>
      </c>
      <c r="J33" s="136">
        <f>LOOKUP(I33,103:103,104:104)-LOOKUP(C33,103:103,104:104)+100</f>
        <v>100</v>
      </c>
      <c r="K33" s="2486"/>
      <c r="L33" s="1133"/>
      <c r="M33" s="1136"/>
      <c r="N33" s="1136"/>
      <c r="O33" s="1136"/>
      <c r="P33" s="3270"/>
      <c r="Q33" s="775" t="str">
        <f t="shared" si="11"/>
        <v>项目建筑规模</v>
      </c>
      <c r="R33" s="776" t="s">
        <v>21</v>
      </c>
      <c r="S33" s="777">
        <f t="shared" si="12"/>
        <v>100</v>
      </c>
      <c r="T33" s="776" t="s">
        <v>21</v>
      </c>
      <c r="U33" s="777">
        <f t="shared" si="13"/>
        <v>100</v>
      </c>
      <c r="V33" s="776" t="s">
        <v>21</v>
      </c>
      <c r="W33" s="777">
        <f t="shared" si="14"/>
        <v>100</v>
      </c>
      <c r="X33" s="778"/>
      <c r="Y33" s="3272"/>
      <c r="Z33" s="779" t="str">
        <f t="shared" si="18"/>
        <v>项目建筑规模</v>
      </c>
      <c r="AA33" s="1797">
        <f t="shared" si="15"/>
        <v>1</v>
      </c>
      <c r="AB33" s="1797">
        <f t="shared" si="16"/>
        <v>1</v>
      </c>
      <c r="AC33" s="1797">
        <f t="shared" si="17"/>
        <v>1</v>
      </c>
    </row>
    <row r="34" spans="1:29" ht="15">
      <c r="A34" s="472"/>
      <c r="B34" s="422" t="s">
        <v>2480</v>
      </c>
      <c r="C34" s="2503" t="s">
        <v>3552</v>
      </c>
      <c r="D34" s="435">
        <v>100</v>
      </c>
      <c r="E34" s="2503" t="s">
        <v>3552</v>
      </c>
      <c r="F34" s="461">
        <f>SUMIF(105:105,E34,106:106)-SUMIF(105:105,C34,106:106)+100</f>
        <v>100</v>
      </c>
      <c r="G34" s="2503" t="s">
        <v>3552</v>
      </c>
      <c r="H34" s="435">
        <f>SUMIF(105:105,G34,106:106)-SUMIF(105:105,C34,106:106)+100</f>
        <v>100</v>
      </c>
      <c r="I34" s="2503" t="s">
        <v>3552</v>
      </c>
      <c r="J34" s="435">
        <f>SUMIF(105:105,I34,106:106)-SUMIF(105:105,C34,106:106)+100</f>
        <v>100</v>
      </c>
      <c r="K34" s="426"/>
      <c r="L34" s="1135"/>
      <c r="M34" s="1126"/>
      <c r="N34" s="1126"/>
      <c r="O34" s="1126"/>
      <c r="P34" s="3270"/>
      <c r="Q34" s="1796" t="str">
        <f t="shared" si="11"/>
        <v>建筑结构</v>
      </c>
      <c r="R34" s="773" t="s">
        <v>21</v>
      </c>
      <c r="S34" s="774">
        <f t="shared" si="12"/>
        <v>100</v>
      </c>
      <c r="T34" s="773" t="s">
        <v>21</v>
      </c>
      <c r="U34" s="774">
        <f t="shared" si="13"/>
        <v>100</v>
      </c>
      <c r="V34" s="773" t="s">
        <v>21</v>
      </c>
      <c r="W34" s="774">
        <f t="shared" si="14"/>
        <v>100</v>
      </c>
      <c r="X34" s="1799"/>
      <c r="Y34" s="3272"/>
      <c r="Z34" s="1800" t="str">
        <f t="shared" si="18"/>
        <v>建筑结构</v>
      </c>
      <c r="AA34" s="1797">
        <f t="shared" si="15"/>
        <v>1</v>
      </c>
      <c r="AB34" s="1797">
        <f t="shared" si="16"/>
        <v>1</v>
      </c>
      <c r="AC34" s="1797">
        <f t="shared" si="17"/>
        <v>1</v>
      </c>
    </row>
    <row r="35" spans="1:29" ht="15" hidden="1">
      <c r="A35" s="472"/>
      <c r="B35" s="422" t="s">
        <v>2481</v>
      </c>
      <c r="C35" s="2498"/>
      <c r="D35" s="435">
        <v>100</v>
      </c>
      <c r="E35" s="2498"/>
      <c r="F35" s="461">
        <f>SUMIF(107:107,E35,108:108)-SUMIF(107:107,C35,108:108)+100</f>
        <v>100</v>
      </c>
      <c r="G35" s="2498"/>
      <c r="H35" s="435">
        <f>SUMIF(107:107,G35,108:108)-SUMIF(107:107,C35,108:108)+100</f>
        <v>100</v>
      </c>
      <c r="I35" s="2498"/>
      <c r="J35" s="435">
        <f>SUMIF(107:107,I35,108:108)-SUMIF(107:107,C35,108:108)+100</f>
        <v>100</v>
      </c>
      <c r="K35" s="426"/>
      <c r="L35" s="1135"/>
      <c r="M35" s="1126"/>
      <c r="N35" s="1126"/>
      <c r="O35" s="1126"/>
      <c r="P35" s="3270"/>
      <c r="Q35" s="1796" t="str">
        <f t="shared" si="11"/>
        <v>建筑品质</v>
      </c>
      <c r="R35" s="773" t="s">
        <v>21</v>
      </c>
      <c r="S35" s="774">
        <f t="shared" si="12"/>
        <v>100</v>
      </c>
      <c r="T35" s="773" t="s">
        <v>21</v>
      </c>
      <c r="U35" s="774">
        <f t="shared" si="13"/>
        <v>100</v>
      </c>
      <c r="V35" s="773" t="s">
        <v>21</v>
      </c>
      <c r="W35" s="774">
        <f t="shared" si="14"/>
        <v>100</v>
      </c>
      <c r="X35" s="1799"/>
      <c r="Y35" s="3272"/>
      <c r="Z35" s="1800" t="str">
        <f t="shared" si="18"/>
        <v>建筑品质</v>
      </c>
      <c r="AA35" s="1797">
        <f t="shared" si="15"/>
        <v>1</v>
      </c>
      <c r="AB35" s="1797">
        <f t="shared" si="16"/>
        <v>1</v>
      </c>
      <c r="AC35" s="1797">
        <f t="shared" si="17"/>
        <v>1</v>
      </c>
    </row>
    <row r="36" spans="1:29" ht="15">
      <c r="A36" s="472"/>
      <c r="B36" s="422" t="s">
        <v>2482</v>
      </c>
      <c r="C36" s="2498" t="s">
        <v>3555</v>
      </c>
      <c r="D36" s="435">
        <v>100</v>
      </c>
      <c r="E36" s="2498" t="s">
        <v>3555</v>
      </c>
      <c r="F36" s="461">
        <f>SUMIF(109:109,E36,110:110)-SUMIF(109:109,C36,110:110)+100</f>
        <v>100</v>
      </c>
      <c r="G36" s="2498" t="s">
        <v>3555</v>
      </c>
      <c r="H36" s="435">
        <f>SUMIF(109:109,G36,110:110)-SUMIF(109:109,C36,110:110)+100</f>
        <v>100</v>
      </c>
      <c r="I36" s="2498" t="s">
        <v>3555</v>
      </c>
      <c r="J36" s="435">
        <f>SUMIF(109:109,I36,110:110)-SUMIF(109:109,C36,110:110)+100</f>
        <v>100</v>
      </c>
      <c r="K36" s="426"/>
      <c r="L36" s="1135"/>
      <c r="M36" s="1126"/>
      <c r="N36" s="1126"/>
      <c r="O36" s="1126"/>
      <c r="P36" s="3270"/>
      <c r="Q36" s="1796" t="str">
        <f t="shared" si="11"/>
        <v>公共部分装修</v>
      </c>
      <c r="R36" s="773" t="s">
        <v>21</v>
      </c>
      <c r="S36" s="774">
        <f t="shared" si="12"/>
        <v>100</v>
      </c>
      <c r="T36" s="773" t="s">
        <v>21</v>
      </c>
      <c r="U36" s="774">
        <f t="shared" si="13"/>
        <v>100</v>
      </c>
      <c r="V36" s="773" t="s">
        <v>21</v>
      </c>
      <c r="W36" s="774">
        <f t="shared" si="14"/>
        <v>100</v>
      </c>
      <c r="X36" s="1799"/>
      <c r="Y36" s="3272"/>
      <c r="Z36" s="1800" t="str">
        <f t="shared" si="18"/>
        <v>公共部分装修</v>
      </c>
      <c r="AA36" s="1797">
        <f t="shared" si="15"/>
        <v>1</v>
      </c>
      <c r="AB36" s="1797">
        <f t="shared" si="16"/>
        <v>1</v>
      </c>
      <c r="AC36" s="1797">
        <f t="shared" si="17"/>
        <v>1</v>
      </c>
    </row>
    <row r="37" spans="1:29" s="117" customFormat="1" ht="15" hidden="1">
      <c r="A37" s="473"/>
      <c r="B37" s="422" t="s">
        <v>2483</v>
      </c>
      <c r="C37" s="474">
        <v>0.8</v>
      </c>
      <c r="D37" s="136">
        <v>100</v>
      </c>
      <c r="E37" s="474">
        <v>0.73</v>
      </c>
      <c r="F37" s="425">
        <f>LOOKUP(E37,112:112,113:113)-LOOKUP(C37,112:112,113:113)+100</f>
        <v>100</v>
      </c>
      <c r="G37" s="474">
        <v>0.73</v>
      </c>
      <c r="H37" s="136">
        <f>LOOKUP(G37,112:112,113:113)-LOOKUP(C37,112:112,113:113)+100</f>
        <v>100</v>
      </c>
      <c r="I37" s="474">
        <v>0.73</v>
      </c>
      <c r="J37" s="136">
        <f>LOOKUP(I37,112:112,113:113)-LOOKUP(C37,112:112,113:113)+100</f>
        <v>100</v>
      </c>
      <c r="K37" s="426">
        <v>0</v>
      </c>
      <c r="L37" s="1127"/>
      <c r="M37" s="1128"/>
      <c r="N37" s="1128"/>
      <c r="O37" s="1128"/>
      <c r="P37" s="3270"/>
      <c r="Q37" s="1781" t="str">
        <f t="shared" si="11"/>
        <v>成新度</v>
      </c>
      <c r="R37" s="769" t="s">
        <v>21</v>
      </c>
      <c r="S37" s="770">
        <f t="shared" si="12"/>
        <v>100</v>
      </c>
      <c r="T37" s="769" t="s">
        <v>21</v>
      </c>
      <c r="U37" s="770">
        <f t="shared" si="13"/>
        <v>100</v>
      </c>
      <c r="V37" s="769" t="s">
        <v>21</v>
      </c>
      <c r="W37" s="770">
        <f t="shared" si="14"/>
        <v>100</v>
      </c>
      <c r="X37" s="771"/>
      <c r="Y37" s="3272"/>
      <c r="Z37" s="55" t="str">
        <f t="shared" si="18"/>
        <v>成新度</v>
      </c>
      <c r="AA37" s="772">
        <f t="shared" si="15"/>
        <v>1</v>
      </c>
      <c r="AB37" s="772">
        <f t="shared" si="16"/>
        <v>1</v>
      </c>
      <c r="AC37" s="772">
        <f t="shared" si="17"/>
        <v>1</v>
      </c>
    </row>
    <row r="38" spans="1:29" ht="15">
      <c r="A38" s="472"/>
      <c r="B38" s="422" t="s">
        <v>2484</v>
      </c>
      <c r="C38" s="2498" t="s">
        <v>3573</v>
      </c>
      <c r="D38" s="435">
        <v>100</v>
      </c>
      <c r="E38" s="2498" t="s">
        <v>3575</v>
      </c>
      <c r="F38" s="461">
        <f>SUMIF(114:114,E38,115:115)-SUMIF(114:114,C38,115:115)+100</f>
        <v>102</v>
      </c>
      <c r="G38" s="2498" t="s">
        <v>3575</v>
      </c>
      <c r="H38" s="435">
        <f>SUMIF(114:114,G38,115:115)-SUMIF(114:114,C38,115:115)+100</f>
        <v>102</v>
      </c>
      <c r="I38" s="2498" t="s">
        <v>3575</v>
      </c>
      <c r="J38" s="435">
        <f>SUMIF(114:114,I38,115:115)-SUMIF(114:114,C38,115:115)+100</f>
        <v>102</v>
      </c>
      <c r="K38" s="426">
        <v>2</v>
      </c>
      <c r="L38" s="1135"/>
      <c r="M38" s="1126"/>
      <c r="N38" s="1126"/>
      <c r="O38" s="1126"/>
      <c r="P38" s="3270" t="s">
        <v>2478</v>
      </c>
      <c r="Q38" s="1796" t="str">
        <f t="shared" si="11"/>
        <v>物业管理</v>
      </c>
      <c r="R38" s="773" t="s">
        <v>21</v>
      </c>
      <c r="S38" s="774">
        <f t="shared" si="12"/>
        <v>102</v>
      </c>
      <c r="T38" s="773" t="s">
        <v>21</v>
      </c>
      <c r="U38" s="774">
        <f t="shared" si="13"/>
        <v>102</v>
      </c>
      <c r="V38" s="773" t="s">
        <v>21</v>
      </c>
      <c r="W38" s="774">
        <f t="shared" si="14"/>
        <v>102</v>
      </c>
      <c r="X38" s="1799"/>
      <c r="Y38" s="3272" t="s">
        <v>2478</v>
      </c>
      <c r="Z38" s="1800" t="str">
        <f t="shared" si="18"/>
        <v>物业管理</v>
      </c>
      <c r="AA38" s="1797">
        <f t="shared" si="15"/>
        <v>0.98039215686274506</v>
      </c>
      <c r="AB38" s="1797">
        <f t="shared" si="16"/>
        <v>0.98039215686274506</v>
      </c>
      <c r="AC38" s="1797">
        <f t="shared" si="17"/>
        <v>0.98039215686274506</v>
      </c>
    </row>
    <row r="39" spans="1:29" ht="15">
      <c r="A39" s="472"/>
      <c r="B39" s="422" t="s">
        <v>2485</v>
      </c>
      <c r="C39" s="2498" t="s">
        <v>3558</v>
      </c>
      <c r="D39" s="435">
        <v>100</v>
      </c>
      <c r="E39" s="2498" t="s">
        <v>3550</v>
      </c>
      <c r="F39" s="461">
        <f>SUMIF(116:116,E39,117:117)-SUMIF(116:116,C39,117:117)+100</f>
        <v>101</v>
      </c>
      <c r="G39" s="2498" t="s">
        <v>3550</v>
      </c>
      <c r="H39" s="435">
        <f>SUMIF(116:116,G39,117:117)-SUMIF(116:116,C39,117:117)+100</f>
        <v>101</v>
      </c>
      <c r="I39" s="2498" t="s">
        <v>3550</v>
      </c>
      <c r="J39" s="435">
        <f>SUMIF(116:116,I39,117:117)-SUMIF(116:116,C39,117:117)+100</f>
        <v>101</v>
      </c>
      <c r="K39" s="426">
        <v>1</v>
      </c>
      <c r="L39" s="1135"/>
      <c r="M39" s="1126"/>
      <c r="N39" s="1126"/>
      <c r="O39" s="1126"/>
      <c r="P39" s="3270"/>
      <c r="Q39" s="1796" t="str">
        <f t="shared" si="11"/>
        <v>市政基础设施</v>
      </c>
      <c r="R39" s="773" t="s">
        <v>21</v>
      </c>
      <c r="S39" s="774">
        <f t="shared" si="12"/>
        <v>101</v>
      </c>
      <c r="T39" s="773" t="s">
        <v>21</v>
      </c>
      <c r="U39" s="774">
        <f t="shared" si="13"/>
        <v>101</v>
      </c>
      <c r="V39" s="773" t="s">
        <v>21</v>
      </c>
      <c r="W39" s="774">
        <f t="shared" si="14"/>
        <v>101</v>
      </c>
      <c r="X39" s="1799"/>
      <c r="Y39" s="3272"/>
      <c r="Z39" s="1800" t="str">
        <f t="shared" si="18"/>
        <v>市政基础设施</v>
      </c>
      <c r="AA39" s="1797">
        <f t="shared" si="15"/>
        <v>0.99009900990099009</v>
      </c>
      <c r="AB39" s="1797">
        <f t="shared" si="16"/>
        <v>0.99009900990099009</v>
      </c>
      <c r="AC39" s="1797">
        <f t="shared" si="17"/>
        <v>0.99009900990099009</v>
      </c>
    </row>
    <row r="40" spans="1:29" ht="15">
      <c r="A40" s="472"/>
      <c r="B40" s="422" t="s">
        <v>2486</v>
      </c>
      <c r="C40" s="2498" t="s">
        <v>3564</v>
      </c>
      <c r="D40" s="435">
        <v>100</v>
      </c>
      <c r="E40" s="2498" t="s">
        <v>3564</v>
      </c>
      <c r="F40" s="461">
        <f>SUMIF(118:118,E40,119:119)-SUMIF(118:118,C40,119:119)+100</f>
        <v>100</v>
      </c>
      <c r="G40" s="2498" t="s">
        <v>3564</v>
      </c>
      <c r="H40" s="435">
        <f>SUMIF(118:118,G40,119:119)-SUMIF(118:118,C40,119:119)+100</f>
        <v>100</v>
      </c>
      <c r="I40" s="2498" t="s">
        <v>3564</v>
      </c>
      <c r="J40" s="435">
        <f>SUMIF(118:118,I40,119:119)-SUMIF(118:118,C40,119:119)+100</f>
        <v>100</v>
      </c>
      <c r="K40" s="426"/>
      <c r="L40" s="1135"/>
      <c r="M40" s="1126"/>
      <c r="N40" s="1126"/>
      <c r="O40" s="1126"/>
      <c r="P40" s="3270"/>
      <c r="Q40" s="1796" t="str">
        <f t="shared" si="11"/>
        <v>房型</v>
      </c>
      <c r="R40" s="773" t="s">
        <v>21</v>
      </c>
      <c r="S40" s="774">
        <f t="shared" si="12"/>
        <v>100</v>
      </c>
      <c r="T40" s="773" t="s">
        <v>21</v>
      </c>
      <c r="U40" s="774">
        <f t="shared" si="13"/>
        <v>100</v>
      </c>
      <c r="V40" s="773" t="s">
        <v>21</v>
      </c>
      <c r="W40" s="774">
        <f t="shared" si="14"/>
        <v>100</v>
      </c>
      <c r="X40" s="1799"/>
      <c r="Y40" s="3272"/>
      <c r="Z40" s="1800" t="str">
        <f t="shared" si="18"/>
        <v>房型</v>
      </c>
      <c r="AA40" s="1797">
        <f t="shared" si="15"/>
        <v>1</v>
      </c>
      <c r="AB40" s="1797">
        <f t="shared" si="16"/>
        <v>1</v>
      </c>
      <c r="AC40" s="1797">
        <f t="shared" si="17"/>
        <v>1</v>
      </c>
    </row>
    <row r="41" spans="1:29" s="471" customFormat="1" ht="28.5">
      <c r="A41" s="468"/>
      <c r="B41" s="422" t="s">
        <v>2487</v>
      </c>
      <c r="C41" s="469">
        <f>'数据-基础表'!AZ140</f>
        <v>88.04</v>
      </c>
      <c r="D41" s="136">
        <v>100</v>
      </c>
      <c r="E41" s="469">
        <v>79.7</v>
      </c>
      <c r="F41" s="425">
        <f>SUMIF(120:120,E41,121:121)-SUMIF(120:120,C41,121:121)+100</f>
        <v>100</v>
      </c>
      <c r="G41" s="469">
        <v>115.26</v>
      </c>
      <c r="H41" s="136">
        <f>SUMIF(120:120,G41,121:121)-SUMIF(120:120,C41,121:121)+100</f>
        <v>100</v>
      </c>
      <c r="I41" s="469">
        <v>83.35</v>
      </c>
      <c r="J41" s="435">
        <f>SUMIF(120:120,I41,121:121)-SUMIF(120:120,C41,121:121)+100</f>
        <v>100</v>
      </c>
      <c r="K41" s="2486"/>
      <c r="L41" s="1133"/>
      <c r="M41" s="1136"/>
      <c r="N41" s="1136"/>
      <c r="O41" s="1136"/>
      <c r="P41" s="3270"/>
      <c r="Q41" s="775" t="str">
        <f t="shared" si="11"/>
        <v>单套/主力户型建筑面积</v>
      </c>
      <c r="R41" s="776" t="s">
        <v>21</v>
      </c>
      <c r="S41" s="777">
        <f t="shared" si="12"/>
        <v>100</v>
      </c>
      <c r="T41" s="776" t="s">
        <v>21</v>
      </c>
      <c r="U41" s="777">
        <f t="shared" si="13"/>
        <v>100</v>
      </c>
      <c r="V41" s="776" t="s">
        <v>21</v>
      </c>
      <c r="W41" s="777">
        <f t="shared" si="14"/>
        <v>100</v>
      </c>
      <c r="X41" s="778"/>
      <c r="Y41" s="3272"/>
      <c r="Z41" s="779" t="str">
        <f t="shared" si="18"/>
        <v>单套/主力户型建筑面积</v>
      </c>
      <c r="AA41" s="1797">
        <f t="shared" si="15"/>
        <v>1</v>
      </c>
      <c r="AB41" s="1797">
        <f t="shared" si="16"/>
        <v>1</v>
      </c>
      <c r="AC41" s="1797">
        <f t="shared" si="17"/>
        <v>1</v>
      </c>
    </row>
    <row r="42" spans="1:29" ht="15">
      <c r="A42" s="472"/>
      <c r="B42" s="422" t="s">
        <v>2488</v>
      </c>
      <c r="C42" s="2498" t="s">
        <v>3570</v>
      </c>
      <c r="D42" s="435">
        <v>100</v>
      </c>
      <c r="E42" s="2498" t="s">
        <v>3567</v>
      </c>
      <c r="F42" s="461">
        <f>SUMIF(122:122,E42,123:123)-SUMIF(122:122,C42,123:123)+100</f>
        <v>104</v>
      </c>
      <c r="G42" s="2498" t="s">
        <v>3567</v>
      </c>
      <c r="H42" s="435">
        <f>SUMIF(122:122,G42,123:123)-SUMIF(122:122,C42,123:123)+100</f>
        <v>104</v>
      </c>
      <c r="I42" s="2498" t="s">
        <v>3567</v>
      </c>
      <c r="J42" s="435">
        <f>SUMIF(122:122,I42,123:123)-SUMIF(122:122,C42,123:123)+100</f>
        <v>104</v>
      </c>
      <c r="K42" s="426">
        <v>2</v>
      </c>
      <c r="L42" s="1135"/>
      <c r="M42" s="1126"/>
      <c r="N42" s="1126"/>
      <c r="O42" s="1126"/>
      <c r="P42" s="3270"/>
      <c r="Q42" s="1796" t="str">
        <f t="shared" si="11"/>
        <v>内部装修</v>
      </c>
      <c r="R42" s="773" t="s">
        <v>21</v>
      </c>
      <c r="S42" s="774">
        <f t="shared" si="12"/>
        <v>104</v>
      </c>
      <c r="T42" s="773" t="s">
        <v>21</v>
      </c>
      <c r="U42" s="774">
        <f t="shared" si="13"/>
        <v>104</v>
      </c>
      <c r="V42" s="773" t="s">
        <v>21</v>
      </c>
      <c r="W42" s="774">
        <f t="shared" si="14"/>
        <v>104</v>
      </c>
      <c r="X42" s="1799"/>
      <c r="Y42" s="3272"/>
      <c r="Z42" s="1800" t="str">
        <f t="shared" si="18"/>
        <v>内部装修</v>
      </c>
      <c r="AA42" s="1797">
        <f t="shared" si="15"/>
        <v>0.96153846153846156</v>
      </c>
      <c r="AB42" s="1797">
        <f t="shared" si="16"/>
        <v>0.96153846153846156</v>
      </c>
      <c r="AC42" s="1797">
        <f t="shared" si="17"/>
        <v>0.96153846153846156</v>
      </c>
    </row>
    <row r="43" spans="1:29" ht="15.75" thickBot="1">
      <c r="A43" s="472"/>
      <c r="B43" s="422" t="s">
        <v>2489</v>
      </c>
      <c r="C43" s="2498" t="s">
        <v>3549</v>
      </c>
      <c r="D43" s="435">
        <v>100</v>
      </c>
      <c r="E43" s="2498" t="s">
        <v>3549</v>
      </c>
      <c r="F43" s="461">
        <f>SUMIF(124:124,E43,125:125)-SUMIF(124:124,C43,125:125)+100</f>
        <v>100</v>
      </c>
      <c r="G43" s="2498" t="s">
        <v>3549</v>
      </c>
      <c r="H43" s="435">
        <f>SUMIF(124:124,G43,125:125)-SUMIF(124:124,C43,125:125)+100</f>
        <v>100</v>
      </c>
      <c r="I43" s="2498" t="s">
        <v>3549</v>
      </c>
      <c r="J43" s="435">
        <f>SUMIF(124:124,I43,125:125)-SUMIF(124:124,C43,125:125)+100</f>
        <v>100</v>
      </c>
      <c r="K43" s="426"/>
      <c r="L43" s="1135"/>
      <c r="M43" s="1126"/>
      <c r="N43" s="1126"/>
      <c r="O43" s="1126"/>
      <c r="P43" s="3270"/>
      <c r="Q43" s="1796" t="str">
        <f t="shared" si="11"/>
        <v>内部装修维护情况</v>
      </c>
      <c r="R43" s="773" t="s">
        <v>21</v>
      </c>
      <c r="S43" s="774">
        <f t="shared" si="12"/>
        <v>100</v>
      </c>
      <c r="T43" s="773" t="s">
        <v>21</v>
      </c>
      <c r="U43" s="774">
        <f t="shared" si="13"/>
        <v>100</v>
      </c>
      <c r="V43" s="773" t="s">
        <v>21</v>
      </c>
      <c r="W43" s="774">
        <f t="shared" si="14"/>
        <v>100</v>
      </c>
      <c r="X43" s="1799"/>
      <c r="Y43" s="3272"/>
      <c r="Z43" s="1800" t="str">
        <f t="shared" si="18"/>
        <v>内部装修维护情况</v>
      </c>
      <c r="AA43" s="1797">
        <f t="shared" si="15"/>
        <v>1</v>
      </c>
      <c r="AB43" s="1797">
        <f t="shared" si="16"/>
        <v>1</v>
      </c>
      <c r="AC43" s="1797">
        <f t="shared" si="17"/>
        <v>1</v>
      </c>
    </row>
    <row r="44" spans="1:29" s="117" customFormat="1" ht="15" hidden="1">
      <c r="A44" s="473"/>
      <c r="B44" s="1373"/>
      <c r="C44" s="469"/>
      <c r="D44" s="136">
        <v>100</v>
      </c>
      <c r="E44" s="469"/>
      <c r="F44" s="425">
        <f>SUMIF(126:126,E44,127:127)-SUMIF(126:126,C44,127:127)+100</f>
        <v>100</v>
      </c>
      <c r="G44" s="469"/>
      <c r="H44" s="136">
        <f>SUMIF(126:126,G44,127:127)-SUMIF(126:126,C44,127:127)+100</f>
        <v>100</v>
      </c>
      <c r="I44" s="469"/>
      <c r="J44" s="136">
        <f>SUMIF(126:126,I44,127:127)-SUMIF(126:126,C44,127:127)+100</f>
        <v>100</v>
      </c>
      <c r="K44" s="2486"/>
      <c r="L44" s="1127"/>
      <c r="M44" s="1128"/>
      <c r="N44" s="1128"/>
      <c r="O44" s="1128"/>
      <c r="P44" s="3270"/>
      <c r="Q44" s="1781">
        <f t="shared" si="11"/>
        <v>0</v>
      </c>
      <c r="R44" s="769" t="s">
        <v>21</v>
      </c>
      <c r="S44" s="770">
        <f t="shared" si="12"/>
        <v>100</v>
      </c>
      <c r="T44" s="769" t="s">
        <v>21</v>
      </c>
      <c r="U44" s="770">
        <f t="shared" si="13"/>
        <v>100</v>
      </c>
      <c r="V44" s="769" t="s">
        <v>21</v>
      </c>
      <c r="W44" s="770">
        <f t="shared" si="14"/>
        <v>100</v>
      </c>
      <c r="X44" s="771"/>
      <c r="Y44" s="3272"/>
      <c r="Z44" s="55">
        <f t="shared" si="18"/>
        <v>0</v>
      </c>
      <c r="AA44" s="772">
        <f t="shared" si="15"/>
        <v>1</v>
      </c>
      <c r="AB44" s="772">
        <f t="shared" si="16"/>
        <v>1</v>
      </c>
      <c r="AC44" s="772">
        <f t="shared" si="17"/>
        <v>1</v>
      </c>
    </row>
    <row r="45" spans="1:29" ht="15" hidden="1">
      <c r="A45" s="472"/>
      <c r="B45" s="1373"/>
      <c r="C45" s="434"/>
      <c r="D45" s="435">
        <v>100</v>
      </c>
      <c r="E45" s="434"/>
      <c r="F45" s="461">
        <f>SUMIF(128:128,E45,129:129)-SUMIF(128:128,C45,129:129)+100</f>
        <v>100</v>
      </c>
      <c r="G45" s="434"/>
      <c r="H45" s="435">
        <f>SUMIF(128:128,G45,129:129)-SUMIF(128:128,C45,129:129)+100</f>
        <v>100</v>
      </c>
      <c r="I45" s="434"/>
      <c r="J45" s="435">
        <f>SUMIF(128:128,I45,129:129)-SUMIF(128:128,C45,129:129)+100</f>
        <v>100</v>
      </c>
      <c r="K45" s="2486"/>
      <c r="L45" s="1135"/>
      <c r="M45" s="1126"/>
      <c r="N45" s="1126"/>
      <c r="O45" s="1126"/>
      <c r="P45" s="3270"/>
      <c r="Q45" s="1796">
        <f t="shared" si="11"/>
        <v>0</v>
      </c>
      <c r="R45" s="773" t="s">
        <v>21</v>
      </c>
      <c r="S45" s="774">
        <f t="shared" si="12"/>
        <v>100</v>
      </c>
      <c r="T45" s="773" t="s">
        <v>21</v>
      </c>
      <c r="U45" s="774">
        <f t="shared" si="13"/>
        <v>100</v>
      </c>
      <c r="V45" s="773" t="s">
        <v>21</v>
      </c>
      <c r="W45" s="774">
        <f t="shared" si="14"/>
        <v>100</v>
      </c>
      <c r="X45" s="1799"/>
      <c r="Y45" s="3272"/>
      <c r="Z45" s="1800">
        <f t="shared" si="18"/>
        <v>0</v>
      </c>
      <c r="AA45" s="1797">
        <f t="shared" si="15"/>
        <v>1</v>
      </c>
      <c r="AB45" s="1797">
        <f t="shared" si="16"/>
        <v>1</v>
      </c>
      <c r="AC45" s="1797">
        <f t="shared" si="17"/>
        <v>1</v>
      </c>
    </row>
    <row r="46" spans="1:29" ht="15.75" hidden="1" thickBot="1">
      <c r="A46" s="478"/>
      <c r="B46" s="2487"/>
      <c r="C46" s="437"/>
      <c r="D46" s="438">
        <v>100</v>
      </c>
      <c r="E46" s="437"/>
      <c r="F46" s="439">
        <f>SUMIF(130:130,E46,131:131)-SUMIF(130:130,C46,131:131)+100</f>
        <v>100</v>
      </c>
      <c r="G46" s="437"/>
      <c r="H46" s="438">
        <f>SUMIF(130:130,G46,131:131)-SUMIF(130:130,C46,131:131)+100</f>
        <v>100</v>
      </c>
      <c r="I46" s="437"/>
      <c r="J46" s="438">
        <f>SUMIF(130:130,I46,131:131)-SUMIF(130:130,C46,131:131)+100</f>
        <v>100</v>
      </c>
      <c r="K46" s="2486"/>
      <c r="L46" s="1135"/>
      <c r="M46" s="1126"/>
      <c r="N46" s="1126"/>
      <c r="O46" s="1126"/>
      <c r="P46" s="3271"/>
      <c r="Q46" s="1796">
        <f t="shared" si="11"/>
        <v>0</v>
      </c>
      <c r="R46" s="773" t="s">
        <v>20</v>
      </c>
      <c r="S46" s="774">
        <f t="shared" si="12"/>
        <v>100</v>
      </c>
      <c r="T46" s="773" t="s">
        <v>20</v>
      </c>
      <c r="U46" s="774">
        <f t="shared" si="13"/>
        <v>100</v>
      </c>
      <c r="V46" s="773" t="s">
        <v>20</v>
      </c>
      <c r="W46" s="774">
        <f t="shared" si="14"/>
        <v>100</v>
      </c>
      <c r="X46" s="1799"/>
      <c r="Y46" s="3273"/>
      <c r="Z46" s="1800">
        <f t="shared" si="18"/>
        <v>0</v>
      </c>
      <c r="AA46" s="1797">
        <f t="shared" si="15"/>
        <v>1</v>
      </c>
      <c r="AB46" s="1797">
        <f t="shared" si="16"/>
        <v>1</v>
      </c>
      <c r="AC46" s="1797">
        <f t="shared" si="17"/>
        <v>1</v>
      </c>
    </row>
    <row r="47" spans="1:29" ht="15">
      <c r="A47" s="479" t="s">
        <v>2490</v>
      </c>
      <c r="B47" s="480"/>
      <c r="C47" s="1394" t="s">
        <v>19</v>
      </c>
      <c r="D47" s="1395"/>
      <c r="E47" s="1396">
        <v>62711</v>
      </c>
      <c r="F47" s="1397"/>
      <c r="G47" s="1398">
        <v>76350</v>
      </c>
      <c r="H47" s="1399"/>
      <c r="I47" s="1396">
        <v>69587</v>
      </c>
      <c r="J47" s="1399"/>
      <c r="K47" s="2504"/>
      <c r="L47" s="1138"/>
      <c r="M47" s="1139"/>
      <c r="N47" s="1126"/>
      <c r="O47" s="1139"/>
      <c r="P47" s="3265" t="str">
        <f>A47</f>
        <v>成交单价（元/平方米）</v>
      </c>
      <c r="Q47" s="3265"/>
      <c r="R47" s="3266">
        <f>E47</f>
        <v>62711</v>
      </c>
      <c r="S47" s="3266"/>
      <c r="T47" s="3266">
        <f>G47</f>
        <v>76350</v>
      </c>
      <c r="U47" s="3266"/>
      <c r="V47" s="3266">
        <f>I47</f>
        <v>69587</v>
      </c>
      <c r="W47" s="3266"/>
      <c r="X47" s="758"/>
      <c r="Y47" s="780"/>
      <c r="Z47" s="758"/>
      <c r="AA47" s="758"/>
      <c r="AB47" s="758"/>
      <c r="AC47" s="758"/>
    </row>
    <row r="48" spans="1:29" ht="15.75" thickBot="1">
      <c r="A48" s="486" t="s">
        <v>2491</v>
      </c>
      <c r="B48" s="487"/>
      <c r="C48" s="1400">
        <f>R49</f>
        <v>61843</v>
      </c>
      <c r="D48" s="1401"/>
      <c r="E48" s="1402">
        <f>R48</f>
        <v>61014</v>
      </c>
      <c r="F48" s="1402"/>
      <c r="G48" s="1400">
        <f>T48</f>
        <v>60672</v>
      </c>
      <c r="H48" s="1401"/>
      <c r="I48" s="1402">
        <f>V48</f>
        <v>63842</v>
      </c>
      <c r="J48" s="1401"/>
      <c r="K48" s="2505"/>
      <c r="L48" s="1138"/>
      <c r="M48" s="1139"/>
      <c r="N48" s="1139"/>
      <c r="O48" s="1139"/>
      <c r="P48" s="3265" t="str">
        <f>A48</f>
        <v>比较价值（元/平方米）</v>
      </c>
      <c r="Q48" s="3265"/>
      <c r="R48" s="3266">
        <f>IF(F1="售价",ROUND(PRODUCT(R47,AA7:AA46),0),ROUND(PRODUCT(R47,AA7:AA46),1))</f>
        <v>61014</v>
      </c>
      <c r="S48" s="3266"/>
      <c r="T48" s="3266">
        <f>IF(F1="售价",ROUND(PRODUCT(T47,AB7:AB46),0),ROUND(PRODUCT(T47,AB7:AB46),1))</f>
        <v>60672</v>
      </c>
      <c r="U48" s="3266"/>
      <c r="V48" s="3266">
        <f>IF(F1="售价",ROUND(PRODUCT(V47,AC7:AC46),0),ROUND(PRODUCT(V47,AC7:AC46),1))</f>
        <v>63842</v>
      </c>
      <c r="W48" s="3266"/>
      <c r="X48" s="758"/>
      <c r="Y48" s="758"/>
      <c r="Z48" s="758"/>
      <c r="AA48" s="758"/>
      <c r="AB48" s="758"/>
      <c r="AC48" s="758"/>
    </row>
    <row r="49" spans="1:29" ht="15.75" thickBot="1">
      <c r="A49" s="492" t="s">
        <v>3601</v>
      </c>
      <c r="B49" s="493"/>
      <c r="C49" s="1403">
        <f>R49</f>
        <v>61843</v>
      </c>
      <c r="D49" s="1404"/>
      <c r="E49" s="1404"/>
      <c r="F49" s="1404"/>
      <c r="G49" s="1404"/>
      <c r="H49" s="1404"/>
      <c r="I49" s="1404"/>
      <c r="J49" s="1404"/>
      <c r="K49" s="2506"/>
      <c r="L49" s="1138"/>
      <c r="M49" s="1139"/>
      <c r="N49" s="1139"/>
      <c r="O49" s="1139"/>
      <c r="P49" s="3262" t="str">
        <f>A49</f>
        <v>比较价值（楼面单价，元/平方米）</v>
      </c>
      <c r="Q49" s="3263"/>
      <c r="R49" s="3264">
        <f>IF(F1="售价",ROUND(AVERAGE(R48:V48),0),ROUND(AVERAGE(R48:V48),1))</f>
        <v>61843</v>
      </c>
      <c r="S49" s="3264"/>
      <c r="T49" s="3264"/>
      <c r="U49" s="3264"/>
      <c r="V49" s="3264"/>
      <c r="W49" s="3264"/>
      <c r="X49" s="758"/>
      <c r="Y49" s="758"/>
      <c r="Z49" s="758"/>
      <c r="AA49" s="758"/>
      <c r="AB49" s="758"/>
      <c r="AC49" s="758"/>
    </row>
    <row r="50" spans="1:29" hidden="1">
      <c r="A50" s="1139"/>
      <c r="B50" s="1139"/>
      <c r="C50" s="2996"/>
      <c r="D50" s="1139"/>
      <c r="E50" s="1139"/>
      <c r="F50" s="1139"/>
      <c r="G50" s="1142"/>
      <c r="H50" s="1139"/>
      <c r="I50" s="1139"/>
      <c r="J50" s="1139"/>
      <c r="K50" s="1100"/>
      <c r="L50" s="1101"/>
      <c r="M50" s="1139"/>
      <c r="N50" s="1139"/>
      <c r="O50" s="1139"/>
    </row>
    <row r="51" spans="1:29" hidden="1">
      <c r="A51" s="1139"/>
      <c r="B51" s="1139"/>
      <c r="C51" s="2996"/>
      <c r="D51" s="1139"/>
      <c r="E51" s="2996"/>
      <c r="F51" s="1139"/>
      <c r="G51" s="2996"/>
      <c r="H51" s="1139"/>
      <c r="I51" s="2996"/>
      <c r="J51" s="1139"/>
      <c r="K51" s="1100"/>
      <c r="L51" s="1101"/>
      <c r="M51" s="1139"/>
      <c r="N51" s="1139"/>
      <c r="O51" s="1139"/>
    </row>
    <row r="52" spans="1:29" ht="13.5" customHeight="1">
      <c r="A52" s="1139"/>
      <c r="B52" s="1139"/>
      <c r="C52" s="497" t="s">
        <v>2492</v>
      </c>
      <c r="D52" s="498"/>
      <c r="E52" s="499">
        <f>IF(E47&lt;E48,E48/E47-1,E47/E48-1)</f>
        <v>2.7813288753400833E-2</v>
      </c>
      <c r="F52" s="500" t="str">
        <f>IF(OR(E52&gt;=0.3,E52&lt;=-0.3),"超过30%","")</f>
        <v/>
      </c>
      <c r="G52" s="499">
        <f>IF(G47&lt;G48,G48/G47-1,G47/G48-1)</f>
        <v>0.25840585443037978</v>
      </c>
      <c r="H52" s="500" t="str">
        <f>IF(OR(G52&gt;=0.3,G52&lt;=-0.3),"超过30%","")</f>
        <v/>
      </c>
      <c r="I52" s="499">
        <f>IF(I47&lt;I48,I48/I47-1,I47/I48-1)</f>
        <v>8.9987782337646038E-2</v>
      </c>
      <c r="J52" s="500" t="str">
        <f>IF(OR(I52&gt;=0.3,I52&lt;=-0.3),"超过30%","")</f>
        <v/>
      </c>
      <c r="K52" s="1100"/>
      <c r="L52" s="1101"/>
      <c r="M52" s="1139"/>
      <c r="N52" s="1139"/>
      <c r="O52" s="1139"/>
    </row>
    <row r="53" spans="1:29" ht="13.5" customHeight="1">
      <c r="A53" s="1139"/>
      <c r="B53" s="1139"/>
      <c r="C53" s="497" t="s">
        <v>2493</v>
      </c>
      <c r="D53" s="501"/>
      <c r="E53" s="499">
        <f>IF(E48&lt;G48,G48/E48-1,E48/G48-1)</f>
        <v>5.6368670886075556E-3</v>
      </c>
      <c r="F53" s="500" t="str">
        <f>IF(OR(E53&gt;=0.2,E53&lt;=-0.2),"超过20%","")</f>
        <v/>
      </c>
      <c r="G53" s="499">
        <f>IF(G48&lt;I48,I48/G48-1,G48/I48-1)</f>
        <v>5.2248154008438741E-2</v>
      </c>
      <c r="H53" s="500" t="str">
        <f>IF(OR(G53&gt;=0.2,G53&lt;=-0.2),"超过20%","")</f>
        <v/>
      </c>
      <c r="I53" s="499">
        <f>IF(I48&lt;E48,E48/I48-1,I48/E48-1)</f>
        <v>4.6350018028649131E-2</v>
      </c>
      <c r="J53" s="500" t="str">
        <f>IF(OR(I53&gt;=0.2,I53&lt;=-0.2),"超过20%","")</f>
        <v/>
      </c>
      <c r="K53" s="1100"/>
      <c r="L53" s="1101"/>
      <c r="M53" s="1139"/>
      <c r="N53" s="1139"/>
      <c r="O53" s="1139"/>
    </row>
    <row r="54" spans="1:29" s="502" customFormat="1" ht="13.5" customHeight="1">
      <c r="A54" s="1140"/>
      <c r="B54" s="1140"/>
      <c r="C54" s="497" t="s">
        <v>2494</v>
      </c>
      <c r="D54" s="501"/>
      <c r="E54" s="499">
        <f>IF(E47&lt;G47,G47/E47-1,E47/G47-1)</f>
        <v>0.21748975458850928</v>
      </c>
      <c r="F54" s="500" t="str">
        <f>IF(OR(E54&gt;=0.3,E54&lt;=-0.3),"超过30%","")</f>
        <v/>
      </c>
      <c r="G54" s="499">
        <f>IF(G47&lt;I47,I47/G47-1,G47/I47-1)</f>
        <v>9.7187693103596873E-2</v>
      </c>
      <c r="H54" s="500" t="str">
        <f>IF(OR(G54&gt;=0.3,G54&lt;=-0.3),"超过30%","")</f>
        <v/>
      </c>
      <c r="I54" s="499">
        <f>IF(I47&lt;E47,E47/I47-1,I47/E47-1)</f>
        <v>0.10964583565881592</v>
      </c>
      <c r="J54" s="500" t="str">
        <f>IF(OR(I54&gt;=0.3,I54&lt;=-0.3),"超过30%","")</f>
        <v/>
      </c>
      <c r="K54" s="1143"/>
      <c r="L54" s="1144"/>
      <c r="M54" s="1140"/>
      <c r="N54" s="1140"/>
      <c r="O54" s="1140"/>
      <c r="P54" s="2508"/>
    </row>
    <row r="55" spans="1:29" s="502" customFormat="1">
      <c r="A55" s="1140"/>
      <c r="B55" s="1141"/>
      <c r="C55" s="1145"/>
      <c r="D55" s="1140"/>
      <c r="E55" s="1140"/>
      <c r="F55" s="1140"/>
      <c r="G55" s="1140"/>
      <c r="H55" s="1140"/>
      <c r="I55" s="1140"/>
      <c r="J55" s="1140"/>
      <c r="K55" s="1143"/>
      <c r="L55" s="1144"/>
      <c r="M55" s="1140"/>
      <c r="N55" s="1140"/>
      <c r="O55" s="1140"/>
      <c r="P55" s="2508"/>
    </row>
    <row r="56" spans="1:29">
      <c r="A56" s="1139"/>
      <c r="B56" s="1141"/>
      <c r="C56" s="1145"/>
      <c r="D56" s="1139"/>
      <c r="E56" s="1139"/>
      <c r="F56" s="1139"/>
      <c r="G56" s="1139"/>
      <c r="H56" s="1139"/>
      <c r="I56" s="1139"/>
      <c r="J56" s="1139"/>
      <c r="K56" s="1100"/>
      <c r="L56" s="1101"/>
      <c r="M56" s="1139"/>
      <c r="N56" s="1139"/>
      <c r="O56" s="1139"/>
    </row>
    <row r="57" spans="1:29" ht="21.75" thickBot="1">
      <c r="A57" s="762" t="s">
        <v>2495</v>
      </c>
      <c r="B57" s="758"/>
      <c r="C57" s="763"/>
      <c r="D57" s="763"/>
      <c r="E57" s="763"/>
      <c r="F57" s="764"/>
      <c r="G57" s="764"/>
      <c r="H57" s="763"/>
      <c r="I57" s="763"/>
      <c r="J57" s="763"/>
      <c r="K57" s="1155"/>
      <c r="L57" s="1156"/>
      <c r="M57" s="1154"/>
      <c r="N57" s="1154"/>
      <c r="O57" s="1154"/>
      <c r="P57" s="2509"/>
      <c r="Q57" s="504"/>
    </row>
    <row r="58" spans="1:29" s="508" customFormat="1" ht="15">
      <c r="A58" s="505" t="s">
        <v>2496</v>
      </c>
      <c r="B58" s="506"/>
      <c r="C58" s="1562" t="str">
        <f>YEAR(C7)&amp;"-"&amp;MONTH(C7)</f>
        <v>2018-3</v>
      </c>
      <c r="D58" s="1561">
        <f>EDATE(C58,-1)</f>
        <v>43132</v>
      </c>
      <c r="E58" s="1561">
        <f>EDATE(D58,-1)</f>
        <v>43101</v>
      </c>
      <c r="F58" s="1561">
        <f t="shared" ref="F58:O58" si="19">EDATE(E58,-1)</f>
        <v>43070</v>
      </c>
      <c r="G58" s="1561">
        <f t="shared" si="19"/>
        <v>43040</v>
      </c>
      <c r="H58" s="1561">
        <f t="shared" si="19"/>
        <v>43009</v>
      </c>
      <c r="I58" s="1561">
        <f t="shared" si="19"/>
        <v>42979</v>
      </c>
      <c r="J58" s="1561">
        <f t="shared" si="19"/>
        <v>42948</v>
      </c>
      <c r="K58" s="1561">
        <f t="shared" si="19"/>
        <v>42917</v>
      </c>
      <c r="L58" s="1561">
        <f t="shared" si="19"/>
        <v>42887</v>
      </c>
      <c r="M58" s="1561">
        <f t="shared" si="19"/>
        <v>42856</v>
      </c>
      <c r="N58" s="1561">
        <f t="shared" si="19"/>
        <v>42826</v>
      </c>
      <c r="O58" s="1561">
        <f t="shared" si="19"/>
        <v>42795</v>
      </c>
      <c r="P58" s="1556"/>
    </row>
    <row r="59" spans="1:29" s="117" customFormat="1" ht="15">
      <c r="A59" s="509"/>
      <c r="B59" s="2510"/>
      <c r="C59" s="1559">
        <v>100</v>
      </c>
      <c r="D59" s="511">
        <v>100</v>
      </c>
      <c r="E59" s="512">
        <v>100</v>
      </c>
      <c r="F59" s="512">
        <v>99</v>
      </c>
      <c r="G59" s="512">
        <v>99</v>
      </c>
      <c r="H59" s="512">
        <v>99</v>
      </c>
      <c r="I59" s="512">
        <v>98</v>
      </c>
      <c r="J59" s="512">
        <v>98</v>
      </c>
      <c r="K59" s="512">
        <v>98</v>
      </c>
      <c r="L59" s="512">
        <v>97</v>
      </c>
      <c r="M59" s="513">
        <v>97</v>
      </c>
      <c r="N59" s="512">
        <v>97</v>
      </c>
      <c r="O59" s="513">
        <v>96</v>
      </c>
      <c r="P59" s="2511"/>
    </row>
    <row r="60" spans="1:29" s="117" customFormat="1" ht="15.75" thickBot="1">
      <c r="A60" s="515" t="s">
        <v>2497</v>
      </c>
      <c r="B60" s="516"/>
      <c r="C60" s="517"/>
      <c r="D60" s="518"/>
      <c r="E60" s="518"/>
      <c r="F60" s="518"/>
      <c r="G60" s="518"/>
      <c r="H60" s="518"/>
      <c r="I60" s="518"/>
      <c r="J60" s="518"/>
      <c r="K60" s="518"/>
      <c r="L60" s="518"/>
      <c r="M60" s="519"/>
      <c r="N60" s="518"/>
      <c r="O60" s="519"/>
      <c r="P60" s="2511"/>
      <c r="Q60" s="504"/>
    </row>
    <row r="61" spans="1:29" s="117" customFormat="1" ht="15">
      <c r="A61" s="521" t="s">
        <v>2498</v>
      </c>
      <c r="B61" s="510"/>
      <c r="C61" s="522" t="s">
        <v>2499</v>
      </c>
      <c r="D61" s="523"/>
      <c r="E61" s="523"/>
      <c r="F61" s="523"/>
      <c r="G61" s="523"/>
      <c r="H61" s="523"/>
      <c r="I61" s="523"/>
      <c r="J61" s="523"/>
      <c r="K61" s="523"/>
      <c r="L61" s="524"/>
      <c r="M61" s="525"/>
      <c r="N61" s="1146"/>
      <c r="O61" s="1146"/>
      <c r="P61" s="2512"/>
      <c r="Q61" s="504"/>
    </row>
    <row r="62" spans="1:29" s="117" customFormat="1" ht="15.75" thickBot="1">
      <c r="A62" s="521"/>
      <c r="B62" s="510"/>
      <c r="C62" s="511">
        <v>100</v>
      </c>
      <c r="D62" s="512"/>
      <c r="E62" s="512"/>
      <c r="F62" s="512"/>
      <c r="G62" s="512"/>
      <c r="H62" s="512"/>
      <c r="I62" s="512"/>
      <c r="J62" s="512"/>
      <c r="K62" s="512"/>
      <c r="L62" s="512"/>
      <c r="M62" s="514"/>
      <c r="N62" s="1146"/>
      <c r="O62" s="1146"/>
      <c r="P62" s="2511"/>
      <c r="Q62" s="504"/>
    </row>
    <row r="63" spans="1:29">
      <c r="A63" s="527" t="s">
        <v>2500</v>
      </c>
      <c r="B63" s="528" t="s">
        <v>2467</v>
      </c>
      <c r="C63" s="529" t="str">
        <f>C9</f>
        <v>住宅</v>
      </c>
      <c r="D63" s="530"/>
      <c r="E63" s="530"/>
      <c r="F63" s="530"/>
      <c r="G63" s="530"/>
      <c r="H63" s="530"/>
      <c r="I63" s="530"/>
      <c r="J63" s="530"/>
      <c r="K63" s="531"/>
      <c r="L63" s="532"/>
      <c r="M63" s="533"/>
      <c r="N63" s="1147"/>
      <c r="O63" s="1147"/>
      <c r="P63" s="2513"/>
      <c r="Q63" s="504"/>
    </row>
    <row r="64" spans="1:29" ht="15.75" thickBot="1">
      <c r="A64" s="534"/>
      <c r="B64" s="535"/>
      <c r="C64" s="536">
        <v>100</v>
      </c>
      <c r="D64" s="536"/>
      <c r="E64" s="536"/>
      <c r="F64" s="536"/>
      <c r="G64" s="536"/>
      <c r="H64" s="536"/>
      <c r="I64" s="536"/>
      <c r="J64" s="536"/>
      <c r="K64" s="536"/>
      <c r="L64" s="536"/>
      <c r="M64" s="537"/>
      <c r="N64" s="1148"/>
      <c r="O64" s="1148"/>
      <c r="P64" s="2513"/>
      <c r="Q64" s="504"/>
    </row>
    <row r="65" spans="1:17" ht="27.75" thickTop="1">
      <c r="A65" s="534"/>
      <c r="B65" s="538" t="s">
        <v>2470</v>
      </c>
      <c r="C65" s="539" t="s">
        <v>2501</v>
      </c>
      <c r="D65" s="539" t="s">
        <v>2502</v>
      </c>
      <c r="E65" s="539" t="s">
        <v>2503</v>
      </c>
      <c r="F65" s="539" t="s">
        <v>2504</v>
      </c>
      <c r="G65" s="539" t="s">
        <v>2505</v>
      </c>
      <c r="H65" s="539" t="s">
        <v>2506</v>
      </c>
      <c r="I65" s="539" t="s">
        <v>2507</v>
      </c>
      <c r="J65" s="539"/>
      <c r="K65" s="540"/>
      <c r="L65" s="541"/>
      <c r="M65" s="542"/>
      <c r="N65" s="1147"/>
      <c r="O65" s="1147"/>
      <c r="P65" s="251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513"/>
      <c r="Q66" s="504"/>
    </row>
    <row r="67" spans="1:17" ht="15.75" thickTop="1">
      <c r="A67" s="534"/>
      <c r="B67" s="546" t="s">
        <v>2471</v>
      </c>
      <c r="C67" s="547" t="str">
        <f>C68&amp;"（含）"&amp;"-"&amp;D68</f>
        <v>2（含）-3</v>
      </c>
      <c r="D67" s="547" t="str">
        <f t="shared" ref="D67:L67" si="21">D68&amp;"（含）"&amp;"-"&amp;E68</f>
        <v>3（含）-4</v>
      </c>
      <c r="E67" s="547" t="str">
        <f t="shared" si="21"/>
        <v>4（含）-5</v>
      </c>
      <c r="F67" s="547" t="str">
        <f t="shared" si="21"/>
        <v>5（含）-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513"/>
      <c r="Q67" s="504"/>
    </row>
    <row r="68" spans="1:17" ht="15">
      <c r="A68" s="534"/>
      <c r="B68" s="548"/>
      <c r="C68" s="549">
        <v>2</v>
      </c>
      <c r="D68" s="549">
        <v>3</v>
      </c>
      <c r="E68" s="549">
        <v>4</v>
      </c>
      <c r="F68" s="549">
        <v>5</v>
      </c>
      <c r="G68" s="549"/>
      <c r="H68" s="549"/>
      <c r="I68" s="549"/>
      <c r="J68" s="549"/>
      <c r="K68" s="550"/>
      <c r="L68" s="551"/>
      <c r="M68" s="552"/>
      <c r="N68" s="1147"/>
      <c r="O68" s="1147"/>
      <c r="P68" s="2513"/>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8"/>
      <c r="O69" s="1148"/>
      <c r="P69" s="2513"/>
      <c r="Q69" s="504"/>
    </row>
    <row r="70" spans="1:17" s="471" customFormat="1" ht="15.75" hidden="1" thickTop="1">
      <c r="A70" s="553"/>
      <c r="B70" s="538">
        <f>B12</f>
        <v>0</v>
      </c>
      <c r="C70" s="554"/>
      <c r="D70" s="554"/>
      <c r="E70" s="554"/>
      <c r="F70" s="554"/>
      <c r="G70" s="554"/>
      <c r="H70" s="555"/>
      <c r="I70" s="555"/>
      <c r="J70" s="555"/>
      <c r="K70" s="555"/>
      <c r="L70" s="556"/>
      <c r="M70" s="557"/>
      <c r="N70" s="1149"/>
      <c r="O70" s="1149"/>
      <c r="P70" s="2514"/>
      <c r="Q70" s="559"/>
    </row>
    <row r="71" spans="1:17" s="471" customFormat="1" ht="15.75" hidden="1" thickBot="1">
      <c r="A71" s="553"/>
      <c r="B71" s="543"/>
      <c r="C71" s="560"/>
      <c r="D71" s="536"/>
      <c r="E71" s="536"/>
      <c r="F71" s="536"/>
      <c r="G71" s="536"/>
      <c r="H71" s="536"/>
      <c r="I71" s="536"/>
      <c r="J71" s="536"/>
      <c r="K71" s="536"/>
      <c r="L71" s="536"/>
      <c r="M71" s="537"/>
      <c r="N71" s="1148"/>
      <c r="O71" s="1148"/>
      <c r="P71" s="2514"/>
      <c r="Q71" s="559"/>
    </row>
    <row r="72" spans="1:17" s="471" customFormat="1" ht="15.75" hidden="1" thickTop="1">
      <c r="A72" s="553"/>
      <c r="B72" s="538">
        <f>B13</f>
        <v>0</v>
      </c>
      <c r="C72" s="554"/>
      <c r="D72" s="554"/>
      <c r="E72" s="554"/>
      <c r="F72" s="554"/>
      <c r="G72" s="554"/>
      <c r="H72" s="555"/>
      <c r="I72" s="555"/>
      <c r="J72" s="555"/>
      <c r="K72" s="555"/>
      <c r="L72" s="556"/>
      <c r="M72" s="557"/>
      <c r="N72" s="1149"/>
      <c r="O72" s="1149"/>
      <c r="P72" s="2515"/>
      <c r="Q72" s="561"/>
    </row>
    <row r="73" spans="1:17" s="471" customFormat="1" ht="15.75" hidden="1" thickBot="1">
      <c r="A73" s="553"/>
      <c r="B73" s="543"/>
      <c r="C73" s="560"/>
      <c r="D73" s="560"/>
      <c r="E73" s="560"/>
      <c r="F73" s="560"/>
      <c r="G73" s="560"/>
      <c r="H73" s="562"/>
      <c r="I73" s="562"/>
      <c r="J73" s="562"/>
      <c r="K73" s="562"/>
      <c r="L73" s="562"/>
      <c r="M73" s="563"/>
      <c r="N73" s="1149"/>
      <c r="O73" s="1149"/>
      <c r="P73" s="2514"/>
      <c r="Q73" s="559"/>
    </row>
    <row r="74" spans="1:17" s="471" customFormat="1" ht="15.75" hidden="1" thickTop="1">
      <c r="A74" s="553"/>
      <c r="B74" s="546">
        <f>B14</f>
        <v>0</v>
      </c>
      <c r="C74" s="554"/>
      <c r="D74" s="554"/>
      <c r="E74" s="554"/>
      <c r="F74" s="554"/>
      <c r="G74" s="523"/>
      <c r="H74" s="564"/>
      <c r="I74" s="564"/>
      <c r="J74" s="564"/>
      <c r="K74" s="564"/>
      <c r="L74" s="565"/>
      <c r="M74" s="566"/>
      <c r="N74" s="1149"/>
      <c r="O74" s="1149"/>
      <c r="P74" s="2516"/>
      <c r="Q74" s="559"/>
    </row>
    <row r="75" spans="1:17" s="471" customFormat="1" ht="15.75" hidden="1" thickBot="1">
      <c r="A75" s="568"/>
      <c r="B75" s="569"/>
      <c r="C75" s="570"/>
      <c r="D75" s="570"/>
      <c r="E75" s="570"/>
      <c r="F75" s="570"/>
      <c r="G75" s="570"/>
      <c r="H75" s="571"/>
      <c r="I75" s="571"/>
      <c r="J75" s="571"/>
      <c r="K75" s="571"/>
      <c r="L75" s="571"/>
      <c r="M75" s="572"/>
      <c r="N75" s="1149"/>
      <c r="O75" s="1149"/>
      <c r="P75" s="2514"/>
      <c r="Q75" s="559"/>
    </row>
    <row r="76" spans="1:17" ht="15" thickTop="1">
      <c r="A76" s="527" t="s">
        <v>2472</v>
      </c>
      <c r="B76" s="528" t="s">
        <v>2508</v>
      </c>
      <c r="C76" s="573" t="s">
        <v>2509</v>
      </c>
      <c r="D76" s="573" t="s">
        <v>2510</v>
      </c>
      <c r="E76" s="573" t="s">
        <v>2511</v>
      </c>
      <c r="F76" s="573" t="s">
        <v>2512</v>
      </c>
      <c r="G76" s="573" t="s">
        <v>2513</v>
      </c>
      <c r="H76" s="529"/>
      <c r="I76" s="529"/>
      <c r="J76" s="529"/>
      <c r="K76" s="574"/>
      <c r="L76" s="575"/>
      <c r="M76" s="576"/>
      <c r="N76" s="1147"/>
      <c r="O76" s="1147"/>
      <c r="P76" s="251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513"/>
      <c r="Q77" s="504"/>
    </row>
    <row r="78" spans="1:17" ht="15.75" thickTop="1">
      <c r="A78" s="534"/>
      <c r="B78" s="538" t="s">
        <v>2514</v>
      </c>
      <c r="C78" s="578" t="s">
        <v>2509</v>
      </c>
      <c r="D78" s="578" t="s">
        <v>2510</v>
      </c>
      <c r="E78" s="578" t="s">
        <v>2511</v>
      </c>
      <c r="F78" s="578" t="s">
        <v>2512</v>
      </c>
      <c r="G78" s="578" t="s">
        <v>2513</v>
      </c>
      <c r="H78" s="539"/>
      <c r="I78" s="539"/>
      <c r="J78" s="539"/>
      <c r="K78" s="540"/>
      <c r="L78" s="541"/>
      <c r="M78" s="542"/>
      <c r="N78" s="1147"/>
      <c r="O78" s="1147"/>
      <c r="P78" s="251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513"/>
      <c r="Q79" s="504"/>
    </row>
    <row r="80" spans="1:17" ht="15.75" thickTop="1">
      <c r="A80" s="534"/>
      <c r="B80" s="538" t="s">
        <v>2515</v>
      </c>
      <c r="C80" s="578" t="s">
        <v>2509</v>
      </c>
      <c r="D80" s="578" t="s">
        <v>2510</v>
      </c>
      <c r="E80" s="578" t="s">
        <v>2511</v>
      </c>
      <c r="F80" s="578" t="s">
        <v>2512</v>
      </c>
      <c r="G80" s="578" t="s">
        <v>2513</v>
      </c>
      <c r="H80" s="539"/>
      <c r="I80" s="539"/>
      <c r="J80" s="539"/>
      <c r="K80" s="540"/>
      <c r="L80" s="541"/>
      <c r="M80" s="542"/>
      <c r="N80" s="1147"/>
      <c r="O80" s="1147"/>
      <c r="P80" s="251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513"/>
      <c r="Q81" s="504"/>
    </row>
    <row r="82" spans="1:17" ht="15.75" thickTop="1">
      <c r="A82" s="534"/>
      <c r="B82" s="546" t="s">
        <v>2013</v>
      </c>
      <c r="C82" s="539" t="s">
        <v>2516</v>
      </c>
      <c r="D82" s="539" t="s">
        <v>2517</v>
      </c>
      <c r="E82" s="539" t="s">
        <v>2518</v>
      </c>
      <c r="F82" s="539" t="s">
        <v>2519</v>
      </c>
      <c r="G82" s="539" t="s">
        <v>2520</v>
      </c>
      <c r="H82" s="539"/>
      <c r="I82" s="539"/>
      <c r="J82" s="539"/>
      <c r="K82" s="539"/>
      <c r="L82" s="539"/>
      <c r="M82" s="1369"/>
      <c r="N82" s="1148"/>
      <c r="O82" s="1148"/>
      <c r="P82" s="2513"/>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8"/>
      <c r="O83" s="1148"/>
      <c r="P83" s="2513"/>
      <c r="Q83" s="504"/>
    </row>
    <row r="84" spans="1:17" ht="15.75" thickTop="1">
      <c r="A84" s="534"/>
      <c r="B84" s="538" t="s">
        <v>2521</v>
      </c>
      <c r="C84" s="578" t="s">
        <v>2509</v>
      </c>
      <c r="D84" s="578" t="s">
        <v>2510</v>
      </c>
      <c r="E84" s="578" t="s">
        <v>2511</v>
      </c>
      <c r="F84" s="578" t="s">
        <v>2512</v>
      </c>
      <c r="G84" s="578" t="s">
        <v>2513</v>
      </c>
      <c r="H84" s="539"/>
      <c r="I84" s="539"/>
      <c r="J84" s="539"/>
      <c r="K84" s="540"/>
      <c r="L84" s="541"/>
      <c r="M84" s="542"/>
      <c r="N84" s="1147"/>
      <c r="O84" s="1147"/>
      <c r="P84" s="251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513"/>
      <c r="Q85" s="504"/>
    </row>
    <row r="86" spans="1:17" s="117" customFormat="1" ht="15.75" thickTop="1">
      <c r="A86" s="579"/>
      <c r="B86" s="538" t="s">
        <v>2522</v>
      </c>
      <c r="C86" s="2991"/>
      <c r="D86" s="2991"/>
      <c r="E86" s="2991"/>
      <c r="F86" s="554"/>
      <c r="G86" s="554"/>
      <c r="H86" s="554"/>
      <c r="I86" s="554"/>
      <c r="J86" s="554"/>
      <c r="K86" s="554"/>
      <c r="L86" s="580"/>
      <c r="M86" s="581"/>
      <c r="N86" s="1146"/>
      <c r="O86" s="1146"/>
      <c r="P86" s="251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513"/>
      <c r="Q87" s="504"/>
    </row>
    <row r="88" spans="1:17" s="117" customFormat="1" ht="15.75" thickTop="1">
      <c r="A88" s="579"/>
      <c r="B88" s="538" t="s">
        <v>2523</v>
      </c>
      <c r="C88" s="2991"/>
      <c r="D88" s="2991"/>
      <c r="E88" s="2991"/>
      <c r="F88" s="2994"/>
      <c r="G88" s="2991"/>
      <c r="H88" s="2991"/>
      <c r="I88" s="2991"/>
      <c r="J88" s="2991"/>
      <c r="K88" s="2991"/>
      <c r="L88" s="2991"/>
      <c r="M88" s="2995"/>
      <c r="N88" s="1146"/>
      <c r="O88" s="1146"/>
      <c r="P88" s="251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513"/>
      <c r="Q89" s="504"/>
    </row>
    <row r="90" spans="1:17" s="471" customFormat="1" ht="15.75" thickTop="1">
      <c r="A90" s="553"/>
      <c r="B90" s="538" t="str">
        <f>B27</f>
        <v>朝向</v>
      </c>
      <c r="C90" s="2991" t="s">
        <v>3578</v>
      </c>
      <c r="D90" s="2991" t="s">
        <v>3579</v>
      </c>
      <c r="E90" s="2991" t="s">
        <v>3577</v>
      </c>
      <c r="F90" s="2991" t="s">
        <v>3582</v>
      </c>
      <c r="G90" s="554"/>
      <c r="H90" s="555"/>
      <c r="I90" s="555"/>
      <c r="J90" s="555"/>
      <c r="K90" s="555"/>
      <c r="L90" s="556"/>
      <c r="M90" s="557"/>
      <c r="N90" s="1149"/>
      <c r="O90" s="1149"/>
      <c r="P90" s="2514"/>
      <c r="Q90" s="559"/>
    </row>
    <row r="91" spans="1:17" s="471" customFormat="1" ht="15.75" thickBot="1">
      <c r="A91" s="553"/>
      <c r="B91" s="543"/>
      <c r="C91" s="560">
        <v>100</v>
      </c>
      <c r="D91" s="560">
        <v>99</v>
      </c>
      <c r="E91" s="560">
        <v>105.5</v>
      </c>
      <c r="F91" s="560">
        <v>101</v>
      </c>
      <c r="G91" s="560"/>
      <c r="H91" s="562"/>
      <c r="I91" s="562"/>
      <c r="J91" s="562"/>
      <c r="K91" s="562"/>
      <c r="L91" s="562"/>
      <c r="M91" s="563"/>
      <c r="N91" s="1149"/>
      <c r="O91" s="1149"/>
      <c r="P91" s="2514"/>
      <c r="Q91" s="559"/>
    </row>
    <row r="92" spans="1:17" ht="15.75" thickTop="1">
      <c r="A92" s="534"/>
      <c r="B92" s="538" t="str">
        <f>B28</f>
        <v>楼层</v>
      </c>
      <c r="C92" s="2991" t="s">
        <v>3586</v>
      </c>
      <c r="D92" s="2991" t="s">
        <v>3585</v>
      </c>
      <c r="E92" s="2991" t="s">
        <v>3587</v>
      </c>
      <c r="F92" s="554"/>
      <c r="G92" s="583"/>
      <c r="H92" s="583"/>
      <c r="I92" s="583"/>
      <c r="J92" s="583"/>
      <c r="K92" s="584"/>
      <c r="L92" s="585"/>
      <c r="M92" s="586"/>
      <c r="N92" s="1147"/>
      <c r="O92" s="1147"/>
      <c r="P92" s="2513"/>
      <c r="Q92" s="504"/>
    </row>
    <row r="93" spans="1:17" ht="15.75" thickBot="1">
      <c r="A93" s="534"/>
      <c r="B93" s="543"/>
      <c r="C93" s="560">
        <v>100</v>
      </c>
      <c r="D93" s="536">
        <v>105</v>
      </c>
      <c r="E93" s="536">
        <v>110</v>
      </c>
      <c r="F93" s="536"/>
      <c r="G93" s="536"/>
      <c r="H93" s="536"/>
      <c r="I93" s="536"/>
      <c r="J93" s="536"/>
      <c r="K93" s="536"/>
      <c r="L93" s="536"/>
      <c r="M93" s="537"/>
      <c r="N93" s="1148"/>
      <c r="O93" s="1148"/>
      <c r="P93" s="2513"/>
      <c r="Q93" s="504"/>
    </row>
    <row r="94" spans="1:17" ht="15.75" thickTop="1">
      <c r="A94" s="534"/>
      <c r="B94" s="538">
        <f>B29</f>
        <v>0</v>
      </c>
      <c r="C94" s="554"/>
      <c r="D94" s="554"/>
      <c r="E94" s="554"/>
      <c r="F94" s="554"/>
      <c r="G94" s="583"/>
      <c r="H94" s="583"/>
      <c r="I94" s="583"/>
      <c r="J94" s="583"/>
      <c r="K94" s="584"/>
      <c r="L94" s="585"/>
      <c r="M94" s="586"/>
      <c r="N94" s="1147"/>
      <c r="O94" s="1147"/>
      <c r="P94" s="2513"/>
      <c r="Q94" s="504"/>
    </row>
    <row r="95" spans="1:17" ht="15.75" thickBot="1">
      <c r="A95" s="534"/>
      <c r="B95" s="543"/>
      <c r="C95" s="560"/>
      <c r="D95" s="560"/>
      <c r="E95" s="560"/>
      <c r="F95" s="560"/>
      <c r="G95" s="536"/>
      <c r="H95" s="536"/>
      <c r="I95" s="536"/>
      <c r="J95" s="536"/>
      <c r="K95" s="536"/>
      <c r="L95" s="536"/>
      <c r="M95" s="537"/>
      <c r="N95" s="1148"/>
      <c r="O95" s="1148"/>
      <c r="P95" s="2513"/>
      <c r="Q95" s="504"/>
    </row>
    <row r="96" spans="1:17" ht="15.75" thickTop="1">
      <c r="A96" s="534"/>
      <c r="B96" s="538">
        <f>B30</f>
        <v>0</v>
      </c>
      <c r="C96" s="554"/>
      <c r="D96" s="554"/>
      <c r="E96" s="554"/>
      <c r="F96" s="554"/>
      <c r="G96" s="583"/>
      <c r="H96" s="583"/>
      <c r="I96" s="583"/>
      <c r="J96" s="583"/>
      <c r="K96" s="584"/>
      <c r="L96" s="585"/>
      <c r="M96" s="586"/>
      <c r="N96" s="1147"/>
      <c r="O96" s="1147"/>
      <c r="P96" s="2513"/>
      <c r="Q96" s="504"/>
    </row>
    <row r="97" spans="1:17" ht="15.75" thickBot="1">
      <c r="A97" s="534"/>
      <c r="B97" s="543"/>
      <c r="C97" s="570"/>
      <c r="D97" s="570"/>
      <c r="E97" s="570"/>
      <c r="F97" s="570"/>
      <c r="G97" s="536"/>
      <c r="H97" s="536"/>
      <c r="I97" s="536"/>
      <c r="J97" s="536"/>
      <c r="K97" s="536"/>
      <c r="L97" s="536"/>
      <c r="M97" s="537"/>
      <c r="N97" s="1148"/>
      <c r="O97" s="1148"/>
      <c r="P97" s="2513"/>
      <c r="Q97" s="504"/>
    </row>
    <row r="98" spans="1:17" ht="15.75" thickTop="1">
      <c r="A98" s="534"/>
      <c r="B98" s="546">
        <f>B31</f>
        <v>0</v>
      </c>
      <c r="C98" s="587"/>
      <c r="D98" s="587"/>
      <c r="E98" s="587"/>
      <c r="F98" s="587"/>
      <c r="G98" s="587"/>
      <c r="H98" s="587"/>
      <c r="I98" s="587"/>
      <c r="J98" s="587"/>
      <c r="K98" s="588"/>
      <c r="L98" s="589"/>
      <c r="M98" s="590"/>
      <c r="N98" s="1147"/>
      <c r="O98" s="1147"/>
      <c r="P98" s="2513"/>
      <c r="Q98" s="504"/>
    </row>
    <row r="99" spans="1:17" ht="15.75" thickBot="1">
      <c r="A99" s="2519"/>
      <c r="B99" s="569"/>
      <c r="C99" s="591"/>
      <c r="D99" s="591"/>
      <c r="E99" s="591"/>
      <c r="F99" s="591"/>
      <c r="G99" s="591"/>
      <c r="H99" s="591"/>
      <c r="I99" s="591"/>
      <c r="J99" s="591"/>
      <c r="K99" s="591"/>
      <c r="L99" s="591"/>
      <c r="M99" s="592"/>
      <c r="N99" s="1148"/>
      <c r="O99" s="1148"/>
      <c r="P99" s="2513"/>
      <c r="Q99" s="504"/>
    </row>
    <row r="100" spans="1:17">
      <c r="A100" s="527" t="s">
        <v>2476</v>
      </c>
      <c r="B100" s="528" t="s">
        <v>2524</v>
      </c>
      <c r="C100" s="2992" t="s">
        <v>3592</v>
      </c>
      <c r="D100" s="2992" t="s">
        <v>3590</v>
      </c>
      <c r="E100" s="530"/>
      <c r="F100" s="530"/>
      <c r="G100" s="530"/>
      <c r="H100" s="530"/>
      <c r="I100" s="530"/>
      <c r="J100" s="530"/>
      <c r="K100" s="531"/>
      <c r="L100" s="532"/>
      <c r="M100" s="533"/>
      <c r="N100" s="1147"/>
      <c r="O100" s="1147"/>
      <c r="P100" s="2513"/>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48"/>
      <c r="O101" s="1148"/>
      <c r="P101" s="2513"/>
      <c r="Q101" s="504"/>
    </row>
    <row r="102" spans="1:17" ht="15.75" thickTop="1">
      <c r="A102" s="534"/>
      <c r="B102" s="538" t="s">
        <v>2525</v>
      </c>
      <c r="C102" s="578" t="str">
        <f>C103&amp;"(含)"&amp;"-"&amp;D103</f>
        <v>100(含)-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513"/>
      <c r="Q102" s="504"/>
    </row>
    <row r="103" spans="1:17" s="471" customFormat="1">
      <c r="A103" s="593"/>
      <c r="B103" s="594"/>
      <c r="C103" s="595">
        <v>100</v>
      </c>
      <c r="D103" s="595"/>
      <c r="E103" s="595"/>
      <c r="F103" s="595"/>
      <c r="G103" s="595"/>
      <c r="H103" s="595"/>
      <c r="I103" s="595"/>
      <c r="J103" s="596"/>
      <c r="K103" s="596"/>
      <c r="L103" s="597"/>
      <c r="M103" s="598"/>
      <c r="N103" s="1149"/>
      <c r="O103" s="1149"/>
      <c r="P103" s="2514"/>
      <c r="Q103" s="559"/>
    </row>
    <row r="104" spans="1:17" s="471" customFormat="1" ht="15.75" thickBot="1">
      <c r="A104" s="553"/>
      <c r="B104" s="543"/>
      <c r="C104" s="560">
        <v>100</v>
      </c>
      <c r="D104" s="536"/>
      <c r="E104" s="536"/>
      <c r="F104" s="536"/>
      <c r="G104" s="536"/>
      <c r="H104" s="536"/>
      <c r="I104" s="536"/>
      <c r="J104" s="536"/>
      <c r="K104" s="536"/>
      <c r="L104" s="536"/>
      <c r="M104" s="536"/>
      <c r="N104" s="1148"/>
      <c r="O104" s="1148"/>
      <c r="P104" s="2514"/>
      <c r="Q104" s="559"/>
    </row>
    <row r="105" spans="1:17" ht="15" thickTop="1">
      <c r="A105" s="599"/>
      <c r="B105" s="538" t="s">
        <v>2526</v>
      </c>
      <c r="C105" s="2991" t="s">
        <v>3553</v>
      </c>
      <c r="D105" s="554"/>
      <c r="E105" s="583"/>
      <c r="F105" s="583"/>
      <c r="G105" s="583"/>
      <c r="H105" s="583"/>
      <c r="I105" s="583"/>
      <c r="J105" s="583"/>
      <c r="K105" s="584"/>
      <c r="L105" s="585"/>
      <c r="M105" s="586"/>
      <c r="N105" s="1147"/>
      <c r="O105" s="1147"/>
      <c r="P105" s="251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513"/>
      <c r="Q106" s="504"/>
    </row>
    <row r="107" spans="1:17" ht="15" thickTop="1">
      <c r="A107" s="599"/>
      <c r="B107" s="538" t="s">
        <v>2527</v>
      </c>
      <c r="C107" s="583"/>
      <c r="D107" s="583"/>
      <c r="E107" s="583"/>
      <c r="F107" s="583"/>
      <c r="G107" s="583"/>
      <c r="H107" s="583"/>
      <c r="I107" s="583"/>
      <c r="J107" s="583"/>
      <c r="K107" s="584"/>
      <c r="L107" s="585"/>
      <c r="M107" s="586"/>
      <c r="N107" s="1147"/>
      <c r="O107" s="1147"/>
      <c r="P107" s="251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513"/>
      <c r="Q108" s="504"/>
    </row>
    <row r="109" spans="1:17" ht="15" thickTop="1">
      <c r="A109" s="599"/>
      <c r="B109" s="538" t="s">
        <v>2528</v>
      </c>
      <c r="C109" s="2991" t="s">
        <v>3556</v>
      </c>
      <c r="D109" s="554"/>
      <c r="E109" s="554"/>
      <c r="F109" s="583"/>
      <c r="G109" s="583"/>
      <c r="H109" s="583"/>
      <c r="I109" s="583"/>
      <c r="J109" s="583"/>
      <c r="K109" s="584"/>
      <c r="L109" s="585"/>
      <c r="M109" s="586"/>
      <c r="N109" s="1147"/>
      <c r="O109" s="1147"/>
      <c r="P109" s="251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513"/>
      <c r="Q110" s="504"/>
    </row>
    <row r="111" spans="1:17" s="471" customFormat="1" ht="15" thickTop="1">
      <c r="A111" s="593"/>
      <c r="B111" s="538" t="s">
        <v>1916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51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51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514"/>
      <c r="Q113" s="559"/>
    </row>
    <row r="114" spans="1:17" ht="15" thickTop="1">
      <c r="A114" s="599"/>
      <c r="B114" s="538" t="s">
        <v>2529</v>
      </c>
      <c r="C114" s="2991" t="s">
        <v>3576</v>
      </c>
      <c r="D114" s="2991" t="s">
        <v>3574</v>
      </c>
      <c r="E114" s="583"/>
      <c r="F114" s="583"/>
      <c r="G114" s="583"/>
      <c r="H114" s="583"/>
      <c r="I114" s="583"/>
      <c r="J114" s="583"/>
      <c r="K114" s="584"/>
      <c r="L114" s="585"/>
      <c r="M114" s="586"/>
      <c r="N114" s="1147"/>
      <c r="O114" s="1147"/>
      <c r="P114" s="2513"/>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48"/>
      <c r="O115" s="1148"/>
      <c r="P115" s="2513"/>
      <c r="Q115" s="504"/>
    </row>
    <row r="116" spans="1:17" ht="15" thickTop="1">
      <c r="A116" s="599"/>
      <c r="B116" s="538" t="s">
        <v>2530</v>
      </c>
      <c r="C116" s="2991" t="s">
        <v>3557</v>
      </c>
      <c r="D116" s="2991" t="s">
        <v>3559</v>
      </c>
      <c r="E116" s="2991" t="s">
        <v>3561</v>
      </c>
      <c r="F116" s="2991" t="s">
        <v>3562</v>
      </c>
      <c r="G116" s="2991" t="s">
        <v>3563</v>
      </c>
      <c r="H116" s="583"/>
      <c r="I116" s="583"/>
      <c r="J116" s="583"/>
      <c r="K116" s="584"/>
      <c r="L116" s="585"/>
      <c r="M116" s="586"/>
      <c r="N116" s="1147"/>
      <c r="O116" s="1147"/>
      <c r="P116" s="2513"/>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8"/>
      <c r="O117" s="1148"/>
      <c r="P117" s="2513"/>
      <c r="Q117" s="504"/>
    </row>
    <row r="118" spans="1:17" ht="15" thickTop="1">
      <c r="A118" s="599"/>
      <c r="B118" s="538" t="s">
        <v>2531</v>
      </c>
      <c r="C118" s="2993" t="s">
        <v>3565</v>
      </c>
      <c r="D118" s="2993" t="s">
        <v>3566</v>
      </c>
      <c r="E118" s="583"/>
      <c r="F118" s="583"/>
      <c r="G118" s="583"/>
      <c r="H118" s="583"/>
      <c r="I118" s="583"/>
      <c r="J118" s="583"/>
      <c r="K118" s="584"/>
      <c r="L118" s="585"/>
      <c r="M118" s="586"/>
      <c r="N118" s="1147"/>
      <c r="O118" s="1147"/>
      <c r="P118" s="251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513"/>
      <c r="Q119" s="504"/>
    </row>
    <row r="120" spans="1:17" s="471" customFormat="1" ht="28.5" thickTop="1">
      <c r="A120" s="593"/>
      <c r="B120" s="538" t="s">
        <v>2487</v>
      </c>
      <c r="C120" s="554"/>
      <c r="D120" s="554"/>
      <c r="E120" s="554"/>
      <c r="F120" s="554"/>
      <c r="G120" s="554"/>
      <c r="H120" s="554"/>
      <c r="I120" s="554"/>
      <c r="J120" s="554"/>
      <c r="K120" s="554"/>
      <c r="L120" s="580"/>
      <c r="M120" s="581"/>
      <c r="N120" s="1149"/>
      <c r="O120" s="1149"/>
      <c r="P120" s="2514"/>
      <c r="Q120" s="559"/>
    </row>
    <row r="121" spans="1:17" s="471" customFormat="1" ht="15.75" thickBot="1">
      <c r="A121" s="553"/>
      <c r="B121" s="535"/>
      <c r="C121" s="560"/>
      <c r="D121" s="536"/>
      <c r="E121" s="536"/>
      <c r="F121" s="536"/>
      <c r="G121" s="536"/>
      <c r="H121" s="536"/>
      <c r="I121" s="536"/>
      <c r="J121" s="536"/>
      <c r="K121" s="536"/>
      <c r="L121" s="536"/>
      <c r="M121" s="536"/>
      <c r="N121" s="1149"/>
      <c r="O121" s="1149"/>
      <c r="P121" s="2514"/>
      <c r="Q121" s="559"/>
    </row>
    <row r="122" spans="1:17" ht="15" thickTop="1">
      <c r="A122" s="599"/>
      <c r="B122" s="538" t="s">
        <v>2532</v>
      </c>
      <c r="C122" s="2991" t="s">
        <v>3568</v>
      </c>
      <c r="D122" s="2991" t="s">
        <v>3569</v>
      </c>
      <c r="E122" s="2991" t="s">
        <v>3571</v>
      </c>
      <c r="F122" s="583"/>
      <c r="G122" s="583"/>
      <c r="H122" s="583"/>
      <c r="I122" s="583"/>
      <c r="J122" s="583"/>
      <c r="K122" s="584"/>
      <c r="L122" s="585"/>
      <c r="M122" s="586"/>
      <c r="N122" s="1147"/>
      <c r="O122" s="1147"/>
      <c r="P122" s="2513"/>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48"/>
      <c r="O123" s="1148"/>
      <c r="P123" s="2513"/>
      <c r="Q123" s="504"/>
    </row>
    <row r="124" spans="1:17" ht="15" thickTop="1">
      <c r="A124" s="599"/>
      <c r="B124" s="538" t="s">
        <v>2533</v>
      </c>
      <c r="C124" s="578" t="s">
        <v>2509</v>
      </c>
      <c r="D124" s="578" t="s">
        <v>2510</v>
      </c>
      <c r="E124" s="578" t="s">
        <v>2511</v>
      </c>
      <c r="F124" s="578" t="s">
        <v>2512</v>
      </c>
      <c r="G124" s="578" t="s">
        <v>2513</v>
      </c>
      <c r="H124" s="539"/>
      <c r="I124" s="539"/>
      <c r="J124" s="539"/>
      <c r="K124" s="540"/>
      <c r="L124" s="541"/>
      <c r="M124" s="542"/>
      <c r="N124" s="1147"/>
      <c r="O124" s="1147"/>
      <c r="P124" s="251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513"/>
      <c r="Q125" s="504"/>
    </row>
    <row r="126" spans="1:17" s="471" customFormat="1" ht="15" thickTop="1">
      <c r="A126" s="593"/>
      <c r="B126" s="538">
        <f>B44</f>
        <v>0</v>
      </c>
      <c r="C126" s="554"/>
      <c r="D126" s="554"/>
      <c r="E126" s="554"/>
      <c r="F126" s="554"/>
      <c r="G126" s="554"/>
      <c r="H126" s="555"/>
      <c r="I126" s="555"/>
      <c r="J126" s="555"/>
      <c r="K126" s="555"/>
      <c r="L126" s="556"/>
      <c r="M126" s="557"/>
      <c r="N126" s="1149"/>
      <c r="O126" s="1149"/>
      <c r="P126" s="2514"/>
      <c r="Q126" s="559"/>
    </row>
    <row r="127" spans="1:17" s="471" customFormat="1" ht="15.75" thickBot="1">
      <c r="A127" s="553"/>
      <c r="B127" s="543"/>
      <c r="C127" s="560"/>
      <c r="D127" s="536"/>
      <c r="E127" s="536"/>
      <c r="F127" s="536"/>
      <c r="G127" s="560"/>
      <c r="H127" s="562"/>
      <c r="I127" s="562"/>
      <c r="J127" s="562"/>
      <c r="K127" s="562"/>
      <c r="L127" s="562"/>
      <c r="M127" s="563"/>
      <c r="N127" s="1149"/>
      <c r="O127" s="1149"/>
      <c r="P127" s="2514"/>
      <c r="Q127" s="559"/>
    </row>
    <row r="128" spans="1:17" ht="15" thickTop="1">
      <c r="A128" s="599"/>
      <c r="B128" s="538">
        <f>B45</f>
        <v>0</v>
      </c>
      <c r="C128" s="554"/>
      <c r="D128" s="554"/>
      <c r="E128" s="554"/>
      <c r="F128" s="554"/>
      <c r="G128" s="583"/>
      <c r="H128" s="583"/>
      <c r="I128" s="583"/>
      <c r="J128" s="583"/>
      <c r="K128" s="584"/>
      <c r="L128" s="585"/>
      <c r="M128" s="586"/>
      <c r="N128" s="1147"/>
      <c r="O128" s="1147"/>
      <c r="P128" s="2513"/>
      <c r="Q128" s="504"/>
    </row>
    <row r="129" spans="1:17" ht="15.75" thickBot="1">
      <c r="A129" s="534"/>
      <c r="B129" s="543"/>
      <c r="C129" s="560"/>
      <c r="D129" s="560"/>
      <c r="E129" s="560"/>
      <c r="F129" s="560"/>
      <c r="G129" s="536"/>
      <c r="H129" s="536"/>
      <c r="I129" s="536"/>
      <c r="J129" s="536"/>
      <c r="K129" s="536"/>
      <c r="L129" s="536"/>
      <c r="M129" s="537"/>
      <c r="N129" s="1148"/>
      <c r="O129" s="1148"/>
      <c r="P129" s="2513"/>
      <c r="Q129" s="504"/>
    </row>
    <row r="130" spans="1:17" ht="15" thickTop="1">
      <c r="A130" s="599"/>
      <c r="B130" s="546">
        <f>B46</f>
        <v>0</v>
      </c>
      <c r="C130" s="554"/>
      <c r="D130" s="554"/>
      <c r="E130" s="554"/>
      <c r="F130" s="554"/>
      <c r="G130" s="587"/>
      <c r="H130" s="587"/>
      <c r="I130" s="587"/>
      <c r="J130" s="587"/>
      <c r="K130" s="523"/>
      <c r="L130" s="524"/>
      <c r="M130" s="590"/>
      <c r="N130" s="1147"/>
      <c r="O130" s="1147"/>
      <c r="P130" s="2513"/>
      <c r="Q130" s="504"/>
    </row>
    <row r="131" spans="1:17" ht="15.75" thickBot="1">
      <c r="A131" s="2519"/>
      <c r="B131" s="569"/>
      <c r="C131" s="570"/>
      <c r="D131" s="570"/>
      <c r="E131" s="570"/>
      <c r="F131" s="570"/>
      <c r="G131" s="591"/>
      <c r="H131" s="591"/>
      <c r="I131" s="591"/>
      <c r="J131" s="591"/>
      <c r="K131" s="591"/>
      <c r="L131" s="591"/>
      <c r="M131" s="592"/>
      <c r="N131" s="1148"/>
      <c r="O131" s="1148"/>
      <c r="P131" s="2513"/>
      <c r="Q131" s="504"/>
    </row>
    <row r="136" spans="1:17" ht="15" thickBot="1">
      <c r="B136" s="2520" t="s">
        <v>2534</v>
      </c>
    </row>
    <row r="137" spans="1:17" ht="15">
      <c r="B137" s="2521" t="s">
        <v>2535</v>
      </c>
      <c r="C137" s="2522"/>
      <c r="D137" s="2522"/>
      <c r="E137" s="2522"/>
      <c r="F137" s="2522"/>
      <c r="G137" s="2523"/>
      <c r="H137" s="2524"/>
      <c r="I137" s="2525" t="s">
        <v>2536</v>
      </c>
      <c r="J137" s="2522"/>
      <c r="K137" s="2526"/>
    </row>
    <row r="138" spans="1:17" ht="15">
      <c r="B138" s="2527"/>
      <c r="C138" s="146" t="s">
        <v>2537</v>
      </c>
      <c r="D138" s="146" t="s">
        <v>2538</v>
      </c>
      <c r="E138" s="2528" t="s">
        <v>2539</v>
      </c>
      <c r="F138" s="2529" t="s">
        <v>2540</v>
      </c>
      <c r="G138" s="146" t="s">
        <v>2538</v>
      </c>
      <c r="H138" s="147" t="s">
        <v>2539</v>
      </c>
      <c r="I138" s="2530"/>
      <c r="J138" s="146" t="s">
        <v>2541</v>
      </c>
      <c r="K138" s="147" t="s">
        <v>2542</v>
      </c>
    </row>
    <row r="139" spans="1:17" ht="15">
      <c r="B139" s="1079">
        <v>6</v>
      </c>
      <c r="C139" s="1080">
        <v>96</v>
      </c>
      <c r="D139" s="2531" t="s">
        <v>2543</v>
      </c>
      <c r="E139" s="1081">
        <v>100</v>
      </c>
      <c r="F139" s="1082">
        <v>102.5</v>
      </c>
      <c r="G139" s="2531" t="s">
        <v>2543</v>
      </c>
      <c r="H139" s="1083">
        <v>105</v>
      </c>
      <c r="I139" s="2532" t="s">
        <v>2544</v>
      </c>
      <c r="J139" s="1080">
        <v>20</v>
      </c>
      <c r="K139" s="1084">
        <f>C145/(J139-2)</f>
        <v>4.0555555555555553E-3</v>
      </c>
    </row>
    <row r="140" spans="1:17" ht="15">
      <c r="B140" s="1085">
        <v>5</v>
      </c>
      <c r="C140" s="1086">
        <v>100</v>
      </c>
      <c r="D140" s="1086"/>
      <c r="E140" s="1087"/>
      <c r="F140" s="1088">
        <v>102</v>
      </c>
      <c r="G140" s="1086"/>
      <c r="H140" s="1089"/>
      <c r="I140" s="2533" t="s">
        <v>2545</v>
      </c>
      <c r="J140" s="315">
        <f>ROUNDUP((J139-1)/2,0)</f>
        <v>10</v>
      </c>
      <c r="K140" s="1090">
        <v>100</v>
      </c>
    </row>
    <row r="141" spans="1:17" ht="15">
      <c r="B141" s="1085">
        <v>4</v>
      </c>
      <c r="C141" s="1086">
        <v>102</v>
      </c>
      <c r="D141" s="1086"/>
      <c r="E141" s="1087"/>
      <c r="F141" s="1088">
        <v>101.5</v>
      </c>
      <c r="G141" s="1086"/>
      <c r="H141" s="1089"/>
      <c r="I141" s="2533" t="s">
        <v>2546</v>
      </c>
      <c r="J141" s="315">
        <v>1</v>
      </c>
      <c r="K141" s="1091">
        <f>ROUND(100+(J141-J140)*K139*100,1)</f>
        <v>96.4</v>
      </c>
    </row>
    <row r="142" spans="1:17" ht="15">
      <c r="B142" s="1085">
        <v>3</v>
      </c>
      <c r="C142" s="1086">
        <v>103</v>
      </c>
      <c r="D142" s="1086"/>
      <c r="E142" s="1087"/>
      <c r="F142" s="1088">
        <v>101</v>
      </c>
      <c r="G142" s="1086"/>
      <c r="H142" s="1089"/>
      <c r="I142" s="2533" t="s">
        <v>2547</v>
      </c>
      <c r="J142" s="315">
        <f>J139</f>
        <v>20</v>
      </c>
      <c r="K142" s="1092">
        <v>95</v>
      </c>
    </row>
    <row r="143" spans="1:17" ht="15">
      <c r="B143" s="1085">
        <v>2</v>
      </c>
      <c r="C143" s="1086">
        <v>100</v>
      </c>
      <c r="D143" s="1086"/>
      <c r="E143" s="1087"/>
      <c r="F143" s="1088">
        <v>100.5</v>
      </c>
      <c r="G143" s="1086"/>
      <c r="H143" s="1089"/>
      <c r="I143" s="2533" t="s">
        <v>2548</v>
      </c>
      <c r="J143" s="1086">
        <v>15</v>
      </c>
      <c r="K143" s="1091">
        <f>ROUND(100+(J143-J140)*K139*100,1)</f>
        <v>102</v>
      </c>
    </row>
    <row r="144" spans="1:17" ht="15">
      <c r="B144" s="1085">
        <v>1</v>
      </c>
      <c r="C144" s="1086">
        <v>98</v>
      </c>
      <c r="D144" s="2534" t="s">
        <v>2549</v>
      </c>
      <c r="E144" s="1087">
        <v>102</v>
      </c>
      <c r="F144" s="1093">
        <v>100</v>
      </c>
      <c r="G144" s="2534" t="s">
        <v>2549</v>
      </c>
      <c r="H144" s="1089">
        <v>105</v>
      </c>
      <c r="I144" s="2533" t="s">
        <v>2548</v>
      </c>
      <c r="J144" s="1086">
        <v>18</v>
      </c>
      <c r="K144" s="1091">
        <f>ROUND(100+(J144-J140)*K139*100,1)</f>
        <v>103.2</v>
      </c>
    </row>
    <row r="145" spans="2:11" ht="15.75" thickBot="1">
      <c r="B145" s="2535" t="s">
        <v>2550</v>
      </c>
      <c r="C145" s="1094">
        <f>ROUND(MAX(C139:C144)/MIN(C139:C144)-1,3)</f>
        <v>7.2999999999999995E-2</v>
      </c>
      <c r="D145" s="1095"/>
      <c r="E145" s="1095"/>
      <c r="F145" s="2536" t="s">
        <v>2551</v>
      </c>
      <c r="G145" s="2537"/>
      <c r="H145" s="2538"/>
      <c r="I145" s="2539" t="s">
        <v>2548</v>
      </c>
      <c r="J145" s="1096">
        <v>8</v>
      </c>
      <c r="K145" s="1097">
        <f>ROUND(100+(J145-J140)*K139*100,1)</f>
        <v>99.2</v>
      </c>
    </row>
    <row r="147" spans="2:11">
      <c r="B147" s="2520" t="s">
        <v>2552</v>
      </c>
    </row>
    <row r="148" spans="2:11">
      <c r="B148" s="2520" t="s">
        <v>2553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view="pageBreakPreview" zoomScaleNormal="90" zoomScaleSheetLayoutView="100" workbookViewId="0">
      <pane ySplit="24" topLeftCell="A230" activePane="bottomLeft" state="frozen"/>
      <selection activeCell="C50" sqref="C50"/>
      <selection pane="bottomLeft" activeCell="V243" sqref="V243"/>
    </sheetView>
  </sheetViews>
  <sheetFormatPr defaultRowHeight="12.75"/>
  <cols>
    <col min="1" max="1" width="11.5" style="139" customWidth="1"/>
    <col min="2" max="2" width="9.25" style="27" customWidth="1"/>
    <col min="3" max="3" width="7.625" style="27" customWidth="1"/>
    <col min="4" max="4" width="9" style="27"/>
    <col min="5" max="5" width="8.875" style="27" customWidth="1"/>
    <col min="6" max="6" width="9" style="27"/>
    <col min="7" max="7" width="5" style="27"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199" t="s">
        <v>2916</v>
      </c>
      <c r="C1" s="3308" t="s">
        <v>2917</v>
      </c>
      <c r="D1" s="3309"/>
      <c r="E1" s="3309"/>
      <c r="F1" s="3309"/>
      <c r="G1" s="3309"/>
      <c r="H1" s="3309"/>
      <c r="I1" s="3309"/>
      <c r="J1" s="3309"/>
      <c r="K1" s="3309"/>
      <c r="L1" s="3309"/>
      <c r="M1" s="3309"/>
      <c r="N1" s="3309"/>
      <c r="O1" s="3309"/>
      <c r="P1" s="3309"/>
      <c r="Q1" s="3309"/>
      <c r="R1" s="3309"/>
      <c r="S1" s="3310"/>
      <c r="T1" s="1199" t="s">
        <v>2918</v>
      </c>
    </row>
    <row r="2" spans="1:45" s="706" customFormat="1" ht="25.5">
      <c r="A2" s="1200"/>
      <c r="B2" s="702" t="s">
        <v>2919</v>
      </c>
      <c r="C2" s="703" t="str">
        <f t="shared" ref="C2:L2" si="0">C3&amp;"(含)"&amp;"-"&amp;D3</f>
        <v>0(含)-70</v>
      </c>
      <c r="D2" s="704" t="str">
        <f t="shared" si="0"/>
        <v>70(含)-108</v>
      </c>
      <c r="E2" s="704" t="str">
        <f t="shared" si="0"/>
        <v>108(含)-187</v>
      </c>
      <c r="F2" s="704" t="str">
        <f t="shared" si="0"/>
        <v>187(含)-300</v>
      </c>
      <c r="G2" s="704" t="str">
        <f t="shared" si="0"/>
        <v>300(含)-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2"/>
      <c r="B3" s="707"/>
      <c r="C3" s="708">
        <v>0</v>
      </c>
      <c r="D3" s="709">
        <v>70</v>
      </c>
      <c r="E3" s="709">
        <v>108</v>
      </c>
      <c r="F3" s="1690">
        <v>187</v>
      </c>
      <c r="G3" s="1690">
        <v>300</v>
      </c>
      <c r="H3" s="1690"/>
      <c r="I3" s="1690"/>
      <c r="J3" s="1690"/>
      <c r="K3" s="1690"/>
      <c r="L3" s="1691"/>
      <c r="M3" s="1692"/>
      <c r="N3" s="1692"/>
      <c r="O3" s="1690"/>
      <c r="P3" s="1690"/>
      <c r="Q3" s="1690"/>
      <c r="R3" s="1690"/>
      <c r="S3" s="169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3"/>
      <c r="B4" s="1204"/>
      <c r="C4" s="1205">
        <v>100</v>
      </c>
      <c r="D4" s="1206">
        <v>98</v>
      </c>
      <c r="E4" s="1206">
        <v>96</v>
      </c>
      <c r="F4" s="1694">
        <v>94</v>
      </c>
      <c r="G4" s="1694">
        <v>92</v>
      </c>
      <c r="H4" s="1694"/>
      <c r="I4" s="1694"/>
      <c r="J4" s="1694"/>
      <c r="K4" s="1694"/>
      <c r="L4" s="1694"/>
      <c r="M4" s="1695"/>
      <c r="N4" s="1695"/>
      <c r="O4" s="1694"/>
      <c r="P4" s="1694"/>
      <c r="Q4" s="1694"/>
      <c r="R4" s="1694"/>
      <c r="S4" s="1696"/>
      <c r="T4" s="1209"/>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0"/>
      <c r="B5" s="3004" t="s">
        <v>3602</v>
      </c>
      <c r="C5" s="1211"/>
      <c r="D5" s="1212"/>
      <c r="E5" s="1212"/>
      <c r="F5" s="1697"/>
      <c r="G5" s="1697"/>
      <c r="H5" s="1697"/>
      <c r="I5" s="1697"/>
      <c r="J5" s="1697"/>
      <c r="K5" s="1697"/>
      <c r="L5" s="1698"/>
      <c r="M5" s="1699"/>
      <c r="N5" s="1699"/>
      <c r="O5" s="1697"/>
      <c r="P5" s="1697"/>
      <c r="Q5" s="1697"/>
      <c r="R5" s="1697"/>
      <c r="S5" s="1700"/>
      <c r="T5" s="1214"/>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0"/>
      <c r="B6" s="1111"/>
      <c r="C6" s="1117">
        <v>100</v>
      </c>
      <c r="D6" s="1114">
        <f>C6-$T5</f>
        <v>100</v>
      </c>
      <c r="E6" s="1114">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13"/>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0"/>
      <c r="B7" s="3022" t="s">
        <v>3681</v>
      </c>
      <c r="C7" s="3023" t="s">
        <v>3682</v>
      </c>
      <c r="D7" s="3024" t="s">
        <v>3683</v>
      </c>
      <c r="E7" s="3024" t="s">
        <v>3684</v>
      </c>
      <c r="F7" s="1702"/>
      <c r="G7" s="1702"/>
      <c r="H7" s="1702"/>
      <c r="I7" s="1702"/>
      <c r="J7" s="1702"/>
      <c r="K7" s="1702"/>
      <c r="L7" s="1702"/>
      <c r="M7" s="1703"/>
      <c r="N7" s="1704"/>
      <c r="O7" s="1705"/>
      <c r="P7" s="1706"/>
      <c r="Q7" s="1707"/>
      <c r="R7" s="1708"/>
      <c r="S7" s="1709"/>
      <c r="T7" s="712">
        <f>'比较法-住宅'!K42</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0"/>
      <c r="B8" s="1111"/>
      <c r="C8" s="1117">
        <v>100</v>
      </c>
      <c r="D8" s="1114">
        <f>C8-$T7</f>
        <v>98</v>
      </c>
      <c r="E8" s="1114">
        <f t="shared" ref="E8:S8" si="8">D8-$T7</f>
        <v>96</v>
      </c>
      <c r="F8" s="1701">
        <f t="shared" si="8"/>
        <v>94</v>
      </c>
      <c r="G8" s="1701">
        <f t="shared" si="8"/>
        <v>92</v>
      </c>
      <c r="H8" s="1701">
        <f t="shared" si="8"/>
        <v>90</v>
      </c>
      <c r="I8" s="1701">
        <f t="shared" si="8"/>
        <v>88</v>
      </c>
      <c r="J8" s="1701">
        <f t="shared" si="8"/>
        <v>86</v>
      </c>
      <c r="K8" s="1701">
        <f t="shared" si="8"/>
        <v>84</v>
      </c>
      <c r="L8" s="1701">
        <f t="shared" si="8"/>
        <v>82</v>
      </c>
      <c r="M8" s="1701">
        <f t="shared" si="8"/>
        <v>80</v>
      </c>
      <c r="N8" s="1701">
        <f t="shared" si="8"/>
        <v>78</v>
      </c>
      <c r="O8" s="1701">
        <f t="shared" si="8"/>
        <v>76</v>
      </c>
      <c r="P8" s="1701">
        <f t="shared" si="8"/>
        <v>74</v>
      </c>
      <c r="Q8" s="1701">
        <f t="shared" si="8"/>
        <v>72</v>
      </c>
      <c r="R8" s="1701">
        <f t="shared" si="8"/>
        <v>70</v>
      </c>
      <c r="S8" s="1701">
        <f t="shared" si="8"/>
        <v>68</v>
      </c>
      <c r="T8" s="1113"/>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10"/>
      <c r="B9" s="1756"/>
      <c r="C9" s="1116"/>
      <c r="D9" s="1110"/>
      <c r="E9" s="1110"/>
      <c r="F9" s="1702"/>
      <c r="G9" s="1702"/>
      <c r="H9" s="1702"/>
      <c r="I9" s="1702"/>
      <c r="J9" s="1702"/>
      <c r="K9" s="1702"/>
      <c r="L9" s="1710"/>
      <c r="M9" s="1703"/>
      <c r="N9" s="1704"/>
      <c r="O9" s="1705"/>
      <c r="P9" s="1706"/>
      <c r="Q9" s="1707"/>
      <c r="R9" s="1708"/>
      <c r="S9" s="170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thickBot="1">
      <c r="A10" s="1210"/>
      <c r="B10" s="1204"/>
      <c r="C10" s="1215">
        <v>100</v>
      </c>
      <c r="D10" s="1216">
        <f>C10-$T9</f>
        <v>100</v>
      </c>
      <c r="E10" s="1216">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9"/>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0"/>
      <c r="B11" s="1755"/>
      <c r="C11" s="1211"/>
      <c r="D11" s="1212"/>
      <c r="E11" s="1212"/>
      <c r="F11" s="1212"/>
      <c r="G11" s="1212"/>
      <c r="H11" s="1212"/>
      <c r="I11" s="1212"/>
      <c r="J11" s="1212"/>
      <c r="K11" s="1212"/>
      <c r="L11" s="1212"/>
      <c r="M11" s="1213"/>
      <c r="N11" s="1217"/>
      <c r="O11" s="1218"/>
      <c r="P11" s="1219"/>
      <c r="Q11" s="1220"/>
      <c r="R11" s="1221"/>
      <c r="S11" s="1222"/>
      <c r="T11" s="1214"/>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0"/>
      <c r="B13" s="1755"/>
      <c r="C13" s="1211"/>
      <c r="D13" s="1212"/>
      <c r="E13" s="1212"/>
      <c r="F13" s="1212"/>
      <c r="G13" s="1212"/>
      <c r="H13" s="1212"/>
      <c r="I13" s="1212"/>
      <c r="J13" s="1212"/>
      <c r="K13" s="1212"/>
      <c r="L13" s="1212"/>
      <c r="M13" s="1213"/>
      <c r="N13" s="1217"/>
      <c r="O13" s="1218"/>
      <c r="P13" s="1219"/>
      <c r="Q13" s="1220"/>
      <c r="R13" s="1221"/>
      <c r="S13" s="1222"/>
      <c r="T13" s="1223"/>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0"/>
      <c r="B15" s="1755"/>
      <c r="C15" s="1211"/>
      <c r="D15" s="1212"/>
      <c r="E15" s="1212"/>
      <c r="F15" s="1212"/>
      <c r="G15" s="1212"/>
      <c r="H15" s="1212"/>
      <c r="I15" s="1212"/>
      <c r="J15" s="1212"/>
      <c r="K15" s="1212"/>
      <c r="L15" s="1212"/>
      <c r="M15" s="1213"/>
      <c r="N15" s="1217"/>
      <c r="O15" s="1218"/>
      <c r="P15" s="1219"/>
      <c r="Q15" s="1220"/>
      <c r="R15" s="1221"/>
      <c r="S15" s="1222"/>
      <c r="T15" s="1223"/>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799" t="s">
        <v>2920</v>
      </c>
      <c r="B17" s="2800" t="s">
        <v>2921</v>
      </c>
      <c r="C17" s="1226">
        <v>3</v>
      </c>
      <c r="D17" s="1227">
        <v>4</v>
      </c>
      <c r="E17" s="1227">
        <v>5</v>
      </c>
      <c r="F17" s="1226">
        <v>6</v>
      </c>
      <c r="G17" s="1227">
        <v>7</v>
      </c>
      <c r="H17" s="1227">
        <v>8</v>
      </c>
      <c r="I17" s="1226">
        <v>9</v>
      </c>
      <c r="J17" s="1227">
        <v>10</v>
      </c>
      <c r="K17" s="1227">
        <v>11</v>
      </c>
      <c r="L17" s="1226">
        <v>12</v>
      </c>
      <c r="M17" s="1227">
        <v>13</v>
      </c>
      <c r="N17" s="1227">
        <v>14</v>
      </c>
      <c r="O17" s="1226">
        <v>15</v>
      </c>
      <c r="P17" s="1227">
        <v>16</v>
      </c>
      <c r="Q17" s="1227">
        <v>17</v>
      </c>
      <c r="R17" s="1226">
        <v>18</v>
      </c>
      <c r="S17" s="1227">
        <v>19</v>
      </c>
      <c r="T17" s="1227">
        <v>20</v>
      </c>
      <c r="U17" s="1226">
        <v>21</v>
      </c>
      <c r="V17" s="1227">
        <v>22</v>
      </c>
      <c r="W17" s="1227">
        <v>23</v>
      </c>
      <c r="X17" s="1226">
        <v>24</v>
      </c>
      <c r="Y17" s="1227">
        <v>25</v>
      </c>
      <c r="Z17" s="1227">
        <v>26</v>
      </c>
      <c r="AA17" s="1226">
        <v>27</v>
      </c>
      <c r="AB17" s="1228"/>
      <c r="AC17" s="1228"/>
      <c r="AD17" s="1228"/>
      <c r="AE17" s="1228"/>
      <c r="AF17" s="1228"/>
      <c r="AG17" s="1228"/>
      <c r="AH17" s="1228"/>
      <c r="AI17" s="1228"/>
      <c r="AJ17" s="1228"/>
      <c r="AK17" s="1228"/>
      <c r="AL17" s="1228"/>
      <c r="AM17" s="1228"/>
      <c r="AN17" s="1228"/>
      <c r="AO17" s="1228"/>
      <c r="AP17" s="1228"/>
      <c r="AQ17" s="1228"/>
      <c r="AR17" s="795"/>
      <c r="AS17" s="795"/>
    </row>
    <row r="18" spans="1:45" s="706" customFormat="1" ht="13.5" thickBot="1">
      <c r="A18" s="1229"/>
      <c r="B18" s="1230"/>
      <c r="C18" s="1231">
        <v>100</v>
      </c>
      <c r="D18" s="1232">
        <v>100.5</v>
      </c>
      <c r="E18" s="1231">
        <v>101</v>
      </c>
      <c r="F18" s="1232">
        <v>101.5</v>
      </c>
      <c r="G18" s="1231">
        <v>102</v>
      </c>
      <c r="H18" s="1232">
        <v>102.5</v>
      </c>
      <c r="I18" s="1231">
        <v>103</v>
      </c>
      <c r="J18" s="1232">
        <v>103.5</v>
      </c>
      <c r="K18" s="1231">
        <v>104</v>
      </c>
      <c r="L18" s="1232">
        <v>104.5</v>
      </c>
      <c r="M18" s="1231">
        <v>105</v>
      </c>
      <c r="N18" s="1232">
        <v>105.5</v>
      </c>
      <c r="O18" s="1231">
        <v>106</v>
      </c>
      <c r="P18" s="1232">
        <v>106.5</v>
      </c>
      <c r="Q18" s="1231">
        <v>107</v>
      </c>
      <c r="R18" s="1232">
        <v>107.5</v>
      </c>
      <c r="S18" s="1231">
        <v>108</v>
      </c>
      <c r="T18" s="1232">
        <v>108.5</v>
      </c>
      <c r="U18" s="1231">
        <v>109</v>
      </c>
      <c r="V18" s="1232">
        <v>109.5</v>
      </c>
      <c r="W18" s="1231">
        <v>110</v>
      </c>
      <c r="X18" s="1232">
        <v>110.5</v>
      </c>
      <c r="Y18" s="1231">
        <v>111</v>
      </c>
      <c r="Z18" s="1232">
        <v>111.5</v>
      </c>
      <c r="AA18" s="1231">
        <v>112</v>
      </c>
      <c r="AB18" s="1233"/>
      <c r="AC18" s="1233"/>
      <c r="AD18" s="1233"/>
      <c r="AE18" s="1233"/>
      <c r="AF18" s="1233"/>
      <c r="AG18" s="1233"/>
      <c r="AH18" s="1233"/>
      <c r="AI18" s="1233"/>
      <c r="AJ18" s="1233"/>
      <c r="AK18" s="1233"/>
      <c r="AL18" s="1233"/>
      <c r="AM18" s="1233"/>
      <c r="AN18" s="1233"/>
      <c r="AO18" s="1233"/>
      <c r="AP18" s="1233"/>
      <c r="AQ18" s="1233"/>
      <c r="AR18" s="795"/>
      <c r="AS18" s="795"/>
    </row>
    <row r="19" spans="1:45">
      <c r="A19" s="138"/>
      <c r="B19" s="168"/>
      <c r="C19" s="168"/>
      <c r="D19" s="2801" t="s">
        <v>2922</v>
      </c>
      <c r="E19" s="1778"/>
      <c r="F19" s="1778"/>
      <c r="G19" s="1778"/>
      <c r="H19" s="1267"/>
      <c r="I19" s="168"/>
      <c r="J19" s="168"/>
      <c r="K19" s="168"/>
      <c r="L19" s="168"/>
      <c r="M19" s="168"/>
      <c r="N19" s="168"/>
      <c r="O19" s="168"/>
      <c r="P19" s="168"/>
      <c r="Q19" s="168"/>
      <c r="R19" s="787"/>
      <c r="S19" s="138"/>
    </row>
    <row r="20" spans="1:45" ht="16.5" thickBot="1">
      <c r="A20" s="714" t="s">
        <v>2923</v>
      </c>
      <c r="B20" s="338">
        <f>IF(D20="——",S22,S22-F20)</f>
        <v>159500</v>
      </c>
      <c r="C20" s="168"/>
      <c r="D20" s="2802" t="s">
        <v>70</v>
      </c>
      <c r="E20" s="1779"/>
      <c r="F20" s="1199" t="e">
        <f ca="1">SUMIF(INDIRECT("'"&amp;H20&amp;"'"&amp;"!A:A"),"承租人权益价值",INDIRECT("'"&amp;H20&amp;"'"&amp;"!c:c"))</f>
        <v>#REF!</v>
      </c>
      <c r="G20" s="1199" t="s">
        <v>2924</v>
      </c>
      <c r="H20" s="2803"/>
      <c r="I20" s="168"/>
      <c r="J20" s="168"/>
      <c r="K20" s="168"/>
      <c r="L20" s="168"/>
      <c r="M20" s="168"/>
      <c r="N20" s="168"/>
      <c r="O20" s="168"/>
      <c r="P20" s="168"/>
      <c r="Q20" s="168"/>
      <c r="R20" s="787"/>
      <c r="S20" s="138"/>
    </row>
    <row r="21" spans="1:45" ht="15.75">
      <c r="A21" s="714" t="s">
        <v>2925</v>
      </c>
      <c r="B21" s="338">
        <f>R22</f>
        <v>62869</v>
      </c>
      <c r="C21" s="168"/>
      <c r="D21" s="168"/>
      <c r="E21" s="168"/>
      <c r="F21" s="168"/>
      <c r="G21" s="168"/>
      <c r="H21" s="168"/>
      <c r="I21" s="168"/>
      <c r="J21" s="168"/>
      <c r="K21" s="168"/>
      <c r="L21" s="168"/>
      <c r="M21" s="168"/>
      <c r="N21" s="168"/>
      <c r="O21" s="168"/>
      <c r="P21" s="168"/>
      <c r="Q21" s="168"/>
      <c r="R21" s="787"/>
      <c r="S21" s="138"/>
    </row>
    <row r="22" spans="1:45">
      <c r="A22" s="361" t="s">
        <v>2926</v>
      </c>
      <c r="B22" s="24">
        <f>SUM(B24:B10000)</f>
        <v>25370.10999999999</v>
      </c>
      <c r="C22" s="3230" t="s">
        <v>33</v>
      </c>
      <c r="D22" s="3231"/>
      <c r="E22" s="3231"/>
      <c r="F22" s="3231"/>
      <c r="G22" s="3231"/>
      <c r="H22" s="3231"/>
      <c r="I22" s="3231"/>
      <c r="J22" s="3231"/>
      <c r="K22" s="3231"/>
      <c r="L22" s="3231"/>
      <c r="M22" s="3231"/>
      <c r="N22" s="3231"/>
      <c r="O22" s="3231"/>
      <c r="P22" s="3231"/>
      <c r="Q22" s="3307"/>
      <c r="R22" s="715">
        <f>ROUND(S22*10000/B22,0)</f>
        <v>62869</v>
      </c>
      <c r="S22" s="24">
        <f>SUM(S24:S10000)</f>
        <v>159500</v>
      </c>
    </row>
    <row r="23" spans="1:45" s="12" customFormat="1" ht="24">
      <c r="A23" s="11" t="s">
        <v>2927</v>
      </c>
      <c r="B23" s="11" t="s">
        <v>2928</v>
      </c>
      <c r="C23" s="11" t="s">
        <v>2929</v>
      </c>
      <c r="D23" s="11" t="str">
        <f>B5</f>
        <v>朝向</v>
      </c>
      <c r="E23" s="11" t="s">
        <v>2929</v>
      </c>
      <c r="F23" s="11" t="str">
        <f>B7</f>
        <v>内部装修</v>
      </c>
      <c r="G23" s="11" t="s">
        <v>2929</v>
      </c>
      <c r="H23" s="11">
        <f>B9</f>
        <v>0</v>
      </c>
      <c r="I23" s="11" t="s">
        <v>2929</v>
      </c>
      <c r="J23" s="11">
        <f>B11</f>
        <v>0</v>
      </c>
      <c r="K23" s="11" t="s">
        <v>2929</v>
      </c>
      <c r="L23" s="11">
        <f>B13</f>
        <v>0</v>
      </c>
      <c r="M23" s="11" t="s">
        <v>2929</v>
      </c>
      <c r="N23" s="11">
        <f>B15</f>
        <v>0</v>
      </c>
      <c r="O23" s="11" t="s">
        <v>2929</v>
      </c>
      <c r="P23" s="11" t="str">
        <f>B17</f>
        <v>楼层</v>
      </c>
      <c r="Q23" s="11" t="s">
        <v>2929</v>
      </c>
      <c r="R23" s="716" t="s">
        <v>2930</v>
      </c>
      <c r="S23" s="11" t="s">
        <v>2931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'数据-基础表'!AX140</f>
        <v>1201-1</v>
      </c>
      <c r="B24" s="717">
        <f>'数据-基础表'!AZ140</f>
        <v>88.04</v>
      </c>
      <c r="C24" s="718">
        <v>1</v>
      </c>
      <c r="D24" s="719"/>
      <c r="E24" s="718">
        <v>1</v>
      </c>
      <c r="F24" s="719"/>
      <c r="G24" s="718">
        <v>1</v>
      </c>
      <c r="H24" s="719"/>
      <c r="I24" s="718">
        <v>1</v>
      </c>
      <c r="J24" s="719"/>
      <c r="K24" s="718">
        <v>1</v>
      </c>
      <c r="L24" s="719"/>
      <c r="M24" s="718">
        <v>1</v>
      </c>
      <c r="N24" s="719"/>
      <c r="O24" s="718">
        <v>1</v>
      </c>
      <c r="P24" s="719">
        <v>12</v>
      </c>
      <c r="Q24" s="718">
        <v>1</v>
      </c>
      <c r="R24" s="720">
        <f>'比较法-住宅'!B3</f>
        <v>61843</v>
      </c>
      <c r="S24" s="718">
        <f t="shared" ref="S24:S54" si="11">ROUND(R24*B24/10000,0)</f>
        <v>544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tr">
        <f>'数据-基础表'!AX14</f>
        <v>301-1</v>
      </c>
      <c r="B25" s="59">
        <f>'数据-基础表'!AZ14</f>
        <v>88.04</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3</v>
      </c>
      <c r="Q25" s="24">
        <f>(SUMIF($17:$17,P25,$18:$18)-SUMIF($17:$17,$P$24,$18:$18)+100)/100</f>
        <v>0.95499999999999996</v>
      </c>
      <c r="R25" s="715">
        <f>IF(B25="",0,ROUND($R$24*C25*E25*G25*I25*K25*M25*O25*Q25,0))</f>
        <v>59060</v>
      </c>
      <c r="S25" s="361">
        <f t="shared" si="11"/>
        <v>520</v>
      </c>
    </row>
    <row r="26" spans="1:45">
      <c r="A26" s="59" t="str">
        <f>'数据-基础表'!AX15</f>
        <v>301-2</v>
      </c>
      <c r="B26" s="59">
        <f>'数据-基础表'!AZ15</f>
        <v>80.06</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0.95499999999999996</v>
      </c>
      <c r="R26" s="715">
        <f t="shared" ref="R26:R89" si="20">IF(B26="",0,ROUND($R$24*C26*E26*G26*I26*K26*M26*O26*Q26,0))</f>
        <v>59060</v>
      </c>
      <c r="S26" s="361">
        <f t="shared" si="11"/>
        <v>473</v>
      </c>
    </row>
    <row r="27" spans="1:45">
      <c r="A27" s="59" t="str">
        <f>'数据-基础表'!AX16</f>
        <v>301-3</v>
      </c>
      <c r="B27" s="59">
        <f>'数据-基础表'!AZ16</f>
        <v>80.06</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3</v>
      </c>
      <c r="Q27" s="24">
        <f t="shared" si="19"/>
        <v>0.95499999999999996</v>
      </c>
      <c r="R27" s="715">
        <f t="shared" si="20"/>
        <v>59060</v>
      </c>
      <c r="S27" s="361">
        <f t="shared" si="11"/>
        <v>473</v>
      </c>
    </row>
    <row r="28" spans="1:45">
      <c r="A28" s="59" t="str">
        <f>'数据-基础表'!AX17</f>
        <v>301-4</v>
      </c>
      <c r="B28" s="59">
        <f>'数据-基础表'!AZ17</f>
        <v>80.06</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3</v>
      </c>
      <c r="Q28" s="24">
        <f t="shared" si="19"/>
        <v>0.95499999999999996</v>
      </c>
      <c r="R28" s="715">
        <f t="shared" si="20"/>
        <v>59060</v>
      </c>
      <c r="S28" s="361">
        <f t="shared" si="11"/>
        <v>473</v>
      </c>
    </row>
    <row r="29" spans="1:45">
      <c r="A29" s="59" t="str">
        <f>'数据-基础表'!AX18</f>
        <v>301-5</v>
      </c>
      <c r="B29" s="59">
        <f>'数据-基础表'!AZ18</f>
        <v>99.81</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3</v>
      </c>
      <c r="Q29" s="24">
        <f t="shared" si="19"/>
        <v>0.95499999999999996</v>
      </c>
      <c r="R29" s="715">
        <f t="shared" si="20"/>
        <v>59060</v>
      </c>
      <c r="S29" s="361">
        <f t="shared" si="11"/>
        <v>589</v>
      </c>
    </row>
    <row r="30" spans="1:45">
      <c r="A30" s="59" t="str">
        <f>'数据-基础表'!AX19</f>
        <v>301-6</v>
      </c>
      <c r="B30" s="59">
        <f>'数据-基础表'!AZ19</f>
        <v>83.28</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3</v>
      </c>
      <c r="Q30" s="24">
        <f t="shared" si="19"/>
        <v>0.95499999999999996</v>
      </c>
      <c r="R30" s="715">
        <f t="shared" si="20"/>
        <v>59060</v>
      </c>
      <c r="S30" s="361">
        <f t="shared" si="11"/>
        <v>492</v>
      </c>
    </row>
    <row r="31" spans="1:45">
      <c r="A31" s="59" t="str">
        <f>'数据-基础表'!AX20</f>
        <v>301-7</v>
      </c>
      <c r="B31" s="59">
        <f>'数据-基础表'!AZ20</f>
        <v>107.74</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v>3</v>
      </c>
      <c r="Q31" s="24">
        <f t="shared" si="19"/>
        <v>0.95499999999999996</v>
      </c>
      <c r="R31" s="715">
        <f t="shared" si="20"/>
        <v>59060</v>
      </c>
      <c r="S31" s="361">
        <f t="shared" si="11"/>
        <v>636</v>
      </c>
    </row>
    <row r="32" spans="1:45">
      <c r="A32" s="59" t="str">
        <f>'数据-基础表'!AX21</f>
        <v>301-8</v>
      </c>
      <c r="B32" s="59">
        <f>'数据-基础表'!AZ21</f>
        <v>87.64</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v>3</v>
      </c>
      <c r="Q32" s="24">
        <f t="shared" si="19"/>
        <v>0.95499999999999996</v>
      </c>
      <c r="R32" s="715">
        <f t="shared" si="20"/>
        <v>59060</v>
      </c>
      <c r="S32" s="361">
        <f t="shared" si="11"/>
        <v>518</v>
      </c>
    </row>
    <row r="33" spans="1:19">
      <c r="A33" s="59" t="str">
        <f>'数据-基础表'!AX22</f>
        <v>301-9</v>
      </c>
      <c r="B33" s="59">
        <f>'数据-基础表'!AZ22</f>
        <v>80.06</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v>3</v>
      </c>
      <c r="Q33" s="24">
        <f t="shared" si="19"/>
        <v>0.95499999999999996</v>
      </c>
      <c r="R33" s="715">
        <f t="shared" si="20"/>
        <v>59060</v>
      </c>
      <c r="S33" s="361">
        <f t="shared" si="11"/>
        <v>473</v>
      </c>
    </row>
    <row r="34" spans="1:19">
      <c r="A34" s="59" t="str">
        <f>'数据-基础表'!AX23</f>
        <v>301-10</v>
      </c>
      <c r="B34" s="59">
        <f>'数据-基础表'!AZ23</f>
        <v>80.06</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v>3</v>
      </c>
      <c r="Q34" s="24">
        <f t="shared" si="19"/>
        <v>0.95499999999999996</v>
      </c>
      <c r="R34" s="715">
        <f t="shared" si="20"/>
        <v>59060</v>
      </c>
      <c r="S34" s="361">
        <f t="shared" si="11"/>
        <v>473</v>
      </c>
    </row>
    <row r="35" spans="1:19">
      <c r="A35" s="59" t="str">
        <f>'数据-基础表'!AX24</f>
        <v>301-11</v>
      </c>
      <c r="B35" s="59">
        <f>'数据-基础表'!AZ24</f>
        <v>80.06</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v>3</v>
      </c>
      <c r="Q35" s="24">
        <f t="shared" si="19"/>
        <v>0.95499999999999996</v>
      </c>
      <c r="R35" s="715">
        <f t="shared" si="20"/>
        <v>59060</v>
      </c>
      <c r="S35" s="361">
        <f t="shared" si="11"/>
        <v>473</v>
      </c>
    </row>
    <row r="36" spans="1:19">
      <c r="A36" s="59" t="str">
        <f>'数据-基础表'!AX25</f>
        <v>301-12</v>
      </c>
      <c r="B36" s="59">
        <f>'数据-基础表'!AZ25</f>
        <v>99.64</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v>3</v>
      </c>
      <c r="Q36" s="24">
        <f t="shared" si="19"/>
        <v>0.95499999999999996</v>
      </c>
      <c r="R36" s="715">
        <f t="shared" si="20"/>
        <v>59060</v>
      </c>
      <c r="S36" s="361">
        <f t="shared" si="11"/>
        <v>588</v>
      </c>
    </row>
    <row r="37" spans="1:19">
      <c r="A37" s="59" t="str">
        <f>'数据-基础表'!AX26</f>
        <v>301-13</v>
      </c>
      <c r="B37" s="59">
        <f>'数据-基础表'!AZ26</f>
        <v>82.89</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v>3</v>
      </c>
      <c r="Q37" s="24">
        <f t="shared" si="19"/>
        <v>0.95499999999999996</v>
      </c>
      <c r="R37" s="715">
        <f t="shared" si="20"/>
        <v>59060</v>
      </c>
      <c r="S37" s="361">
        <f t="shared" si="11"/>
        <v>490</v>
      </c>
    </row>
    <row r="38" spans="1:19">
      <c r="A38" s="59" t="str">
        <f>'数据-基础表'!AX27</f>
        <v>301-14</v>
      </c>
      <c r="B38" s="59">
        <f>'数据-基础表'!AZ27</f>
        <v>75.83</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v>3</v>
      </c>
      <c r="Q38" s="24">
        <f t="shared" si="19"/>
        <v>0.95499999999999996</v>
      </c>
      <c r="R38" s="715">
        <f t="shared" si="20"/>
        <v>59060</v>
      </c>
      <c r="S38" s="361">
        <f t="shared" si="11"/>
        <v>448</v>
      </c>
    </row>
    <row r="39" spans="1:19">
      <c r="A39" s="59" t="str">
        <f>'数据-基础表'!AX28</f>
        <v>401-1</v>
      </c>
      <c r="B39" s="59">
        <f>'数据-基础表'!AZ28</f>
        <v>88.04</v>
      </c>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v>4</v>
      </c>
      <c r="Q39" s="24">
        <f t="shared" si="19"/>
        <v>0.96</v>
      </c>
      <c r="R39" s="715">
        <f t="shared" si="20"/>
        <v>59369</v>
      </c>
      <c r="S39" s="361">
        <f t="shared" si="11"/>
        <v>523</v>
      </c>
    </row>
    <row r="40" spans="1:19">
      <c r="A40" s="59" t="str">
        <f>'数据-基础表'!AX29</f>
        <v>401-2</v>
      </c>
      <c r="B40" s="59">
        <f>'数据-基础表'!AZ29</f>
        <v>80.06</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v>4</v>
      </c>
      <c r="Q40" s="24">
        <f t="shared" si="19"/>
        <v>0.96</v>
      </c>
      <c r="R40" s="715">
        <f t="shared" si="20"/>
        <v>59369</v>
      </c>
      <c r="S40" s="361">
        <f t="shared" si="11"/>
        <v>475</v>
      </c>
    </row>
    <row r="41" spans="1:19">
      <c r="A41" s="59" t="str">
        <f>'数据-基础表'!AX30</f>
        <v>401-3</v>
      </c>
      <c r="B41" s="59">
        <f>'数据-基础表'!AZ30</f>
        <v>80.06</v>
      </c>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v>4</v>
      </c>
      <c r="Q41" s="24">
        <f t="shared" si="19"/>
        <v>0.96</v>
      </c>
      <c r="R41" s="715">
        <f t="shared" si="20"/>
        <v>59369</v>
      </c>
      <c r="S41" s="361">
        <f t="shared" si="11"/>
        <v>475</v>
      </c>
    </row>
    <row r="42" spans="1:19">
      <c r="A42" s="59" t="str">
        <f>'数据-基础表'!AX31</f>
        <v>401-4</v>
      </c>
      <c r="B42" s="59">
        <f>'数据-基础表'!AZ31</f>
        <v>80.06</v>
      </c>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v>4</v>
      </c>
      <c r="Q42" s="24">
        <f t="shared" si="19"/>
        <v>0.96</v>
      </c>
      <c r="R42" s="715">
        <f t="shared" si="20"/>
        <v>59369</v>
      </c>
      <c r="S42" s="361">
        <f t="shared" si="11"/>
        <v>475</v>
      </c>
    </row>
    <row r="43" spans="1:19">
      <c r="A43" s="59" t="str">
        <f>'数据-基础表'!AX32</f>
        <v>401-5</v>
      </c>
      <c r="B43" s="59">
        <f>'数据-基础表'!AZ32</f>
        <v>99.81</v>
      </c>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v>4</v>
      </c>
      <c r="Q43" s="24">
        <f t="shared" si="19"/>
        <v>0.96</v>
      </c>
      <c r="R43" s="715">
        <f t="shared" si="20"/>
        <v>59369</v>
      </c>
      <c r="S43" s="361">
        <f t="shared" si="11"/>
        <v>593</v>
      </c>
    </row>
    <row r="44" spans="1:19">
      <c r="A44" s="59" t="str">
        <f>'数据-基础表'!AX33</f>
        <v>401-6</v>
      </c>
      <c r="B44" s="59">
        <f>'数据-基础表'!AZ33</f>
        <v>83.28</v>
      </c>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v>4</v>
      </c>
      <c r="Q44" s="24">
        <f t="shared" si="19"/>
        <v>0.96</v>
      </c>
      <c r="R44" s="715">
        <f t="shared" si="20"/>
        <v>59369</v>
      </c>
      <c r="S44" s="361">
        <f t="shared" si="11"/>
        <v>494</v>
      </c>
    </row>
    <row r="45" spans="1:19">
      <c r="A45" s="59" t="str">
        <f>'数据-基础表'!AX34</f>
        <v>401-7</v>
      </c>
      <c r="B45" s="59">
        <f>'数据-基础表'!AZ34</f>
        <v>107.74</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v>4</v>
      </c>
      <c r="Q45" s="24">
        <f t="shared" si="19"/>
        <v>0.96</v>
      </c>
      <c r="R45" s="715">
        <f t="shared" si="20"/>
        <v>59369</v>
      </c>
      <c r="S45" s="361">
        <f t="shared" si="11"/>
        <v>640</v>
      </c>
    </row>
    <row r="46" spans="1:19">
      <c r="A46" s="59" t="str">
        <f>'数据-基础表'!AX35</f>
        <v>401-8</v>
      </c>
      <c r="B46" s="59">
        <f>'数据-基础表'!AZ35</f>
        <v>87.64</v>
      </c>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v>4</v>
      </c>
      <c r="Q46" s="24">
        <f t="shared" si="19"/>
        <v>0.96</v>
      </c>
      <c r="R46" s="715">
        <f t="shared" si="20"/>
        <v>59369</v>
      </c>
      <c r="S46" s="361">
        <f t="shared" si="11"/>
        <v>520</v>
      </c>
    </row>
    <row r="47" spans="1:19">
      <c r="A47" s="59" t="str">
        <f>'数据-基础表'!AX36</f>
        <v>401-9</v>
      </c>
      <c r="B47" s="59">
        <f>'数据-基础表'!AZ36</f>
        <v>80.06</v>
      </c>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v>4</v>
      </c>
      <c r="Q47" s="24">
        <f t="shared" si="19"/>
        <v>0.96</v>
      </c>
      <c r="R47" s="715">
        <f t="shared" si="20"/>
        <v>59369</v>
      </c>
      <c r="S47" s="361">
        <f t="shared" si="11"/>
        <v>475</v>
      </c>
    </row>
    <row r="48" spans="1:19">
      <c r="A48" s="59" t="str">
        <f>'数据-基础表'!AX37</f>
        <v>401-10</v>
      </c>
      <c r="B48" s="59">
        <f>'数据-基础表'!AZ37</f>
        <v>80.06</v>
      </c>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v>4</v>
      </c>
      <c r="Q48" s="24">
        <f t="shared" si="19"/>
        <v>0.96</v>
      </c>
      <c r="R48" s="715">
        <f t="shared" si="20"/>
        <v>59369</v>
      </c>
      <c r="S48" s="361">
        <f t="shared" si="11"/>
        <v>475</v>
      </c>
    </row>
    <row r="49" spans="1:19">
      <c r="A49" s="59" t="str">
        <f>'数据-基础表'!AX38</f>
        <v>401-11</v>
      </c>
      <c r="B49" s="59">
        <f>'数据-基础表'!AZ38</f>
        <v>80.06</v>
      </c>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v>4</v>
      </c>
      <c r="Q49" s="24">
        <f t="shared" si="19"/>
        <v>0.96</v>
      </c>
      <c r="R49" s="715">
        <f t="shared" si="20"/>
        <v>59369</v>
      </c>
      <c r="S49" s="361">
        <f t="shared" si="11"/>
        <v>475</v>
      </c>
    </row>
    <row r="50" spans="1:19">
      <c r="A50" s="59" t="str">
        <f>'数据-基础表'!AX39</f>
        <v>401-12</v>
      </c>
      <c r="B50" s="59">
        <f>'数据-基础表'!AZ39</f>
        <v>99.64</v>
      </c>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v>4</v>
      </c>
      <c r="Q50" s="24">
        <f t="shared" si="19"/>
        <v>0.96</v>
      </c>
      <c r="R50" s="715">
        <f t="shared" si="20"/>
        <v>59369</v>
      </c>
      <c r="S50" s="361">
        <f t="shared" si="11"/>
        <v>592</v>
      </c>
    </row>
    <row r="51" spans="1:19">
      <c r="A51" s="59" t="str">
        <f>'数据-基础表'!AX40</f>
        <v>401-13</v>
      </c>
      <c r="B51" s="59">
        <f>'数据-基础表'!AZ40</f>
        <v>82.89</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v>4</v>
      </c>
      <c r="Q51" s="24">
        <f t="shared" si="19"/>
        <v>0.96</v>
      </c>
      <c r="R51" s="715">
        <f t="shared" si="20"/>
        <v>59369</v>
      </c>
      <c r="S51" s="361">
        <f t="shared" si="11"/>
        <v>492</v>
      </c>
    </row>
    <row r="52" spans="1:19">
      <c r="A52" s="59" t="str">
        <f>'数据-基础表'!AX41</f>
        <v>401-14</v>
      </c>
      <c r="B52" s="59">
        <f>'数据-基础表'!AZ41</f>
        <v>75.83</v>
      </c>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v>4</v>
      </c>
      <c r="Q52" s="24">
        <f t="shared" si="19"/>
        <v>0.96</v>
      </c>
      <c r="R52" s="715">
        <f t="shared" si="20"/>
        <v>59369</v>
      </c>
      <c r="S52" s="361">
        <f t="shared" si="11"/>
        <v>450</v>
      </c>
    </row>
    <row r="53" spans="1:19">
      <c r="A53" s="59" t="str">
        <f>'数据-基础表'!AX42</f>
        <v>501-1</v>
      </c>
      <c r="B53" s="59">
        <f>'数据-基础表'!AZ42</f>
        <v>88.04</v>
      </c>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v>5</v>
      </c>
      <c r="Q53" s="24">
        <f t="shared" si="19"/>
        <v>0.96499999999999997</v>
      </c>
      <c r="R53" s="715">
        <f t="shared" si="20"/>
        <v>59678</v>
      </c>
      <c r="S53" s="361">
        <f t="shared" si="11"/>
        <v>525</v>
      </c>
    </row>
    <row r="54" spans="1:19">
      <c r="A54" s="59" t="str">
        <f>'数据-基础表'!AX43</f>
        <v>501-2</v>
      </c>
      <c r="B54" s="59">
        <f>'数据-基础表'!AZ43</f>
        <v>80.06</v>
      </c>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v>5</v>
      </c>
      <c r="Q54" s="24">
        <f t="shared" si="19"/>
        <v>0.96499999999999997</v>
      </c>
      <c r="R54" s="715">
        <f t="shared" si="20"/>
        <v>59678</v>
      </c>
      <c r="S54" s="361">
        <f t="shared" si="11"/>
        <v>478</v>
      </c>
    </row>
    <row r="55" spans="1:19">
      <c r="A55" s="59" t="str">
        <f>'数据-基础表'!AX44</f>
        <v>501-3</v>
      </c>
      <c r="B55" s="59">
        <f>'数据-基础表'!AZ44</f>
        <v>80.06</v>
      </c>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v>5</v>
      </c>
      <c r="Q55" s="24">
        <f t="shared" si="19"/>
        <v>0.96499999999999997</v>
      </c>
      <c r="R55" s="715">
        <f t="shared" si="20"/>
        <v>59678</v>
      </c>
      <c r="S55" s="361">
        <f t="shared" ref="S55:S77" si="21">ROUND(R55*B55/10000,0)</f>
        <v>478</v>
      </c>
    </row>
    <row r="56" spans="1:19">
      <c r="A56" s="59" t="str">
        <f>'数据-基础表'!AX45</f>
        <v>501-4</v>
      </c>
      <c r="B56" s="59">
        <f>'数据-基础表'!AZ45</f>
        <v>80.06</v>
      </c>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v>5</v>
      </c>
      <c r="Q56" s="24">
        <f t="shared" si="19"/>
        <v>0.96499999999999997</v>
      </c>
      <c r="R56" s="715">
        <f t="shared" si="20"/>
        <v>59678</v>
      </c>
      <c r="S56" s="361">
        <f t="shared" si="21"/>
        <v>478</v>
      </c>
    </row>
    <row r="57" spans="1:19">
      <c r="A57" s="59" t="str">
        <f>'数据-基础表'!AX46</f>
        <v>501-5</v>
      </c>
      <c r="B57" s="59">
        <f>'数据-基础表'!AZ46</f>
        <v>99.81</v>
      </c>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v>5</v>
      </c>
      <c r="Q57" s="24">
        <f t="shared" si="19"/>
        <v>0.96499999999999997</v>
      </c>
      <c r="R57" s="715">
        <f t="shared" si="20"/>
        <v>59678</v>
      </c>
      <c r="S57" s="361">
        <f t="shared" si="21"/>
        <v>596</v>
      </c>
    </row>
    <row r="58" spans="1:19">
      <c r="A58" s="59" t="str">
        <f>'数据-基础表'!AX47</f>
        <v>501-6</v>
      </c>
      <c r="B58" s="59">
        <f>'数据-基础表'!AZ47</f>
        <v>83.28</v>
      </c>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v>5</v>
      </c>
      <c r="Q58" s="24">
        <f t="shared" si="19"/>
        <v>0.96499999999999997</v>
      </c>
      <c r="R58" s="715">
        <f t="shared" si="20"/>
        <v>59678</v>
      </c>
      <c r="S58" s="361">
        <f t="shared" si="21"/>
        <v>497</v>
      </c>
    </row>
    <row r="59" spans="1:19">
      <c r="A59" s="59" t="str">
        <f>'数据-基础表'!AX48</f>
        <v>501-7</v>
      </c>
      <c r="B59" s="59">
        <f>'数据-基础表'!AZ48</f>
        <v>107.74</v>
      </c>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v>5</v>
      </c>
      <c r="Q59" s="24">
        <f t="shared" si="19"/>
        <v>0.96499999999999997</v>
      </c>
      <c r="R59" s="715">
        <f t="shared" si="20"/>
        <v>59678</v>
      </c>
      <c r="S59" s="361">
        <f t="shared" si="21"/>
        <v>643</v>
      </c>
    </row>
    <row r="60" spans="1:19">
      <c r="A60" s="59" t="str">
        <f>'数据-基础表'!AX49</f>
        <v>501-8</v>
      </c>
      <c r="B60" s="59">
        <f>'数据-基础表'!AZ49</f>
        <v>87.64</v>
      </c>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v>5</v>
      </c>
      <c r="Q60" s="24">
        <f t="shared" si="19"/>
        <v>0.96499999999999997</v>
      </c>
      <c r="R60" s="715">
        <f t="shared" si="20"/>
        <v>59678</v>
      </c>
      <c r="S60" s="361">
        <f t="shared" si="21"/>
        <v>523</v>
      </c>
    </row>
    <row r="61" spans="1:19">
      <c r="A61" s="59" t="str">
        <f>'数据-基础表'!AX50</f>
        <v>501-9</v>
      </c>
      <c r="B61" s="59">
        <f>'数据-基础表'!AZ50</f>
        <v>80.06</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v>5</v>
      </c>
      <c r="Q61" s="24">
        <f t="shared" si="19"/>
        <v>0.96499999999999997</v>
      </c>
      <c r="R61" s="715">
        <f t="shared" si="20"/>
        <v>59678</v>
      </c>
      <c r="S61" s="361">
        <f t="shared" si="21"/>
        <v>478</v>
      </c>
    </row>
    <row r="62" spans="1:19">
      <c r="A62" s="59" t="str">
        <f>'数据-基础表'!AX51</f>
        <v>501-10</v>
      </c>
      <c r="B62" s="59">
        <f>'数据-基础表'!AZ51</f>
        <v>80.06</v>
      </c>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v>5</v>
      </c>
      <c r="Q62" s="24">
        <f t="shared" si="19"/>
        <v>0.96499999999999997</v>
      </c>
      <c r="R62" s="715">
        <f t="shared" si="20"/>
        <v>59678</v>
      </c>
      <c r="S62" s="361">
        <f t="shared" si="21"/>
        <v>478</v>
      </c>
    </row>
    <row r="63" spans="1:19">
      <c r="A63" s="59" t="str">
        <f>'数据-基础表'!AX52</f>
        <v>501-11</v>
      </c>
      <c r="B63" s="59">
        <f>'数据-基础表'!AZ52</f>
        <v>80.06</v>
      </c>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v>5</v>
      </c>
      <c r="Q63" s="24">
        <f t="shared" si="19"/>
        <v>0.96499999999999997</v>
      </c>
      <c r="R63" s="715">
        <f t="shared" si="20"/>
        <v>59678</v>
      </c>
      <c r="S63" s="361">
        <f t="shared" si="21"/>
        <v>478</v>
      </c>
    </row>
    <row r="64" spans="1:19">
      <c r="A64" s="59" t="str">
        <f>'数据-基础表'!AX53</f>
        <v>501-12</v>
      </c>
      <c r="B64" s="59">
        <f>'数据-基础表'!AZ53</f>
        <v>99.64</v>
      </c>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v>5</v>
      </c>
      <c r="Q64" s="24">
        <f t="shared" si="19"/>
        <v>0.96499999999999997</v>
      </c>
      <c r="R64" s="715">
        <f t="shared" si="20"/>
        <v>59678</v>
      </c>
      <c r="S64" s="361">
        <f t="shared" si="21"/>
        <v>595</v>
      </c>
    </row>
    <row r="65" spans="1:19">
      <c r="A65" s="59" t="str">
        <f>'数据-基础表'!AX54</f>
        <v>501-13</v>
      </c>
      <c r="B65" s="59">
        <f>'数据-基础表'!AZ54</f>
        <v>82.89</v>
      </c>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v>5</v>
      </c>
      <c r="Q65" s="24">
        <f t="shared" si="19"/>
        <v>0.96499999999999997</v>
      </c>
      <c r="R65" s="715">
        <f t="shared" si="20"/>
        <v>59678</v>
      </c>
      <c r="S65" s="361">
        <f t="shared" si="21"/>
        <v>495</v>
      </c>
    </row>
    <row r="66" spans="1:19">
      <c r="A66" s="59" t="str">
        <f>'数据-基础表'!AX55</f>
        <v>501-14</v>
      </c>
      <c r="B66" s="59">
        <f>'数据-基础表'!AZ55</f>
        <v>75.83</v>
      </c>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v>5</v>
      </c>
      <c r="Q66" s="24">
        <f t="shared" si="19"/>
        <v>0.96499999999999997</v>
      </c>
      <c r="R66" s="715">
        <f t="shared" si="20"/>
        <v>59678</v>
      </c>
      <c r="S66" s="361">
        <f t="shared" si="21"/>
        <v>453</v>
      </c>
    </row>
    <row r="67" spans="1:19">
      <c r="A67" s="59" t="str">
        <f>'数据-基础表'!AX56</f>
        <v>601-1</v>
      </c>
      <c r="B67" s="59">
        <f>'数据-基础表'!AZ56</f>
        <v>88.04</v>
      </c>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v>6</v>
      </c>
      <c r="Q67" s="24">
        <f t="shared" si="19"/>
        <v>0.97</v>
      </c>
      <c r="R67" s="715">
        <f t="shared" si="20"/>
        <v>59988</v>
      </c>
      <c r="S67" s="361">
        <f t="shared" si="21"/>
        <v>528</v>
      </c>
    </row>
    <row r="68" spans="1:19">
      <c r="A68" s="59" t="str">
        <f>'数据-基础表'!AX57</f>
        <v>601-2</v>
      </c>
      <c r="B68" s="59">
        <f>'数据-基础表'!AZ57</f>
        <v>80.06</v>
      </c>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v>6</v>
      </c>
      <c r="Q68" s="24">
        <f t="shared" si="19"/>
        <v>0.97</v>
      </c>
      <c r="R68" s="715">
        <f t="shared" si="20"/>
        <v>59988</v>
      </c>
      <c r="S68" s="361">
        <f t="shared" si="21"/>
        <v>480</v>
      </c>
    </row>
    <row r="69" spans="1:19">
      <c r="A69" s="59" t="str">
        <f>'数据-基础表'!AX58</f>
        <v>601-3</v>
      </c>
      <c r="B69" s="59">
        <f>'数据-基础表'!AZ58</f>
        <v>80.06</v>
      </c>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v>6</v>
      </c>
      <c r="Q69" s="24">
        <f t="shared" si="19"/>
        <v>0.97</v>
      </c>
      <c r="R69" s="715">
        <f t="shared" si="20"/>
        <v>59988</v>
      </c>
      <c r="S69" s="361">
        <f t="shared" si="21"/>
        <v>480</v>
      </c>
    </row>
    <row r="70" spans="1:19">
      <c r="A70" s="59" t="str">
        <f>'数据-基础表'!AX59</f>
        <v>601-4</v>
      </c>
      <c r="B70" s="59">
        <f>'数据-基础表'!AZ59</f>
        <v>80.06</v>
      </c>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v>6</v>
      </c>
      <c r="Q70" s="24">
        <f t="shared" si="19"/>
        <v>0.97</v>
      </c>
      <c r="R70" s="715">
        <f t="shared" si="20"/>
        <v>59988</v>
      </c>
      <c r="S70" s="361">
        <f t="shared" si="21"/>
        <v>480</v>
      </c>
    </row>
    <row r="71" spans="1:19">
      <c r="A71" s="59" t="str">
        <f>'数据-基础表'!AX60</f>
        <v>601-5</v>
      </c>
      <c r="B71" s="59">
        <f>'数据-基础表'!AZ60</f>
        <v>99.81</v>
      </c>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v>6</v>
      </c>
      <c r="Q71" s="24">
        <f t="shared" si="19"/>
        <v>0.97</v>
      </c>
      <c r="R71" s="715">
        <f t="shared" si="20"/>
        <v>59988</v>
      </c>
      <c r="S71" s="361">
        <f t="shared" si="21"/>
        <v>599</v>
      </c>
    </row>
    <row r="72" spans="1:19">
      <c r="A72" s="59" t="str">
        <f>'数据-基础表'!AX61</f>
        <v>601-6</v>
      </c>
      <c r="B72" s="59">
        <f>'数据-基础表'!AZ61</f>
        <v>83.28</v>
      </c>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v>6</v>
      </c>
      <c r="Q72" s="24">
        <f t="shared" si="19"/>
        <v>0.97</v>
      </c>
      <c r="R72" s="715">
        <f t="shared" si="20"/>
        <v>59988</v>
      </c>
      <c r="S72" s="361">
        <f t="shared" si="21"/>
        <v>500</v>
      </c>
    </row>
    <row r="73" spans="1:19">
      <c r="A73" s="59" t="str">
        <f>'数据-基础表'!AX62</f>
        <v>601-7</v>
      </c>
      <c r="B73" s="59">
        <f>'数据-基础表'!AZ62</f>
        <v>107.74</v>
      </c>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v>6</v>
      </c>
      <c r="Q73" s="24">
        <f t="shared" si="19"/>
        <v>0.97</v>
      </c>
      <c r="R73" s="715">
        <f t="shared" si="20"/>
        <v>59988</v>
      </c>
      <c r="S73" s="361">
        <f t="shared" si="21"/>
        <v>646</v>
      </c>
    </row>
    <row r="74" spans="1:19">
      <c r="A74" s="59" t="str">
        <f>'数据-基础表'!AX63</f>
        <v>601-8</v>
      </c>
      <c r="B74" s="59">
        <f>'数据-基础表'!AZ63</f>
        <v>87.64</v>
      </c>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v>6</v>
      </c>
      <c r="Q74" s="24">
        <f t="shared" si="19"/>
        <v>0.97</v>
      </c>
      <c r="R74" s="715">
        <f t="shared" si="20"/>
        <v>59988</v>
      </c>
      <c r="S74" s="361">
        <f t="shared" si="21"/>
        <v>526</v>
      </c>
    </row>
    <row r="75" spans="1:19">
      <c r="A75" s="59" t="str">
        <f>'数据-基础表'!AX64</f>
        <v>601-9</v>
      </c>
      <c r="B75" s="59">
        <f>'数据-基础表'!AZ64</f>
        <v>80.06</v>
      </c>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v>6</v>
      </c>
      <c r="Q75" s="24">
        <f t="shared" si="19"/>
        <v>0.97</v>
      </c>
      <c r="R75" s="715">
        <f t="shared" si="20"/>
        <v>59988</v>
      </c>
      <c r="S75" s="361">
        <f t="shared" si="21"/>
        <v>480</v>
      </c>
    </row>
    <row r="76" spans="1:19">
      <c r="A76" s="59" t="str">
        <f>'数据-基础表'!AX65</f>
        <v>601-10</v>
      </c>
      <c r="B76" s="59">
        <f>'数据-基础表'!AZ65</f>
        <v>80.06</v>
      </c>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v>6</v>
      </c>
      <c r="Q76" s="24">
        <f t="shared" si="19"/>
        <v>0.97</v>
      </c>
      <c r="R76" s="715">
        <f t="shared" si="20"/>
        <v>59988</v>
      </c>
      <c r="S76" s="361">
        <f t="shared" si="21"/>
        <v>480</v>
      </c>
    </row>
    <row r="77" spans="1:19">
      <c r="A77" s="59" t="str">
        <f>'数据-基础表'!AX66</f>
        <v>601-11</v>
      </c>
      <c r="B77" s="59">
        <f>'数据-基础表'!AZ66</f>
        <v>80.06</v>
      </c>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v>6</v>
      </c>
      <c r="Q77" s="24">
        <f t="shared" si="19"/>
        <v>0.97</v>
      </c>
      <c r="R77" s="715">
        <f t="shared" si="20"/>
        <v>59988</v>
      </c>
      <c r="S77" s="361">
        <f t="shared" si="21"/>
        <v>480</v>
      </c>
    </row>
    <row r="78" spans="1:19">
      <c r="A78" s="59" t="str">
        <f>'数据-基础表'!AX67</f>
        <v>601-12</v>
      </c>
      <c r="B78" s="59">
        <f>'数据-基础表'!AZ67</f>
        <v>99.64</v>
      </c>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v>6</v>
      </c>
      <c r="Q78" s="24">
        <f t="shared" si="19"/>
        <v>0.97</v>
      </c>
      <c r="R78" s="715">
        <f t="shared" si="20"/>
        <v>59988</v>
      </c>
      <c r="S78" s="361">
        <f t="shared" ref="S78:S122" si="22">ROUND(R78*B78/10000,0)</f>
        <v>598</v>
      </c>
    </row>
    <row r="79" spans="1:19">
      <c r="A79" s="59" t="str">
        <f>'数据-基础表'!AX68</f>
        <v>601-13</v>
      </c>
      <c r="B79" s="59">
        <f>'数据-基础表'!AZ68</f>
        <v>82.89</v>
      </c>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v>6</v>
      </c>
      <c r="Q79" s="24">
        <f t="shared" si="19"/>
        <v>0.97</v>
      </c>
      <c r="R79" s="715">
        <f t="shared" si="20"/>
        <v>59988</v>
      </c>
      <c r="S79" s="361">
        <f t="shared" si="22"/>
        <v>497</v>
      </c>
    </row>
    <row r="80" spans="1:19">
      <c r="A80" s="59" t="str">
        <f>'数据-基础表'!AX69</f>
        <v>601-14</v>
      </c>
      <c r="B80" s="59">
        <f>'数据-基础表'!AZ69</f>
        <v>75.83</v>
      </c>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v>6</v>
      </c>
      <c r="Q80" s="24">
        <f t="shared" si="19"/>
        <v>0.97</v>
      </c>
      <c r="R80" s="715">
        <f t="shared" si="20"/>
        <v>59988</v>
      </c>
      <c r="S80" s="361">
        <f t="shared" si="22"/>
        <v>455</v>
      </c>
    </row>
    <row r="81" spans="1:19">
      <c r="A81" s="59" t="str">
        <f>'数据-基础表'!AX70</f>
        <v>701-1</v>
      </c>
      <c r="B81" s="59">
        <f>'数据-基础表'!AZ70</f>
        <v>88.04</v>
      </c>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v>7</v>
      </c>
      <c r="Q81" s="24">
        <f t="shared" si="19"/>
        <v>0.97499999999999998</v>
      </c>
      <c r="R81" s="715">
        <f t="shared" si="20"/>
        <v>60297</v>
      </c>
      <c r="S81" s="361">
        <f t="shared" si="22"/>
        <v>531</v>
      </c>
    </row>
    <row r="82" spans="1:19">
      <c r="A82" s="59" t="str">
        <f>'数据-基础表'!AX71</f>
        <v>701-2</v>
      </c>
      <c r="B82" s="59">
        <f>'数据-基础表'!AZ71</f>
        <v>80.06</v>
      </c>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v>7</v>
      </c>
      <c r="Q82" s="24">
        <f t="shared" si="19"/>
        <v>0.97499999999999998</v>
      </c>
      <c r="R82" s="715">
        <f t="shared" si="20"/>
        <v>60297</v>
      </c>
      <c r="S82" s="361">
        <f t="shared" si="22"/>
        <v>483</v>
      </c>
    </row>
    <row r="83" spans="1:19">
      <c r="A83" s="59" t="str">
        <f>'数据-基础表'!AX72</f>
        <v>701-3</v>
      </c>
      <c r="B83" s="59">
        <f>'数据-基础表'!AZ72</f>
        <v>80.06</v>
      </c>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v>7</v>
      </c>
      <c r="Q83" s="24">
        <f t="shared" si="19"/>
        <v>0.97499999999999998</v>
      </c>
      <c r="R83" s="715">
        <f t="shared" si="20"/>
        <v>60297</v>
      </c>
      <c r="S83" s="361">
        <f t="shared" si="22"/>
        <v>483</v>
      </c>
    </row>
    <row r="84" spans="1:19">
      <c r="A84" s="59" t="str">
        <f>'数据-基础表'!AX73</f>
        <v>701-4</v>
      </c>
      <c r="B84" s="59">
        <f>'数据-基础表'!AZ73</f>
        <v>80.06</v>
      </c>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v>7</v>
      </c>
      <c r="Q84" s="24">
        <f t="shared" si="19"/>
        <v>0.97499999999999998</v>
      </c>
      <c r="R84" s="715">
        <f t="shared" si="20"/>
        <v>60297</v>
      </c>
      <c r="S84" s="361">
        <f t="shared" si="22"/>
        <v>483</v>
      </c>
    </row>
    <row r="85" spans="1:19">
      <c r="A85" s="59" t="str">
        <f>'数据-基础表'!AX74</f>
        <v>701-5</v>
      </c>
      <c r="B85" s="59">
        <f>'数据-基础表'!AZ74</f>
        <v>99.81</v>
      </c>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v>7</v>
      </c>
      <c r="Q85" s="24">
        <f t="shared" si="19"/>
        <v>0.97499999999999998</v>
      </c>
      <c r="R85" s="715">
        <f t="shared" si="20"/>
        <v>60297</v>
      </c>
      <c r="S85" s="361">
        <f t="shared" si="22"/>
        <v>602</v>
      </c>
    </row>
    <row r="86" spans="1:19">
      <c r="A86" s="59" t="str">
        <f>'数据-基础表'!AX75</f>
        <v>701-6</v>
      </c>
      <c r="B86" s="59">
        <f>'数据-基础表'!AZ75</f>
        <v>83.28</v>
      </c>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v>7</v>
      </c>
      <c r="Q86" s="24">
        <f t="shared" si="19"/>
        <v>0.97499999999999998</v>
      </c>
      <c r="R86" s="715">
        <f t="shared" si="20"/>
        <v>60297</v>
      </c>
      <c r="S86" s="361">
        <f t="shared" si="22"/>
        <v>502</v>
      </c>
    </row>
    <row r="87" spans="1:19">
      <c r="A87" s="59" t="str">
        <f>'数据-基础表'!AX76</f>
        <v>701-7</v>
      </c>
      <c r="B87" s="59">
        <f>'数据-基础表'!AZ76</f>
        <v>107.74</v>
      </c>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v>7</v>
      </c>
      <c r="Q87" s="24">
        <f t="shared" si="19"/>
        <v>0.97499999999999998</v>
      </c>
      <c r="R87" s="715">
        <f t="shared" si="20"/>
        <v>60297</v>
      </c>
      <c r="S87" s="361">
        <f t="shared" si="22"/>
        <v>650</v>
      </c>
    </row>
    <row r="88" spans="1:19">
      <c r="A88" s="59" t="str">
        <f>'数据-基础表'!AX77</f>
        <v>701-8</v>
      </c>
      <c r="B88" s="59">
        <f>'数据-基础表'!AZ77</f>
        <v>87.64</v>
      </c>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v>7</v>
      </c>
      <c r="Q88" s="24">
        <f t="shared" si="19"/>
        <v>0.97499999999999998</v>
      </c>
      <c r="R88" s="715">
        <f t="shared" si="20"/>
        <v>60297</v>
      </c>
      <c r="S88" s="361">
        <f t="shared" si="22"/>
        <v>528</v>
      </c>
    </row>
    <row r="89" spans="1:19">
      <c r="A89" s="59" t="str">
        <f>'数据-基础表'!AX78</f>
        <v>701-9</v>
      </c>
      <c r="B89" s="59">
        <f>'数据-基础表'!AZ78</f>
        <v>80.06</v>
      </c>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v>7</v>
      </c>
      <c r="Q89" s="24">
        <f t="shared" si="19"/>
        <v>0.97499999999999998</v>
      </c>
      <c r="R89" s="715">
        <f t="shared" si="20"/>
        <v>60297</v>
      </c>
      <c r="S89" s="361">
        <f t="shared" si="22"/>
        <v>483</v>
      </c>
    </row>
    <row r="90" spans="1:19">
      <c r="A90" s="59" t="str">
        <f>'数据-基础表'!AX79</f>
        <v>701-10</v>
      </c>
      <c r="B90" s="59">
        <f>'数据-基础表'!AZ79</f>
        <v>80.06</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v>7</v>
      </c>
      <c r="Q90" s="24">
        <f t="shared" ref="Q90:Q153" si="30">(SUMIF($17:$17,P90,$18:$18)-SUMIF($17:$17,$P$24,$18:$18)+100)/100</f>
        <v>0.97499999999999998</v>
      </c>
      <c r="R90" s="715">
        <f t="shared" ref="R90:R153" si="31">IF(B90="",0,ROUND($R$24*C90*E90*G90*I90*K90*M90*O90*Q90,0))</f>
        <v>60297</v>
      </c>
      <c r="S90" s="361">
        <f t="shared" si="22"/>
        <v>483</v>
      </c>
    </row>
    <row r="91" spans="1:19">
      <c r="A91" s="59" t="str">
        <f>'数据-基础表'!AX80</f>
        <v>701-11</v>
      </c>
      <c r="B91" s="59">
        <f>'数据-基础表'!AZ80</f>
        <v>80.06</v>
      </c>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v>7</v>
      </c>
      <c r="Q91" s="24">
        <f t="shared" si="30"/>
        <v>0.97499999999999998</v>
      </c>
      <c r="R91" s="715">
        <f t="shared" si="31"/>
        <v>60297</v>
      </c>
      <c r="S91" s="361">
        <f t="shared" si="22"/>
        <v>483</v>
      </c>
    </row>
    <row r="92" spans="1:19">
      <c r="A92" s="59" t="str">
        <f>'数据-基础表'!AX81</f>
        <v>701-12</v>
      </c>
      <c r="B92" s="59">
        <f>'数据-基础表'!AZ81</f>
        <v>99.64</v>
      </c>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v>7</v>
      </c>
      <c r="Q92" s="24">
        <f t="shared" si="30"/>
        <v>0.97499999999999998</v>
      </c>
      <c r="R92" s="715">
        <f t="shared" si="31"/>
        <v>60297</v>
      </c>
      <c r="S92" s="361">
        <f t="shared" si="22"/>
        <v>601</v>
      </c>
    </row>
    <row r="93" spans="1:19">
      <c r="A93" s="59" t="str">
        <f>'数据-基础表'!AX82</f>
        <v>701-13</v>
      </c>
      <c r="B93" s="59">
        <f>'数据-基础表'!AZ82</f>
        <v>82.89</v>
      </c>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v>7</v>
      </c>
      <c r="Q93" s="24">
        <f t="shared" si="30"/>
        <v>0.97499999999999998</v>
      </c>
      <c r="R93" s="715">
        <f t="shared" si="31"/>
        <v>60297</v>
      </c>
      <c r="S93" s="361">
        <f t="shared" si="22"/>
        <v>500</v>
      </c>
    </row>
    <row r="94" spans="1:19">
      <c r="A94" s="59" t="str">
        <f>'数据-基础表'!AX83</f>
        <v>701-14</v>
      </c>
      <c r="B94" s="59">
        <f>'数据-基础表'!AZ83</f>
        <v>75.83</v>
      </c>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v>7</v>
      </c>
      <c r="Q94" s="24">
        <f t="shared" si="30"/>
        <v>0.97499999999999998</v>
      </c>
      <c r="R94" s="715">
        <f t="shared" si="31"/>
        <v>60297</v>
      </c>
      <c r="S94" s="361">
        <f t="shared" si="22"/>
        <v>457</v>
      </c>
    </row>
    <row r="95" spans="1:19">
      <c r="A95" s="59" t="str">
        <f>'数据-基础表'!AX84</f>
        <v>801-1</v>
      </c>
      <c r="B95" s="59">
        <f>'数据-基础表'!AZ84</f>
        <v>88.04</v>
      </c>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v>8</v>
      </c>
      <c r="Q95" s="24">
        <f t="shared" si="30"/>
        <v>0.98</v>
      </c>
      <c r="R95" s="715">
        <f t="shared" si="31"/>
        <v>60606</v>
      </c>
      <c r="S95" s="361">
        <f t="shared" si="22"/>
        <v>534</v>
      </c>
    </row>
    <row r="96" spans="1:19">
      <c r="A96" s="59" t="str">
        <f>'数据-基础表'!AX85</f>
        <v>801-2</v>
      </c>
      <c r="B96" s="59">
        <f>'数据-基础表'!AZ85</f>
        <v>80.06</v>
      </c>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v>8</v>
      </c>
      <c r="Q96" s="24">
        <f t="shared" si="30"/>
        <v>0.98</v>
      </c>
      <c r="R96" s="715">
        <f t="shared" si="31"/>
        <v>60606</v>
      </c>
      <c r="S96" s="361">
        <f t="shared" si="22"/>
        <v>485</v>
      </c>
    </row>
    <row r="97" spans="1:19">
      <c r="A97" s="59" t="str">
        <f>'数据-基础表'!AX86</f>
        <v>801-3</v>
      </c>
      <c r="B97" s="59">
        <f>'数据-基础表'!AZ86</f>
        <v>80.06</v>
      </c>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v>8</v>
      </c>
      <c r="Q97" s="24">
        <f t="shared" si="30"/>
        <v>0.98</v>
      </c>
      <c r="R97" s="715">
        <f t="shared" si="31"/>
        <v>60606</v>
      </c>
      <c r="S97" s="361">
        <f t="shared" si="22"/>
        <v>485</v>
      </c>
    </row>
    <row r="98" spans="1:19">
      <c r="A98" s="59" t="str">
        <f>'数据-基础表'!AX87</f>
        <v>801-4</v>
      </c>
      <c r="B98" s="59">
        <f>'数据-基础表'!AZ87</f>
        <v>80.06</v>
      </c>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v>8</v>
      </c>
      <c r="Q98" s="24">
        <f t="shared" si="30"/>
        <v>0.98</v>
      </c>
      <c r="R98" s="715">
        <f t="shared" si="31"/>
        <v>60606</v>
      </c>
      <c r="S98" s="361">
        <f t="shared" si="22"/>
        <v>485</v>
      </c>
    </row>
    <row r="99" spans="1:19">
      <c r="A99" s="59" t="str">
        <f>'数据-基础表'!AX88</f>
        <v>801-5</v>
      </c>
      <c r="B99" s="59">
        <f>'数据-基础表'!AZ88</f>
        <v>99.81</v>
      </c>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v>8</v>
      </c>
      <c r="Q99" s="24">
        <f t="shared" si="30"/>
        <v>0.98</v>
      </c>
      <c r="R99" s="715">
        <f t="shared" si="31"/>
        <v>60606</v>
      </c>
      <c r="S99" s="361">
        <f t="shared" si="22"/>
        <v>605</v>
      </c>
    </row>
    <row r="100" spans="1:19">
      <c r="A100" s="59" t="str">
        <f>'数据-基础表'!AX89</f>
        <v>801-6</v>
      </c>
      <c r="B100" s="59">
        <f>'数据-基础表'!AZ89</f>
        <v>83.28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v>8</v>
      </c>
      <c r="Q100" s="24">
        <f t="shared" si="30"/>
        <v>0.98</v>
      </c>
      <c r="R100" s="715">
        <f t="shared" si="31"/>
        <v>60606</v>
      </c>
      <c r="S100" s="361">
        <f t="shared" si="22"/>
        <v>505</v>
      </c>
    </row>
    <row r="101" spans="1:19">
      <c r="A101" s="59" t="str">
        <f>'数据-基础表'!AX90</f>
        <v>801-7</v>
      </c>
      <c r="B101" s="59">
        <f>'数据-基础表'!AZ90</f>
        <v>107.74</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v>8</v>
      </c>
      <c r="Q101" s="24">
        <f t="shared" si="30"/>
        <v>0.98</v>
      </c>
      <c r="R101" s="715">
        <f t="shared" si="31"/>
        <v>60606</v>
      </c>
      <c r="S101" s="361">
        <f t="shared" si="22"/>
        <v>653</v>
      </c>
    </row>
    <row r="102" spans="1:19">
      <c r="A102" s="59" t="str">
        <f>'数据-基础表'!AX91</f>
        <v>801-8</v>
      </c>
      <c r="B102" s="59">
        <f>'数据-基础表'!AZ91</f>
        <v>87.64</v>
      </c>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v>8</v>
      </c>
      <c r="Q102" s="24">
        <f t="shared" si="30"/>
        <v>0.98</v>
      </c>
      <c r="R102" s="715">
        <f t="shared" si="31"/>
        <v>60606</v>
      </c>
      <c r="S102" s="361">
        <f t="shared" si="22"/>
        <v>531</v>
      </c>
    </row>
    <row r="103" spans="1:19">
      <c r="A103" s="59" t="str">
        <f>'数据-基础表'!AX92</f>
        <v>801-9</v>
      </c>
      <c r="B103" s="59">
        <f>'数据-基础表'!AZ92</f>
        <v>80.06</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v>8</v>
      </c>
      <c r="Q103" s="24">
        <f t="shared" si="30"/>
        <v>0.98</v>
      </c>
      <c r="R103" s="715">
        <f t="shared" si="31"/>
        <v>60606</v>
      </c>
      <c r="S103" s="361">
        <f t="shared" si="22"/>
        <v>485</v>
      </c>
    </row>
    <row r="104" spans="1:19">
      <c r="A104" s="59" t="str">
        <f>'数据-基础表'!AX93</f>
        <v>801-10</v>
      </c>
      <c r="B104" s="59">
        <f>'数据-基础表'!AZ93</f>
        <v>80.06</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v>8</v>
      </c>
      <c r="Q104" s="24">
        <f t="shared" si="30"/>
        <v>0.98</v>
      </c>
      <c r="R104" s="715">
        <f t="shared" si="31"/>
        <v>60606</v>
      </c>
      <c r="S104" s="361">
        <f t="shared" si="22"/>
        <v>485</v>
      </c>
    </row>
    <row r="105" spans="1:19">
      <c r="A105" s="59" t="str">
        <f>'数据-基础表'!AX94</f>
        <v>801-11</v>
      </c>
      <c r="B105" s="59">
        <f>'数据-基础表'!AZ94</f>
        <v>80.06</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v>8</v>
      </c>
      <c r="Q105" s="24">
        <f t="shared" si="30"/>
        <v>0.98</v>
      </c>
      <c r="R105" s="715">
        <f t="shared" si="31"/>
        <v>60606</v>
      </c>
      <c r="S105" s="361">
        <f t="shared" si="22"/>
        <v>485</v>
      </c>
    </row>
    <row r="106" spans="1:19">
      <c r="A106" s="59" t="str">
        <f>'数据-基础表'!AX95</f>
        <v>801-12</v>
      </c>
      <c r="B106" s="59">
        <f>'数据-基础表'!AZ95</f>
        <v>99.64</v>
      </c>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v>8</v>
      </c>
      <c r="Q106" s="24">
        <f t="shared" si="30"/>
        <v>0.98</v>
      </c>
      <c r="R106" s="715">
        <f t="shared" si="31"/>
        <v>60606</v>
      </c>
      <c r="S106" s="361">
        <f t="shared" si="22"/>
        <v>604</v>
      </c>
    </row>
    <row r="107" spans="1:19">
      <c r="A107" s="59" t="str">
        <f>'数据-基础表'!AX96</f>
        <v>801-13</v>
      </c>
      <c r="B107" s="59">
        <f>'数据-基础表'!AZ96</f>
        <v>82.89</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v>8</v>
      </c>
      <c r="Q107" s="24">
        <f t="shared" si="30"/>
        <v>0.98</v>
      </c>
      <c r="R107" s="715">
        <f t="shared" si="31"/>
        <v>60606</v>
      </c>
      <c r="S107" s="361">
        <f t="shared" si="22"/>
        <v>502</v>
      </c>
    </row>
    <row r="108" spans="1:19">
      <c r="A108" s="59" t="str">
        <f>'数据-基础表'!AX97</f>
        <v>801-14</v>
      </c>
      <c r="B108" s="59">
        <f>'数据-基础表'!AZ97</f>
        <v>75.83</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v>8</v>
      </c>
      <c r="Q108" s="24">
        <f t="shared" si="30"/>
        <v>0.98</v>
      </c>
      <c r="R108" s="715">
        <f t="shared" si="31"/>
        <v>60606</v>
      </c>
      <c r="S108" s="361">
        <f t="shared" si="22"/>
        <v>460</v>
      </c>
    </row>
    <row r="109" spans="1:19">
      <c r="A109" s="59" t="str">
        <f>'数据-基础表'!AX98</f>
        <v>901-1</v>
      </c>
      <c r="B109" s="59">
        <f>'数据-基础表'!AZ98</f>
        <v>88.04</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v>9</v>
      </c>
      <c r="Q109" s="24">
        <f t="shared" si="30"/>
        <v>0.98499999999999999</v>
      </c>
      <c r="R109" s="715">
        <f t="shared" si="31"/>
        <v>60915</v>
      </c>
      <c r="S109" s="361">
        <f t="shared" si="22"/>
        <v>536</v>
      </c>
    </row>
    <row r="110" spans="1:19">
      <c r="A110" s="59" t="str">
        <f>'数据-基础表'!AX99</f>
        <v>901-2</v>
      </c>
      <c r="B110" s="59">
        <f>'数据-基础表'!AZ99</f>
        <v>80.06</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v>9</v>
      </c>
      <c r="Q110" s="24">
        <f t="shared" si="30"/>
        <v>0.98499999999999999</v>
      </c>
      <c r="R110" s="715">
        <f t="shared" si="31"/>
        <v>60915</v>
      </c>
      <c r="S110" s="361">
        <f t="shared" si="22"/>
        <v>488</v>
      </c>
    </row>
    <row r="111" spans="1:19">
      <c r="A111" s="59" t="str">
        <f>'数据-基础表'!AX100</f>
        <v>901-3</v>
      </c>
      <c r="B111" s="59">
        <f>'数据-基础表'!AZ100</f>
        <v>80.06</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v>9</v>
      </c>
      <c r="Q111" s="24">
        <f t="shared" si="30"/>
        <v>0.98499999999999999</v>
      </c>
      <c r="R111" s="715">
        <f t="shared" si="31"/>
        <v>60915</v>
      </c>
      <c r="S111" s="361">
        <f t="shared" si="22"/>
        <v>488</v>
      </c>
    </row>
    <row r="112" spans="1:19">
      <c r="A112" s="59" t="str">
        <f>'数据-基础表'!AX101</f>
        <v>901-4</v>
      </c>
      <c r="B112" s="59">
        <f>'数据-基础表'!AZ101</f>
        <v>80.06</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v>9</v>
      </c>
      <c r="Q112" s="24">
        <f t="shared" si="30"/>
        <v>0.98499999999999999</v>
      </c>
      <c r="R112" s="715">
        <f t="shared" si="31"/>
        <v>60915</v>
      </c>
      <c r="S112" s="361">
        <f t="shared" si="22"/>
        <v>488</v>
      </c>
    </row>
    <row r="113" spans="1:19">
      <c r="A113" s="59" t="str">
        <f>'数据-基础表'!AX102</f>
        <v>901-5</v>
      </c>
      <c r="B113" s="59">
        <f>'数据-基础表'!AZ102</f>
        <v>99.81</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v>9</v>
      </c>
      <c r="Q113" s="24">
        <f t="shared" si="30"/>
        <v>0.98499999999999999</v>
      </c>
      <c r="R113" s="715">
        <f t="shared" si="31"/>
        <v>60915</v>
      </c>
      <c r="S113" s="361">
        <f t="shared" si="22"/>
        <v>608</v>
      </c>
    </row>
    <row r="114" spans="1:19">
      <c r="A114" s="59" t="str">
        <f>'数据-基础表'!AX103</f>
        <v>901-6</v>
      </c>
      <c r="B114" s="59">
        <f>'数据-基础表'!AZ103</f>
        <v>83.28</v>
      </c>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v>9</v>
      </c>
      <c r="Q114" s="24">
        <f t="shared" si="30"/>
        <v>0.98499999999999999</v>
      </c>
      <c r="R114" s="715">
        <f t="shared" si="31"/>
        <v>60915</v>
      </c>
      <c r="S114" s="361">
        <f t="shared" si="22"/>
        <v>507</v>
      </c>
    </row>
    <row r="115" spans="1:19">
      <c r="A115" s="59" t="str">
        <f>'数据-基础表'!AX104</f>
        <v>901-7</v>
      </c>
      <c r="B115" s="59">
        <f>'数据-基础表'!AZ104</f>
        <v>107.74</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v>9</v>
      </c>
      <c r="Q115" s="24">
        <f t="shared" si="30"/>
        <v>0.98499999999999999</v>
      </c>
      <c r="R115" s="715">
        <f t="shared" si="31"/>
        <v>60915</v>
      </c>
      <c r="S115" s="361">
        <f t="shared" si="22"/>
        <v>656</v>
      </c>
    </row>
    <row r="116" spans="1:19">
      <c r="A116" s="59" t="str">
        <f>'数据-基础表'!AX105</f>
        <v>901-8</v>
      </c>
      <c r="B116" s="59">
        <f>'数据-基础表'!AZ105</f>
        <v>87.64</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v>9</v>
      </c>
      <c r="Q116" s="24">
        <f t="shared" si="30"/>
        <v>0.98499999999999999</v>
      </c>
      <c r="R116" s="715">
        <f t="shared" si="31"/>
        <v>60915</v>
      </c>
      <c r="S116" s="361">
        <f t="shared" si="22"/>
        <v>534</v>
      </c>
    </row>
    <row r="117" spans="1:19">
      <c r="A117" s="59" t="str">
        <f>'数据-基础表'!AX106</f>
        <v>901-9</v>
      </c>
      <c r="B117" s="59">
        <f>'数据-基础表'!AZ106</f>
        <v>80.06</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v>9</v>
      </c>
      <c r="Q117" s="24">
        <f t="shared" si="30"/>
        <v>0.98499999999999999</v>
      </c>
      <c r="R117" s="715">
        <f t="shared" si="31"/>
        <v>60915</v>
      </c>
      <c r="S117" s="361">
        <f t="shared" si="22"/>
        <v>488</v>
      </c>
    </row>
    <row r="118" spans="1:19">
      <c r="A118" s="59" t="str">
        <f>'数据-基础表'!AX107</f>
        <v>901-10</v>
      </c>
      <c r="B118" s="59">
        <f>'数据-基础表'!AZ107</f>
        <v>80.06</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v>9</v>
      </c>
      <c r="Q118" s="24">
        <f t="shared" si="30"/>
        <v>0.98499999999999999</v>
      </c>
      <c r="R118" s="715">
        <f t="shared" si="31"/>
        <v>60915</v>
      </c>
      <c r="S118" s="361">
        <f t="shared" si="22"/>
        <v>488</v>
      </c>
    </row>
    <row r="119" spans="1:19">
      <c r="A119" s="59" t="str">
        <f>'数据-基础表'!AX108</f>
        <v>901-11</v>
      </c>
      <c r="B119" s="59">
        <f>'数据-基础表'!AZ108</f>
        <v>80.06</v>
      </c>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v>9</v>
      </c>
      <c r="Q119" s="24">
        <f t="shared" si="30"/>
        <v>0.98499999999999999</v>
      </c>
      <c r="R119" s="715">
        <f t="shared" si="31"/>
        <v>60915</v>
      </c>
      <c r="S119" s="361">
        <f t="shared" si="22"/>
        <v>488</v>
      </c>
    </row>
    <row r="120" spans="1:19">
      <c r="A120" s="59" t="str">
        <f>'数据-基础表'!AX109</f>
        <v>901-12</v>
      </c>
      <c r="B120" s="59">
        <f>'数据-基础表'!AZ109</f>
        <v>99.64</v>
      </c>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v>9</v>
      </c>
      <c r="Q120" s="24">
        <f t="shared" si="30"/>
        <v>0.98499999999999999</v>
      </c>
      <c r="R120" s="715">
        <f t="shared" si="31"/>
        <v>60915</v>
      </c>
      <c r="S120" s="361">
        <f t="shared" si="22"/>
        <v>607</v>
      </c>
    </row>
    <row r="121" spans="1:19">
      <c r="A121" s="59" t="str">
        <f>'数据-基础表'!AX110</f>
        <v>901-13</v>
      </c>
      <c r="B121" s="59">
        <f>'数据-基础表'!AZ110</f>
        <v>82.89</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v>9</v>
      </c>
      <c r="Q121" s="24">
        <f t="shared" si="30"/>
        <v>0.98499999999999999</v>
      </c>
      <c r="R121" s="715">
        <f t="shared" si="31"/>
        <v>60915</v>
      </c>
      <c r="S121" s="361">
        <f t="shared" si="22"/>
        <v>505</v>
      </c>
    </row>
    <row r="122" spans="1:19">
      <c r="A122" s="59" t="str">
        <f>'数据-基础表'!AX111</f>
        <v>901-14</v>
      </c>
      <c r="B122" s="59">
        <f>'数据-基础表'!AZ111</f>
        <v>75.83</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v>9</v>
      </c>
      <c r="Q122" s="24">
        <f t="shared" si="30"/>
        <v>0.98499999999999999</v>
      </c>
      <c r="R122" s="715">
        <f t="shared" si="31"/>
        <v>60915</v>
      </c>
      <c r="S122" s="361">
        <f t="shared" si="22"/>
        <v>462</v>
      </c>
    </row>
    <row r="123" spans="1:19">
      <c r="A123" s="59" t="str">
        <f>'数据-基础表'!AX112</f>
        <v>1001-1</v>
      </c>
      <c r="B123" s="59">
        <f>'数据-基础表'!AZ112</f>
        <v>88.04</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v>10</v>
      </c>
      <c r="Q123" s="24">
        <f t="shared" si="30"/>
        <v>0.99</v>
      </c>
      <c r="R123" s="715">
        <f t="shared" si="31"/>
        <v>61225</v>
      </c>
      <c r="S123" s="361">
        <f t="shared" ref="S123:S186" si="32">ROUND(R123*B123/10000,0)</f>
        <v>539</v>
      </c>
    </row>
    <row r="124" spans="1:19">
      <c r="A124" s="59" t="str">
        <f>'数据-基础表'!AX113</f>
        <v>1001-2</v>
      </c>
      <c r="B124" s="59">
        <f>'数据-基础表'!AZ113</f>
        <v>80.06</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v>10</v>
      </c>
      <c r="Q124" s="24">
        <f t="shared" si="30"/>
        <v>0.99</v>
      </c>
      <c r="R124" s="715">
        <f t="shared" si="31"/>
        <v>61225</v>
      </c>
      <c r="S124" s="361">
        <f t="shared" si="32"/>
        <v>490</v>
      </c>
    </row>
    <row r="125" spans="1:19">
      <c r="A125" s="59" t="str">
        <f>'数据-基础表'!AX114</f>
        <v>1001-3</v>
      </c>
      <c r="B125" s="59">
        <f>'数据-基础表'!AZ114</f>
        <v>80.06</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v>10</v>
      </c>
      <c r="Q125" s="24">
        <f t="shared" si="30"/>
        <v>0.99</v>
      </c>
      <c r="R125" s="715">
        <f t="shared" si="31"/>
        <v>61225</v>
      </c>
      <c r="S125" s="361">
        <f t="shared" si="32"/>
        <v>490</v>
      </c>
    </row>
    <row r="126" spans="1:19">
      <c r="A126" s="59" t="str">
        <f>'数据-基础表'!AX115</f>
        <v>1001-4</v>
      </c>
      <c r="B126" s="59">
        <f>'数据-基础表'!AZ115</f>
        <v>80.06</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v>10</v>
      </c>
      <c r="Q126" s="24">
        <f t="shared" si="30"/>
        <v>0.99</v>
      </c>
      <c r="R126" s="715">
        <f t="shared" si="31"/>
        <v>61225</v>
      </c>
      <c r="S126" s="361">
        <f t="shared" si="32"/>
        <v>490</v>
      </c>
    </row>
    <row r="127" spans="1:19">
      <c r="A127" s="59" t="str">
        <f>'数据-基础表'!AX116</f>
        <v>1001-5</v>
      </c>
      <c r="B127" s="59">
        <f>'数据-基础表'!AZ116</f>
        <v>99.81</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v>10</v>
      </c>
      <c r="Q127" s="24">
        <f t="shared" si="30"/>
        <v>0.99</v>
      </c>
      <c r="R127" s="715">
        <f t="shared" si="31"/>
        <v>61225</v>
      </c>
      <c r="S127" s="361">
        <f t="shared" si="32"/>
        <v>611</v>
      </c>
    </row>
    <row r="128" spans="1:19">
      <c r="A128" s="59" t="str">
        <f>'数据-基础表'!AX117</f>
        <v>1001-6</v>
      </c>
      <c r="B128" s="59">
        <f>'数据-基础表'!AZ117</f>
        <v>83.28</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v>10</v>
      </c>
      <c r="Q128" s="24">
        <f t="shared" si="30"/>
        <v>0.99</v>
      </c>
      <c r="R128" s="715">
        <f t="shared" si="31"/>
        <v>61225</v>
      </c>
      <c r="S128" s="361">
        <f t="shared" si="32"/>
        <v>510</v>
      </c>
    </row>
    <row r="129" spans="1:19">
      <c r="A129" s="59" t="str">
        <f>'数据-基础表'!AX118</f>
        <v>1001-7</v>
      </c>
      <c r="B129" s="59">
        <f>'数据-基础表'!AZ118</f>
        <v>107.74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v>10</v>
      </c>
      <c r="Q129" s="24">
        <f t="shared" si="30"/>
        <v>0.99</v>
      </c>
      <c r="R129" s="715">
        <f t="shared" si="31"/>
        <v>61225</v>
      </c>
      <c r="S129" s="361">
        <f t="shared" si="32"/>
        <v>660</v>
      </c>
    </row>
    <row r="130" spans="1:19">
      <c r="A130" s="59" t="str">
        <f>'数据-基础表'!AX119</f>
        <v>1001-8</v>
      </c>
      <c r="B130" s="59">
        <f>'数据-基础表'!AZ119</f>
        <v>87.64</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v>10</v>
      </c>
      <c r="Q130" s="24">
        <f t="shared" si="30"/>
        <v>0.99</v>
      </c>
      <c r="R130" s="715">
        <f t="shared" si="31"/>
        <v>61225</v>
      </c>
      <c r="S130" s="361">
        <f t="shared" si="32"/>
        <v>537</v>
      </c>
    </row>
    <row r="131" spans="1:19">
      <c r="A131" s="59" t="str">
        <f>'数据-基础表'!AX120</f>
        <v>1001-9</v>
      </c>
      <c r="B131" s="59">
        <f>'数据-基础表'!AZ120</f>
        <v>80.06</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v>10</v>
      </c>
      <c r="Q131" s="24">
        <f t="shared" si="30"/>
        <v>0.99</v>
      </c>
      <c r="R131" s="715">
        <f t="shared" si="31"/>
        <v>61225</v>
      </c>
      <c r="S131" s="361">
        <f t="shared" si="32"/>
        <v>490</v>
      </c>
    </row>
    <row r="132" spans="1:19">
      <c r="A132" s="59" t="str">
        <f>'数据-基础表'!AX121</f>
        <v>1001-10</v>
      </c>
      <c r="B132" s="59">
        <f>'数据-基础表'!AZ121</f>
        <v>80.06</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v>10</v>
      </c>
      <c r="Q132" s="24">
        <f t="shared" si="30"/>
        <v>0.99</v>
      </c>
      <c r="R132" s="715">
        <f t="shared" si="31"/>
        <v>61225</v>
      </c>
      <c r="S132" s="361">
        <f t="shared" si="32"/>
        <v>490</v>
      </c>
    </row>
    <row r="133" spans="1:19">
      <c r="A133" s="59" t="str">
        <f>'数据-基础表'!AX122</f>
        <v>1001-11</v>
      </c>
      <c r="B133" s="59">
        <f>'数据-基础表'!AZ122</f>
        <v>80.06</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v>10</v>
      </c>
      <c r="Q133" s="24">
        <f t="shared" si="30"/>
        <v>0.99</v>
      </c>
      <c r="R133" s="715">
        <f t="shared" si="31"/>
        <v>61225</v>
      </c>
      <c r="S133" s="361">
        <f t="shared" si="32"/>
        <v>490</v>
      </c>
    </row>
    <row r="134" spans="1:19">
      <c r="A134" s="59" t="str">
        <f>'数据-基础表'!AX123</f>
        <v>1001-12</v>
      </c>
      <c r="B134" s="59">
        <f>'数据-基础表'!AZ123</f>
        <v>99.64</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v>10</v>
      </c>
      <c r="Q134" s="24">
        <f t="shared" si="30"/>
        <v>0.99</v>
      </c>
      <c r="R134" s="715">
        <f t="shared" si="31"/>
        <v>61225</v>
      </c>
      <c r="S134" s="361">
        <f t="shared" si="32"/>
        <v>610</v>
      </c>
    </row>
    <row r="135" spans="1:19">
      <c r="A135" s="59" t="str">
        <f>'数据-基础表'!AX124</f>
        <v>1001-13</v>
      </c>
      <c r="B135" s="59">
        <f>'数据-基础表'!AZ124</f>
        <v>82.89</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v>10</v>
      </c>
      <c r="Q135" s="24">
        <f t="shared" si="30"/>
        <v>0.99</v>
      </c>
      <c r="R135" s="715">
        <f t="shared" si="31"/>
        <v>61225</v>
      </c>
      <c r="S135" s="361">
        <f t="shared" si="32"/>
        <v>507</v>
      </c>
    </row>
    <row r="136" spans="1:19">
      <c r="A136" s="59" t="str">
        <f>'数据-基础表'!AX125</f>
        <v>1001-14</v>
      </c>
      <c r="B136" s="59">
        <f>'数据-基础表'!AZ125</f>
        <v>75.83</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v>10</v>
      </c>
      <c r="Q136" s="24">
        <f t="shared" si="30"/>
        <v>0.99</v>
      </c>
      <c r="R136" s="715">
        <f t="shared" si="31"/>
        <v>61225</v>
      </c>
      <c r="S136" s="361">
        <f t="shared" si="32"/>
        <v>464</v>
      </c>
    </row>
    <row r="137" spans="1:19">
      <c r="A137" s="59" t="str">
        <f>'数据-基础表'!AX126</f>
        <v>1101-1</v>
      </c>
      <c r="B137" s="59">
        <f>'数据-基础表'!AZ126</f>
        <v>88.04</v>
      </c>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v>11</v>
      </c>
      <c r="Q137" s="24">
        <f t="shared" si="30"/>
        <v>0.995</v>
      </c>
      <c r="R137" s="715">
        <f t="shared" si="31"/>
        <v>61534</v>
      </c>
      <c r="S137" s="361">
        <f t="shared" si="32"/>
        <v>542</v>
      </c>
    </row>
    <row r="138" spans="1:19">
      <c r="A138" s="59" t="str">
        <f>'数据-基础表'!AX127</f>
        <v>1101-2</v>
      </c>
      <c r="B138" s="59">
        <f>'数据-基础表'!AZ127</f>
        <v>80.06</v>
      </c>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v>11</v>
      </c>
      <c r="Q138" s="24">
        <f t="shared" si="30"/>
        <v>0.995</v>
      </c>
      <c r="R138" s="715">
        <f t="shared" si="31"/>
        <v>61534</v>
      </c>
      <c r="S138" s="361">
        <f t="shared" si="32"/>
        <v>493</v>
      </c>
    </row>
    <row r="139" spans="1:19">
      <c r="A139" s="59" t="str">
        <f>'数据-基础表'!AX128</f>
        <v>1101-3</v>
      </c>
      <c r="B139" s="59">
        <f>'数据-基础表'!AZ128</f>
        <v>80.06</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v>11</v>
      </c>
      <c r="Q139" s="24">
        <f t="shared" si="30"/>
        <v>0.995</v>
      </c>
      <c r="R139" s="715">
        <f t="shared" si="31"/>
        <v>61534</v>
      </c>
      <c r="S139" s="361">
        <f t="shared" si="32"/>
        <v>493</v>
      </c>
    </row>
    <row r="140" spans="1:19">
      <c r="A140" s="59" t="str">
        <f>'数据-基础表'!AX129</f>
        <v>1101-4</v>
      </c>
      <c r="B140" s="59">
        <f>'数据-基础表'!AZ129</f>
        <v>80.06</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v>11</v>
      </c>
      <c r="Q140" s="24">
        <f t="shared" si="30"/>
        <v>0.995</v>
      </c>
      <c r="R140" s="715">
        <f t="shared" si="31"/>
        <v>61534</v>
      </c>
      <c r="S140" s="361">
        <f t="shared" si="32"/>
        <v>493</v>
      </c>
    </row>
    <row r="141" spans="1:19">
      <c r="A141" s="59" t="str">
        <f>'数据-基础表'!AX130</f>
        <v>1101-5</v>
      </c>
      <c r="B141" s="59">
        <f>'数据-基础表'!AZ130</f>
        <v>99.81</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v>11</v>
      </c>
      <c r="Q141" s="24">
        <f t="shared" si="30"/>
        <v>0.995</v>
      </c>
      <c r="R141" s="715">
        <f t="shared" si="31"/>
        <v>61534</v>
      </c>
      <c r="S141" s="361">
        <f t="shared" si="32"/>
        <v>614</v>
      </c>
    </row>
    <row r="142" spans="1:19">
      <c r="A142" s="59" t="str">
        <f>'数据-基础表'!AX131</f>
        <v>1101-6</v>
      </c>
      <c r="B142" s="59">
        <f>'数据-基础表'!AZ131</f>
        <v>83.28</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v>11</v>
      </c>
      <c r="Q142" s="24">
        <f t="shared" si="30"/>
        <v>0.995</v>
      </c>
      <c r="R142" s="715">
        <f t="shared" si="31"/>
        <v>61534</v>
      </c>
      <c r="S142" s="361">
        <f t="shared" si="32"/>
        <v>512</v>
      </c>
    </row>
    <row r="143" spans="1:19">
      <c r="A143" s="59" t="str">
        <f>'数据-基础表'!AX132</f>
        <v>1101-7</v>
      </c>
      <c r="B143" s="59">
        <f>'数据-基础表'!AZ132</f>
        <v>107.74</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v>11</v>
      </c>
      <c r="Q143" s="24">
        <f t="shared" si="30"/>
        <v>0.995</v>
      </c>
      <c r="R143" s="715">
        <f t="shared" si="31"/>
        <v>61534</v>
      </c>
      <c r="S143" s="361">
        <f t="shared" si="32"/>
        <v>663</v>
      </c>
    </row>
    <row r="144" spans="1:19">
      <c r="A144" s="59" t="str">
        <f>'数据-基础表'!AX133</f>
        <v>1101-8</v>
      </c>
      <c r="B144" s="59">
        <f>'数据-基础表'!AZ133</f>
        <v>87.64</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v>11</v>
      </c>
      <c r="Q144" s="24">
        <f t="shared" si="30"/>
        <v>0.995</v>
      </c>
      <c r="R144" s="715">
        <f t="shared" si="31"/>
        <v>61534</v>
      </c>
      <c r="S144" s="361">
        <f t="shared" si="32"/>
        <v>539</v>
      </c>
    </row>
    <row r="145" spans="1:20">
      <c r="A145" s="59" t="str">
        <f>'数据-基础表'!AX134</f>
        <v>1101-9</v>
      </c>
      <c r="B145" s="59">
        <f>'数据-基础表'!AZ134</f>
        <v>80.06</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v>11</v>
      </c>
      <c r="Q145" s="24">
        <f t="shared" si="30"/>
        <v>0.995</v>
      </c>
      <c r="R145" s="715">
        <f t="shared" si="31"/>
        <v>61534</v>
      </c>
      <c r="S145" s="361">
        <f t="shared" si="32"/>
        <v>493</v>
      </c>
    </row>
    <row r="146" spans="1:20">
      <c r="A146" s="59" t="str">
        <f>'数据-基础表'!AX135</f>
        <v>1101-10</v>
      </c>
      <c r="B146" s="59">
        <f>'数据-基础表'!AZ135</f>
        <v>80.06</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v>11</v>
      </c>
      <c r="Q146" s="24">
        <f t="shared" si="30"/>
        <v>0.995</v>
      </c>
      <c r="R146" s="715">
        <f t="shared" si="31"/>
        <v>61534</v>
      </c>
      <c r="S146" s="361">
        <f t="shared" si="32"/>
        <v>493</v>
      </c>
    </row>
    <row r="147" spans="1:20">
      <c r="A147" s="59" t="str">
        <f>'数据-基础表'!AX136</f>
        <v>1101-11</v>
      </c>
      <c r="B147" s="59">
        <f>'数据-基础表'!AZ136</f>
        <v>80.06</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v>11</v>
      </c>
      <c r="Q147" s="24">
        <f t="shared" si="30"/>
        <v>0.995</v>
      </c>
      <c r="R147" s="715">
        <f t="shared" si="31"/>
        <v>61534</v>
      </c>
      <c r="S147" s="361">
        <f t="shared" si="32"/>
        <v>493</v>
      </c>
    </row>
    <row r="148" spans="1:20">
      <c r="A148" s="59" t="str">
        <f>'数据-基础表'!AX137</f>
        <v>1101-12</v>
      </c>
      <c r="B148" s="59">
        <f>'数据-基础表'!AZ137</f>
        <v>99.64</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v>11</v>
      </c>
      <c r="Q148" s="24">
        <f t="shared" si="30"/>
        <v>0.995</v>
      </c>
      <c r="R148" s="715">
        <f t="shared" si="31"/>
        <v>61534</v>
      </c>
      <c r="S148" s="361">
        <f t="shared" si="32"/>
        <v>613</v>
      </c>
    </row>
    <row r="149" spans="1:20">
      <c r="A149" s="59" t="str">
        <f>'数据-基础表'!AX138</f>
        <v>1101-13</v>
      </c>
      <c r="B149" s="59">
        <f>'数据-基础表'!AZ138</f>
        <v>82.89</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v>11</v>
      </c>
      <c r="Q149" s="24">
        <f t="shared" si="30"/>
        <v>0.995</v>
      </c>
      <c r="R149" s="715">
        <f t="shared" si="31"/>
        <v>61534</v>
      </c>
      <c r="S149" s="361">
        <f t="shared" si="32"/>
        <v>510</v>
      </c>
    </row>
    <row r="150" spans="1:20">
      <c r="A150" s="59" t="str">
        <f>'数据-基础表'!AX139</f>
        <v>1101-14</v>
      </c>
      <c r="B150" s="59">
        <f>'数据-基础表'!AZ139</f>
        <v>75.83</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v>11</v>
      </c>
      <c r="Q150" s="24">
        <f t="shared" si="30"/>
        <v>0.995</v>
      </c>
      <c r="R150" s="715">
        <f t="shared" si="31"/>
        <v>61534</v>
      </c>
      <c r="S150" s="361">
        <f t="shared" si="32"/>
        <v>467</v>
      </c>
    </row>
    <row r="151" spans="1:20" s="138" customFormat="1">
      <c r="A151" s="3005"/>
      <c r="B151" s="3005"/>
      <c r="C151" s="24">
        <f t="shared" si="23"/>
        <v>1</v>
      </c>
      <c r="D151" s="3006"/>
      <c r="E151" s="24">
        <f t="shared" si="24"/>
        <v>1</v>
      </c>
      <c r="F151" s="3006"/>
      <c r="G151" s="24">
        <f t="shared" si="25"/>
        <v>1</v>
      </c>
      <c r="H151" s="3006"/>
      <c r="I151" s="24">
        <f t="shared" si="26"/>
        <v>1</v>
      </c>
      <c r="J151" s="3006"/>
      <c r="K151" s="24">
        <f t="shared" si="27"/>
        <v>1</v>
      </c>
      <c r="L151" s="3006"/>
      <c r="M151" s="24">
        <f t="shared" si="28"/>
        <v>1</v>
      </c>
      <c r="N151" s="3006"/>
      <c r="O151" s="24">
        <f t="shared" si="29"/>
        <v>1</v>
      </c>
      <c r="P151" s="3006"/>
      <c r="Q151" s="24">
        <f t="shared" si="30"/>
        <v>-4.4999999999999998E-2</v>
      </c>
      <c r="R151" s="715">
        <f t="shared" si="31"/>
        <v>0</v>
      </c>
      <c r="S151" s="361">
        <f t="shared" si="32"/>
        <v>0</v>
      </c>
      <c r="T151" s="3007" t="s">
        <v>3603</v>
      </c>
    </row>
    <row r="152" spans="1:20">
      <c r="A152" s="59" t="str">
        <f>'数据-基础表'!AX141</f>
        <v>1201-2</v>
      </c>
      <c r="B152" s="59">
        <f>'数据-基础表'!AZ141</f>
        <v>80.06</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v>12</v>
      </c>
      <c r="Q152" s="24">
        <f t="shared" si="30"/>
        <v>1</v>
      </c>
      <c r="R152" s="715">
        <f t="shared" si="31"/>
        <v>61843</v>
      </c>
      <c r="S152" s="361">
        <f t="shared" si="32"/>
        <v>495</v>
      </c>
    </row>
    <row r="153" spans="1:20">
      <c r="A153" s="59" t="str">
        <f>'数据-基础表'!AX142</f>
        <v>1201-3</v>
      </c>
      <c r="B153" s="59">
        <f>'数据-基础表'!AZ142</f>
        <v>80.06</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v>12</v>
      </c>
      <c r="Q153" s="24">
        <f t="shared" si="30"/>
        <v>1</v>
      </c>
      <c r="R153" s="715">
        <f t="shared" si="31"/>
        <v>61843</v>
      </c>
      <c r="S153" s="361">
        <f t="shared" si="32"/>
        <v>495</v>
      </c>
    </row>
    <row r="154" spans="1:20">
      <c r="A154" s="59" t="str">
        <f>'数据-基础表'!AX143</f>
        <v>1201-4</v>
      </c>
      <c r="B154" s="59">
        <f>'数据-基础表'!AZ143</f>
        <v>80.06</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v>12</v>
      </c>
      <c r="Q154" s="24">
        <f t="shared" ref="Q154:Q217" si="40">(SUMIF($17:$17,P154,$18:$18)-SUMIF($17:$17,$P$24,$18:$18)+100)/100</f>
        <v>1</v>
      </c>
      <c r="R154" s="715">
        <f t="shared" ref="R154:R217" si="41">IF(B154="",0,ROUND($R$24*C154*E154*G154*I154*K154*M154*O154*Q154,0))</f>
        <v>61843</v>
      </c>
      <c r="S154" s="361">
        <f t="shared" si="32"/>
        <v>495</v>
      </c>
    </row>
    <row r="155" spans="1:20">
      <c r="A155" s="59" t="str">
        <f>'数据-基础表'!AX144</f>
        <v>1201-5</v>
      </c>
      <c r="B155" s="59">
        <f>'数据-基础表'!AZ144</f>
        <v>99.81</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v>12</v>
      </c>
      <c r="Q155" s="24">
        <f t="shared" si="40"/>
        <v>1</v>
      </c>
      <c r="R155" s="715">
        <f t="shared" si="41"/>
        <v>61843</v>
      </c>
      <c r="S155" s="361">
        <f t="shared" si="32"/>
        <v>617</v>
      </c>
    </row>
    <row r="156" spans="1:20">
      <c r="A156" s="59" t="str">
        <f>'数据-基础表'!AX145</f>
        <v>1201-6</v>
      </c>
      <c r="B156" s="59">
        <f>'数据-基础表'!AZ145</f>
        <v>83.28</v>
      </c>
      <c r="C156" s="24">
        <f t="shared" si="33"/>
        <v>1</v>
      </c>
      <c r="D156" s="719"/>
      <c r="E156" s="24">
        <f t="shared" si="34"/>
        <v>1</v>
      </c>
      <c r="F156" s="719" t="s">
        <v>3567</v>
      </c>
      <c r="G156" s="24">
        <f t="shared" si="35"/>
        <v>2</v>
      </c>
      <c r="H156" s="719"/>
      <c r="I156" s="24">
        <f t="shared" si="36"/>
        <v>1</v>
      </c>
      <c r="J156" s="719"/>
      <c r="K156" s="24">
        <f t="shared" si="37"/>
        <v>1</v>
      </c>
      <c r="L156" s="719"/>
      <c r="M156" s="24">
        <f t="shared" si="38"/>
        <v>1</v>
      </c>
      <c r="N156" s="719"/>
      <c r="O156" s="24">
        <f t="shared" si="39"/>
        <v>1</v>
      </c>
      <c r="P156" s="719">
        <v>12</v>
      </c>
      <c r="Q156" s="24">
        <f t="shared" si="40"/>
        <v>1</v>
      </c>
      <c r="R156" s="715">
        <f t="shared" si="41"/>
        <v>123686</v>
      </c>
      <c r="S156" s="361">
        <f t="shared" si="32"/>
        <v>1030</v>
      </c>
    </row>
    <row r="157" spans="1:20">
      <c r="A157" s="59" t="str">
        <f>'数据-基础表'!AX146</f>
        <v>1201-7</v>
      </c>
      <c r="B157" s="59">
        <f>'数据-基础表'!AZ146</f>
        <v>107.74</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v>12</v>
      </c>
      <c r="Q157" s="24">
        <f t="shared" si="40"/>
        <v>1</v>
      </c>
      <c r="R157" s="715">
        <f t="shared" si="41"/>
        <v>61843</v>
      </c>
      <c r="S157" s="361">
        <f t="shared" si="32"/>
        <v>666</v>
      </c>
    </row>
    <row r="158" spans="1:20">
      <c r="A158" s="59" t="str">
        <f>'数据-基础表'!AX147</f>
        <v>1201-8</v>
      </c>
      <c r="B158" s="59">
        <f>'数据-基础表'!AZ147</f>
        <v>87.64</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v>12</v>
      </c>
      <c r="Q158" s="24">
        <f t="shared" si="40"/>
        <v>1</v>
      </c>
      <c r="R158" s="715">
        <f t="shared" si="41"/>
        <v>61843</v>
      </c>
      <c r="S158" s="361">
        <f t="shared" si="32"/>
        <v>542</v>
      </c>
    </row>
    <row r="159" spans="1:20">
      <c r="A159" s="59" t="str">
        <f>'数据-基础表'!AX148</f>
        <v>1201-9</v>
      </c>
      <c r="B159" s="59">
        <f>'数据-基础表'!AZ148</f>
        <v>80.06</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v>12</v>
      </c>
      <c r="Q159" s="24">
        <f t="shared" si="40"/>
        <v>1</v>
      </c>
      <c r="R159" s="715">
        <f t="shared" si="41"/>
        <v>61843</v>
      </c>
      <c r="S159" s="361">
        <f t="shared" si="32"/>
        <v>495</v>
      </c>
    </row>
    <row r="160" spans="1:20">
      <c r="A160" s="59" t="str">
        <f>'数据-基础表'!AX149</f>
        <v>1201-10</v>
      </c>
      <c r="B160" s="59">
        <f>'数据-基础表'!AZ149</f>
        <v>80.06</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v>12</v>
      </c>
      <c r="Q160" s="24">
        <f t="shared" si="40"/>
        <v>1</v>
      </c>
      <c r="R160" s="715">
        <f t="shared" si="41"/>
        <v>61843</v>
      </c>
      <c r="S160" s="361">
        <f t="shared" si="32"/>
        <v>495</v>
      </c>
    </row>
    <row r="161" spans="1:19">
      <c r="A161" s="59" t="str">
        <f>'数据-基础表'!AX150</f>
        <v>1201-11</v>
      </c>
      <c r="B161" s="59">
        <f>'数据-基础表'!AZ150</f>
        <v>80.06</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v>12</v>
      </c>
      <c r="Q161" s="24">
        <f t="shared" si="40"/>
        <v>1</v>
      </c>
      <c r="R161" s="715">
        <f t="shared" si="41"/>
        <v>61843</v>
      </c>
      <c r="S161" s="361">
        <f t="shared" si="32"/>
        <v>495</v>
      </c>
    </row>
    <row r="162" spans="1:19">
      <c r="A162" s="59" t="str">
        <f>'数据-基础表'!AX151</f>
        <v>1201-12</v>
      </c>
      <c r="B162" s="59">
        <f>'数据-基础表'!AZ151</f>
        <v>99.64</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v>12</v>
      </c>
      <c r="Q162" s="24">
        <f t="shared" si="40"/>
        <v>1</v>
      </c>
      <c r="R162" s="715">
        <f t="shared" si="41"/>
        <v>61843</v>
      </c>
      <c r="S162" s="361">
        <f t="shared" si="32"/>
        <v>616</v>
      </c>
    </row>
    <row r="163" spans="1:19">
      <c r="A163" s="59" t="str">
        <f>'数据-基础表'!AX152</f>
        <v>1201-13</v>
      </c>
      <c r="B163" s="59">
        <f>'数据-基础表'!AZ152</f>
        <v>82.89</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v>12</v>
      </c>
      <c r="Q163" s="24">
        <f t="shared" si="40"/>
        <v>1</v>
      </c>
      <c r="R163" s="715">
        <f t="shared" si="41"/>
        <v>61843</v>
      </c>
      <c r="S163" s="361">
        <f t="shared" si="32"/>
        <v>513</v>
      </c>
    </row>
    <row r="164" spans="1:19">
      <c r="A164" s="59" t="str">
        <f>'数据-基础表'!AX153</f>
        <v>1201-14</v>
      </c>
      <c r="B164" s="59">
        <f>'数据-基础表'!AZ153</f>
        <v>75.83</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v>12</v>
      </c>
      <c r="Q164" s="24">
        <f t="shared" si="40"/>
        <v>1</v>
      </c>
      <c r="R164" s="715">
        <f t="shared" si="41"/>
        <v>61843</v>
      </c>
      <c r="S164" s="361">
        <f t="shared" si="32"/>
        <v>469</v>
      </c>
    </row>
    <row r="165" spans="1:19">
      <c r="A165" s="59" t="str">
        <f>'数据-基础表'!AX154</f>
        <v>1301-1</v>
      </c>
      <c r="B165" s="59">
        <f>'数据-基础表'!AZ154</f>
        <v>88.04</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v>13</v>
      </c>
      <c r="Q165" s="24">
        <f t="shared" si="40"/>
        <v>1.0049999999999999</v>
      </c>
      <c r="R165" s="715">
        <f t="shared" si="41"/>
        <v>62152</v>
      </c>
      <c r="S165" s="361">
        <f t="shared" si="32"/>
        <v>547</v>
      </c>
    </row>
    <row r="166" spans="1:19">
      <c r="A166" s="59" t="str">
        <f>'数据-基础表'!AX155</f>
        <v>1301-2</v>
      </c>
      <c r="B166" s="59">
        <f>'数据-基础表'!AZ155</f>
        <v>80.06</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v>13</v>
      </c>
      <c r="Q166" s="24">
        <f t="shared" si="40"/>
        <v>1.0049999999999999</v>
      </c>
      <c r="R166" s="715">
        <f t="shared" si="41"/>
        <v>62152</v>
      </c>
      <c r="S166" s="361">
        <f t="shared" si="32"/>
        <v>498</v>
      </c>
    </row>
    <row r="167" spans="1:19">
      <c r="A167" s="59" t="str">
        <f>'数据-基础表'!AX156</f>
        <v>1301-3</v>
      </c>
      <c r="B167" s="59">
        <f>'数据-基础表'!AZ156</f>
        <v>80.06</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v>13</v>
      </c>
      <c r="Q167" s="24">
        <f t="shared" si="40"/>
        <v>1.0049999999999999</v>
      </c>
      <c r="R167" s="715">
        <f t="shared" si="41"/>
        <v>62152</v>
      </c>
      <c r="S167" s="361">
        <f t="shared" si="32"/>
        <v>498</v>
      </c>
    </row>
    <row r="168" spans="1:19">
      <c r="A168" s="59" t="str">
        <f>'数据-基础表'!AX157</f>
        <v>1301-4</v>
      </c>
      <c r="B168" s="59">
        <f>'数据-基础表'!AZ157</f>
        <v>80.06</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v>13</v>
      </c>
      <c r="Q168" s="24">
        <f t="shared" si="40"/>
        <v>1.0049999999999999</v>
      </c>
      <c r="R168" s="715">
        <f t="shared" si="41"/>
        <v>62152</v>
      </c>
      <c r="S168" s="361">
        <f t="shared" si="32"/>
        <v>498</v>
      </c>
    </row>
    <row r="169" spans="1:19">
      <c r="A169" s="59" t="str">
        <f>'数据-基础表'!AX158</f>
        <v>1301-5</v>
      </c>
      <c r="B169" s="59">
        <f>'数据-基础表'!AZ158</f>
        <v>99.81</v>
      </c>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v>13</v>
      </c>
      <c r="Q169" s="24">
        <f t="shared" si="40"/>
        <v>1.0049999999999999</v>
      </c>
      <c r="R169" s="715">
        <f t="shared" si="41"/>
        <v>62152</v>
      </c>
      <c r="S169" s="361">
        <f t="shared" si="32"/>
        <v>620</v>
      </c>
    </row>
    <row r="170" spans="1:19">
      <c r="A170" s="59" t="str">
        <f>'数据-基础表'!AX159</f>
        <v>1301-6</v>
      </c>
      <c r="B170" s="59">
        <f>'数据-基础表'!AZ159</f>
        <v>83.28</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v>13</v>
      </c>
      <c r="Q170" s="24">
        <f t="shared" si="40"/>
        <v>1.0049999999999999</v>
      </c>
      <c r="R170" s="715">
        <f t="shared" si="41"/>
        <v>62152</v>
      </c>
      <c r="S170" s="361">
        <f t="shared" si="32"/>
        <v>518</v>
      </c>
    </row>
    <row r="171" spans="1:19">
      <c r="A171" s="59" t="str">
        <f>'数据-基础表'!AX160</f>
        <v>1301-7</v>
      </c>
      <c r="B171" s="59">
        <f>'数据-基础表'!AZ160</f>
        <v>107.74</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v>13</v>
      </c>
      <c r="Q171" s="24">
        <f t="shared" si="40"/>
        <v>1.0049999999999999</v>
      </c>
      <c r="R171" s="715">
        <f t="shared" si="41"/>
        <v>62152</v>
      </c>
      <c r="S171" s="361">
        <f t="shared" si="32"/>
        <v>670</v>
      </c>
    </row>
    <row r="172" spans="1:19">
      <c r="A172" s="59" t="str">
        <f>'数据-基础表'!AX161</f>
        <v>1301-8</v>
      </c>
      <c r="B172" s="59">
        <f>'数据-基础表'!AZ161</f>
        <v>87.64</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v>13</v>
      </c>
      <c r="Q172" s="24">
        <f t="shared" si="40"/>
        <v>1.0049999999999999</v>
      </c>
      <c r="R172" s="715">
        <f t="shared" si="41"/>
        <v>62152</v>
      </c>
      <c r="S172" s="361">
        <f t="shared" si="32"/>
        <v>545</v>
      </c>
    </row>
    <row r="173" spans="1:19">
      <c r="A173" s="59" t="str">
        <f>'数据-基础表'!AX162</f>
        <v>1301-9</v>
      </c>
      <c r="B173" s="59">
        <f>'数据-基础表'!AZ162</f>
        <v>80.06</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v>13</v>
      </c>
      <c r="Q173" s="24">
        <f t="shared" si="40"/>
        <v>1.0049999999999999</v>
      </c>
      <c r="R173" s="715">
        <f t="shared" si="41"/>
        <v>62152</v>
      </c>
      <c r="S173" s="361">
        <f t="shared" si="32"/>
        <v>498</v>
      </c>
    </row>
    <row r="174" spans="1:19">
      <c r="A174" s="59" t="str">
        <f>'数据-基础表'!AX163</f>
        <v>1301-10</v>
      </c>
      <c r="B174" s="59">
        <f>'数据-基础表'!AZ163</f>
        <v>80.06</v>
      </c>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v>13</v>
      </c>
      <c r="Q174" s="24">
        <f t="shared" si="40"/>
        <v>1.0049999999999999</v>
      </c>
      <c r="R174" s="715">
        <f t="shared" si="41"/>
        <v>62152</v>
      </c>
      <c r="S174" s="361">
        <f t="shared" si="32"/>
        <v>498</v>
      </c>
    </row>
    <row r="175" spans="1:19">
      <c r="A175" s="59" t="str">
        <f>'数据-基础表'!AX164</f>
        <v>1301-11</v>
      </c>
      <c r="B175" s="59">
        <f>'数据-基础表'!AZ164</f>
        <v>80.06</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v>13</v>
      </c>
      <c r="Q175" s="24">
        <f t="shared" si="40"/>
        <v>1.0049999999999999</v>
      </c>
      <c r="R175" s="715">
        <f t="shared" si="41"/>
        <v>62152</v>
      </c>
      <c r="S175" s="361">
        <f t="shared" si="32"/>
        <v>498</v>
      </c>
    </row>
    <row r="176" spans="1:19">
      <c r="A176" s="59" t="str">
        <f>'数据-基础表'!AX165</f>
        <v>1301-12</v>
      </c>
      <c r="B176" s="59">
        <f>'数据-基础表'!AZ165</f>
        <v>99.64</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v>13</v>
      </c>
      <c r="Q176" s="24">
        <f t="shared" si="40"/>
        <v>1.0049999999999999</v>
      </c>
      <c r="R176" s="715">
        <f t="shared" si="41"/>
        <v>62152</v>
      </c>
      <c r="S176" s="361">
        <f t="shared" si="32"/>
        <v>619</v>
      </c>
    </row>
    <row r="177" spans="1:19">
      <c r="A177" s="59" t="str">
        <f>'数据-基础表'!AX166</f>
        <v>1301-13</v>
      </c>
      <c r="B177" s="59">
        <f>'数据-基础表'!AZ166</f>
        <v>82.89</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v>13</v>
      </c>
      <c r="Q177" s="24">
        <f t="shared" si="40"/>
        <v>1.0049999999999999</v>
      </c>
      <c r="R177" s="715">
        <f t="shared" si="41"/>
        <v>62152</v>
      </c>
      <c r="S177" s="361">
        <f t="shared" si="32"/>
        <v>515</v>
      </c>
    </row>
    <row r="178" spans="1:19">
      <c r="A178" s="59" t="str">
        <f>'数据-基础表'!AX167</f>
        <v>1301-14</v>
      </c>
      <c r="B178" s="59">
        <f>'数据-基础表'!AZ167</f>
        <v>75.83</v>
      </c>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v>13</v>
      </c>
      <c r="Q178" s="24">
        <f t="shared" si="40"/>
        <v>1.0049999999999999</v>
      </c>
      <c r="R178" s="715">
        <f t="shared" si="41"/>
        <v>62152</v>
      </c>
      <c r="S178" s="361">
        <f t="shared" si="32"/>
        <v>471</v>
      </c>
    </row>
    <row r="179" spans="1:19">
      <c r="A179" s="59" t="str">
        <f>'数据-基础表'!AX168</f>
        <v>1401-1</v>
      </c>
      <c r="B179" s="59">
        <f>'数据-基础表'!AZ168</f>
        <v>168.13</v>
      </c>
      <c r="C179" s="24">
        <f t="shared" si="33"/>
        <v>0.98</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v>14</v>
      </c>
      <c r="Q179" s="24">
        <f t="shared" si="40"/>
        <v>1.01</v>
      </c>
      <c r="R179" s="715">
        <f t="shared" si="41"/>
        <v>61212</v>
      </c>
      <c r="S179" s="361">
        <f t="shared" si="32"/>
        <v>1029</v>
      </c>
    </row>
    <row r="180" spans="1:19">
      <c r="A180" s="59" t="str">
        <f>'数据-基础表'!AX169</f>
        <v>1401-2</v>
      </c>
      <c r="B180" s="59">
        <f>'数据-基础表'!AZ169</f>
        <v>160.12</v>
      </c>
      <c r="C180" s="24">
        <f t="shared" si="33"/>
        <v>0.98</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v>14</v>
      </c>
      <c r="Q180" s="24">
        <f t="shared" si="40"/>
        <v>1.01</v>
      </c>
      <c r="R180" s="715">
        <f t="shared" si="41"/>
        <v>61212</v>
      </c>
      <c r="S180" s="361">
        <f t="shared" si="32"/>
        <v>980</v>
      </c>
    </row>
    <row r="181" spans="1:19">
      <c r="A181" s="59" t="str">
        <f>'数据-基础表'!AX170</f>
        <v>1401-3</v>
      </c>
      <c r="B181" s="59">
        <f>'数据-基础表'!AZ170</f>
        <v>186.4</v>
      </c>
      <c r="C181" s="24">
        <f t="shared" si="33"/>
        <v>0.98</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v>14</v>
      </c>
      <c r="Q181" s="24">
        <f t="shared" si="40"/>
        <v>1.01</v>
      </c>
      <c r="R181" s="715">
        <f t="shared" si="41"/>
        <v>61212</v>
      </c>
      <c r="S181" s="361">
        <f t="shared" si="32"/>
        <v>1141</v>
      </c>
    </row>
    <row r="182" spans="1:19">
      <c r="A182" s="59" t="str">
        <f>'数据-基础表'!AX171</f>
        <v>1401-4</v>
      </c>
      <c r="B182" s="59">
        <f>'数据-基础表'!AZ171</f>
        <v>107.51</v>
      </c>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v>14</v>
      </c>
      <c r="Q182" s="24">
        <f t="shared" si="40"/>
        <v>1.01</v>
      </c>
      <c r="R182" s="715">
        <f t="shared" si="41"/>
        <v>62461</v>
      </c>
      <c r="S182" s="361">
        <f t="shared" si="32"/>
        <v>672</v>
      </c>
    </row>
    <row r="183" spans="1:19">
      <c r="A183" s="59" t="str">
        <f>'数据-基础表'!AX172</f>
        <v>1401-5</v>
      </c>
      <c r="B183" s="59">
        <f>'数据-基础表'!AZ172</f>
        <v>167.7</v>
      </c>
      <c r="C183" s="24">
        <f t="shared" si="33"/>
        <v>0.98</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v>14</v>
      </c>
      <c r="Q183" s="24">
        <f t="shared" si="40"/>
        <v>1.01</v>
      </c>
      <c r="R183" s="715">
        <f t="shared" si="41"/>
        <v>61212</v>
      </c>
      <c r="S183" s="361">
        <f t="shared" si="32"/>
        <v>1027</v>
      </c>
    </row>
    <row r="184" spans="1:19">
      <c r="A184" s="59" t="str">
        <f>'数据-基础表'!AX173</f>
        <v>1401-6</v>
      </c>
      <c r="B184" s="59">
        <f>'数据-基础表'!AZ173</f>
        <v>159.72999999999999</v>
      </c>
      <c r="C184" s="24">
        <f t="shared" si="33"/>
        <v>0.98</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v>14</v>
      </c>
      <c r="Q184" s="24">
        <f t="shared" si="40"/>
        <v>1.01</v>
      </c>
      <c r="R184" s="715">
        <f t="shared" si="41"/>
        <v>61212</v>
      </c>
      <c r="S184" s="361">
        <f t="shared" si="32"/>
        <v>978</v>
      </c>
    </row>
    <row r="185" spans="1:19">
      <c r="A185" s="59" t="str">
        <f>'数据-基础表'!AX174</f>
        <v>1401-7</v>
      </c>
      <c r="B185" s="59">
        <f>'数据-基础表'!AZ174</f>
        <v>186.21</v>
      </c>
      <c r="C185" s="24">
        <f t="shared" si="33"/>
        <v>0.98</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v>14</v>
      </c>
      <c r="Q185" s="24">
        <f t="shared" si="40"/>
        <v>1.01</v>
      </c>
      <c r="R185" s="715">
        <f t="shared" si="41"/>
        <v>61212</v>
      </c>
      <c r="S185" s="361">
        <f t="shared" si="32"/>
        <v>1140</v>
      </c>
    </row>
    <row r="186" spans="1:19">
      <c r="A186" s="59" t="str">
        <f>'数据-基础表'!AX175</f>
        <v>1401-8</v>
      </c>
      <c r="B186" s="59">
        <f>'数据-基础表'!AZ175</f>
        <v>75.84</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v>14</v>
      </c>
      <c r="Q186" s="24">
        <f t="shared" si="40"/>
        <v>1.01</v>
      </c>
      <c r="R186" s="715">
        <f t="shared" si="41"/>
        <v>62461</v>
      </c>
      <c r="S186" s="361">
        <f t="shared" si="32"/>
        <v>474</v>
      </c>
    </row>
    <row r="187" spans="1:19">
      <c r="A187" s="59" t="str">
        <f>'数据-基础表'!AX176</f>
        <v>1501-1</v>
      </c>
      <c r="B187" s="59">
        <f>'数据-基础表'!AZ176</f>
        <v>168.13</v>
      </c>
      <c r="C187" s="24">
        <f t="shared" si="33"/>
        <v>0.98</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v>15</v>
      </c>
      <c r="Q187" s="24">
        <f t="shared" si="40"/>
        <v>1.0149999999999999</v>
      </c>
      <c r="R187" s="715">
        <f t="shared" si="41"/>
        <v>61515</v>
      </c>
      <c r="S187" s="361">
        <f t="shared" ref="S187:S222" si="42">ROUND(R187*B187/10000,0)</f>
        <v>1034</v>
      </c>
    </row>
    <row r="188" spans="1:19">
      <c r="A188" s="59" t="str">
        <f>'数据-基础表'!AX177</f>
        <v>1501-2</v>
      </c>
      <c r="B188" s="59">
        <f>'数据-基础表'!AZ177</f>
        <v>160.12</v>
      </c>
      <c r="C188" s="24">
        <f t="shared" si="33"/>
        <v>0.98</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v>15</v>
      </c>
      <c r="Q188" s="24">
        <f t="shared" si="40"/>
        <v>1.0149999999999999</v>
      </c>
      <c r="R188" s="715">
        <f t="shared" si="41"/>
        <v>61515</v>
      </c>
      <c r="S188" s="361">
        <f t="shared" si="42"/>
        <v>985</v>
      </c>
    </row>
    <row r="189" spans="1:19">
      <c r="A189" s="59" t="str">
        <f>'数据-基础表'!AX178</f>
        <v>1501-3</v>
      </c>
      <c r="B189" s="59">
        <f>'数据-基础表'!AZ178</f>
        <v>186.4</v>
      </c>
      <c r="C189" s="24">
        <f t="shared" si="33"/>
        <v>0.98</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v>15</v>
      </c>
      <c r="Q189" s="24">
        <f t="shared" si="40"/>
        <v>1.0149999999999999</v>
      </c>
      <c r="R189" s="715">
        <f t="shared" si="41"/>
        <v>61515</v>
      </c>
      <c r="S189" s="361">
        <f t="shared" si="42"/>
        <v>1147</v>
      </c>
    </row>
    <row r="190" spans="1:19">
      <c r="A190" s="59" t="str">
        <f>'数据-基础表'!AX179</f>
        <v>1501-4</v>
      </c>
      <c r="B190" s="59">
        <f>'数据-基础表'!AZ179</f>
        <v>107.51</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v>15</v>
      </c>
      <c r="Q190" s="24">
        <f t="shared" si="40"/>
        <v>1.0149999999999999</v>
      </c>
      <c r="R190" s="715">
        <f t="shared" si="41"/>
        <v>62771</v>
      </c>
      <c r="S190" s="361">
        <f t="shared" si="42"/>
        <v>675</v>
      </c>
    </row>
    <row r="191" spans="1:19">
      <c r="A191" s="59" t="str">
        <f>'数据-基础表'!AX180</f>
        <v>1501-5</v>
      </c>
      <c r="B191" s="59">
        <f>'数据-基础表'!AZ180</f>
        <v>167.7</v>
      </c>
      <c r="C191" s="24">
        <f t="shared" si="33"/>
        <v>0.98</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v>15</v>
      </c>
      <c r="Q191" s="24">
        <f t="shared" si="40"/>
        <v>1.0149999999999999</v>
      </c>
      <c r="R191" s="715">
        <f t="shared" si="41"/>
        <v>61515</v>
      </c>
      <c r="S191" s="361">
        <f t="shared" si="42"/>
        <v>1032</v>
      </c>
    </row>
    <row r="192" spans="1:19">
      <c r="A192" s="59" t="str">
        <f>'数据-基础表'!AX181</f>
        <v>1501-6</v>
      </c>
      <c r="B192" s="59">
        <f>'数据-基础表'!AZ181</f>
        <v>159.72999999999999</v>
      </c>
      <c r="C192" s="24">
        <f t="shared" si="33"/>
        <v>0.98</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v>15</v>
      </c>
      <c r="Q192" s="24">
        <f t="shared" si="40"/>
        <v>1.0149999999999999</v>
      </c>
      <c r="R192" s="715">
        <f t="shared" si="41"/>
        <v>61515</v>
      </c>
      <c r="S192" s="361">
        <f t="shared" si="42"/>
        <v>983</v>
      </c>
    </row>
    <row r="193" spans="1:19">
      <c r="A193" s="59" t="str">
        <f>'数据-基础表'!AX182</f>
        <v>1501-7</v>
      </c>
      <c r="B193" s="59">
        <f>'数据-基础表'!AZ182</f>
        <v>186.21</v>
      </c>
      <c r="C193" s="24">
        <f t="shared" si="33"/>
        <v>0.98</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v>15</v>
      </c>
      <c r="Q193" s="24">
        <f t="shared" si="40"/>
        <v>1.0149999999999999</v>
      </c>
      <c r="R193" s="715">
        <f t="shared" si="41"/>
        <v>61515</v>
      </c>
      <c r="S193" s="361">
        <f t="shared" si="42"/>
        <v>1145</v>
      </c>
    </row>
    <row r="194" spans="1:19">
      <c r="A194" s="59" t="str">
        <f>'数据-基础表'!AX183</f>
        <v>1501-8</v>
      </c>
      <c r="B194" s="59">
        <f>'数据-基础表'!AZ183</f>
        <v>75.84</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v>15</v>
      </c>
      <c r="Q194" s="24">
        <f t="shared" si="40"/>
        <v>1.0149999999999999</v>
      </c>
      <c r="R194" s="715">
        <f t="shared" si="41"/>
        <v>62771</v>
      </c>
      <c r="S194" s="361">
        <f t="shared" si="42"/>
        <v>476</v>
      </c>
    </row>
    <row r="195" spans="1:19">
      <c r="A195" s="59" t="str">
        <f>'数据-基础表'!AX184</f>
        <v>1601-1</v>
      </c>
      <c r="B195" s="59">
        <f>'数据-基础表'!AZ184</f>
        <v>168.13</v>
      </c>
      <c r="C195" s="24">
        <f t="shared" si="33"/>
        <v>0.98</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v>16</v>
      </c>
      <c r="Q195" s="24">
        <f t="shared" si="40"/>
        <v>1.02</v>
      </c>
      <c r="R195" s="715">
        <f t="shared" si="41"/>
        <v>61818</v>
      </c>
      <c r="S195" s="361">
        <f t="shared" si="42"/>
        <v>1039</v>
      </c>
    </row>
    <row r="196" spans="1:19">
      <c r="A196" s="59" t="str">
        <f>'数据-基础表'!AX185</f>
        <v>1601-2</v>
      </c>
      <c r="B196" s="59">
        <f>'数据-基础表'!AZ185</f>
        <v>160.12</v>
      </c>
      <c r="C196" s="24">
        <f t="shared" si="33"/>
        <v>0.98</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v>16</v>
      </c>
      <c r="Q196" s="24">
        <f t="shared" si="40"/>
        <v>1.02</v>
      </c>
      <c r="R196" s="715">
        <f t="shared" si="41"/>
        <v>61818</v>
      </c>
      <c r="S196" s="361">
        <f t="shared" si="42"/>
        <v>990</v>
      </c>
    </row>
    <row r="197" spans="1:19">
      <c r="A197" s="59" t="str">
        <f>'数据-基础表'!AX186</f>
        <v>1601-3</v>
      </c>
      <c r="B197" s="59">
        <f>'数据-基础表'!AZ186</f>
        <v>186.4</v>
      </c>
      <c r="C197" s="24">
        <f t="shared" si="33"/>
        <v>0.98</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v>16</v>
      </c>
      <c r="Q197" s="24">
        <f t="shared" si="40"/>
        <v>1.02</v>
      </c>
      <c r="R197" s="715">
        <f t="shared" si="41"/>
        <v>61818</v>
      </c>
      <c r="S197" s="361">
        <f t="shared" si="42"/>
        <v>1152</v>
      </c>
    </row>
    <row r="198" spans="1:19">
      <c r="A198" s="59" t="str">
        <f>'数据-基础表'!AX187</f>
        <v>1601-4</v>
      </c>
      <c r="B198" s="59">
        <f>'数据-基础表'!AZ187</f>
        <v>107.51</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v>16</v>
      </c>
      <c r="Q198" s="24">
        <f t="shared" si="40"/>
        <v>1.02</v>
      </c>
      <c r="R198" s="715">
        <f t="shared" si="41"/>
        <v>63080</v>
      </c>
      <c r="S198" s="361">
        <f t="shared" si="42"/>
        <v>678</v>
      </c>
    </row>
    <row r="199" spans="1:19">
      <c r="A199" s="59" t="str">
        <f>'数据-基础表'!AX188</f>
        <v>1601-5</v>
      </c>
      <c r="B199" s="59">
        <f>'数据-基础表'!AZ188</f>
        <v>167.7</v>
      </c>
      <c r="C199" s="24">
        <f t="shared" si="33"/>
        <v>0.98</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v>16</v>
      </c>
      <c r="Q199" s="24">
        <f t="shared" si="40"/>
        <v>1.02</v>
      </c>
      <c r="R199" s="715">
        <f t="shared" si="41"/>
        <v>61818</v>
      </c>
      <c r="S199" s="361">
        <f t="shared" si="42"/>
        <v>1037</v>
      </c>
    </row>
    <row r="200" spans="1:19">
      <c r="A200" s="59" t="str">
        <f>'数据-基础表'!AX189</f>
        <v>1601-6</v>
      </c>
      <c r="B200" s="59">
        <f>'数据-基础表'!AZ189</f>
        <v>159.72999999999999</v>
      </c>
      <c r="C200" s="24">
        <f t="shared" si="33"/>
        <v>0.98</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v>16</v>
      </c>
      <c r="Q200" s="24">
        <f t="shared" si="40"/>
        <v>1.02</v>
      </c>
      <c r="R200" s="715">
        <f t="shared" si="41"/>
        <v>61818</v>
      </c>
      <c r="S200" s="361">
        <f t="shared" si="42"/>
        <v>987</v>
      </c>
    </row>
    <row r="201" spans="1:19">
      <c r="A201" s="59" t="str">
        <f>'数据-基础表'!AX190</f>
        <v>1601-7</v>
      </c>
      <c r="B201" s="59">
        <f>'数据-基础表'!AZ190</f>
        <v>186.21</v>
      </c>
      <c r="C201" s="24">
        <f t="shared" si="33"/>
        <v>0.98</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v>16</v>
      </c>
      <c r="Q201" s="24">
        <f t="shared" si="40"/>
        <v>1.02</v>
      </c>
      <c r="R201" s="715">
        <f t="shared" si="41"/>
        <v>61818</v>
      </c>
      <c r="S201" s="361">
        <f t="shared" si="42"/>
        <v>1151</v>
      </c>
    </row>
    <row r="202" spans="1:19">
      <c r="A202" s="59" t="str">
        <f>'数据-基础表'!AX191</f>
        <v>1601-8</v>
      </c>
      <c r="B202" s="59">
        <f>'数据-基础表'!AZ191</f>
        <v>75.84</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v>16</v>
      </c>
      <c r="Q202" s="24">
        <f t="shared" si="40"/>
        <v>1.02</v>
      </c>
      <c r="R202" s="715">
        <f t="shared" si="41"/>
        <v>63080</v>
      </c>
      <c r="S202" s="361">
        <f t="shared" si="42"/>
        <v>478</v>
      </c>
    </row>
    <row r="203" spans="1:19">
      <c r="A203" s="59" t="str">
        <f>'数据-基础表'!AX192</f>
        <v>1701-1</v>
      </c>
      <c r="B203" s="59">
        <f>'数据-基础表'!AZ192</f>
        <v>168.13</v>
      </c>
      <c r="C203" s="24">
        <f t="shared" si="33"/>
        <v>0.98</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v>17</v>
      </c>
      <c r="Q203" s="24">
        <f t="shared" si="40"/>
        <v>1.0249999999999999</v>
      </c>
      <c r="R203" s="715">
        <f t="shared" si="41"/>
        <v>62121</v>
      </c>
      <c r="S203" s="361">
        <f t="shared" si="42"/>
        <v>1044</v>
      </c>
    </row>
    <row r="204" spans="1:19">
      <c r="A204" s="59" t="str">
        <f>'数据-基础表'!AX193</f>
        <v>1701-2</v>
      </c>
      <c r="B204" s="59">
        <f>'数据-基础表'!AZ193</f>
        <v>160.12</v>
      </c>
      <c r="C204" s="24">
        <f t="shared" si="33"/>
        <v>0.98</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v>17</v>
      </c>
      <c r="Q204" s="24">
        <f t="shared" si="40"/>
        <v>1.0249999999999999</v>
      </c>
      <c r="R204" s="715">
        <f t="shared" si="41"/>
        <v>62121</v>
      </c>
      <c r="S204" s="361">
        <f t="shared" si="42"/>
        <v>995</v>
      </c>
    </row>
    <row r="205" spans="1:19">
      <c r="A205" s="59" t="str">
        <f>'数据-基础表'!AX194</f>
        <v>1701-3</v>
      </c>
      <c r="B205" s="59">
        <f>'数据-基础表'!AZ194</f>
        <v>186.4</v>
      </c>
      <c r="C205" s="24">
        <f t="shared" si="33"/>
        <v>0.98</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v>17</v>
      </c>
      <c r="Q205" s="24">
        <f t="shared" si="40"/>
        <v>1.0249999999999999</v>
      </c>
      <c r="R205" s="715">
        <f t="shared" si="41"/>
        <v>62121</v>
      </c>
      <c r="S205" s="361">
        <f t="shared" si="42"/>
        <v>1158</v>
      </c>
    </row>
    <row r="206" spans="1:19">
      <c r="A206" s="59" t="str">
        <f>'数据-基础表'!AX195</f>
        <v>1701-4</v>
      </c>
      <c r="B206" s="59">
        <f>'数据-基础表'!AZ195</f>
        <v>107.51</v>
      </c>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v>17</v>
      </c>
      <c r="Q206" s="24">
        <f t="shared" si="40"/>
        <v>1.0249999999999999</v>
      </c>
      <c r="R206" s="715">
        <f t="shared" si="41"/>
        <v>63389</v>
      </c>
      <c r="S206" s="361">
        <f t="shared" si="42"/>
        <v>681</v>
      </c>
    </row>
    <row r="207" spans="1:19">
      <c r="A207" s="59" t="str">
        <f>'数据-基础表'!AX196</f>
        <v>1701-5</v>
      </c>
      <c r="B207" s="59">
        <f>'数据-基础表'!AZ196</f>
        <v>167.7</v>
      </c>
      <c r="C207" s="24">
        <f t="shared" si="33"/>
        <v>0.98</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v>17</v>
      </c>
      <c r="Q207" s="24">
        <f t="shared" si="40"/>
        <v>1.0249999999999999</v>
      </c>
      <c r="R207" s="715">
        <f t="shared" si="41"/>
        <v>62121</v>
      </c>
      <c r="S207" s="361">
        <f t="shared" si="42"/>
        <v>1042</v>
      </c>
    </row>
    <row r="208" spans="1:19">
      <c r="A208" s="59" t="str">
        <f>'数据-基础表'!AX197</f>
        <v>1701-6</v>
      </c>
      <c r="B208" s="59">
        <f>'数据-基础表'!AZ197</f>
        <v>159.72999999999999</v>
      </c>
      <c r="C208" s="24">
        <f t="shared" si="33"/>
        <v>0.98</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v>17</v>
      </c>
      <c r="Q208" s="24">
        <f t="shared" si="40"/>
        <v>1.0249999999999999</v>
      </c>
      <c r="R208" s="715">
        <f t="shared" si="41"/>
        <v>62121</v>
      </c>
      <c r="S208" s="361">
        <f t="shared" si="42"/>
        <v>992</v>
      </c>
    </row>
    <row r="209" spans="1:19">
      <c r="A209" s="59" t="str">
        <f>'数据-基础表'!AX198</f>
        <v>1701-7</v>
      </c>
      <c r="B209" s="59">
        <f>'数据-基础表'!AZ198</f>
        <v>186.21</v>
      </c>
      <c r="C209" s="24">
        <f t="shared" si="33"/>
        <v>0.98</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v>17</v>
      </c>
      <c r="Q209" s="24">
        <f t="shared" si="40"/>
        <v>1.0249999999999999</v>
      </c>
      <c r="R209" s="715">
        <f t="shared" si="41"/>
        <v>62121</v>
      </c>
      <c r="S209" s="361">
        <f t="shared" si="42"/>
        <v>1157</v>
      </c>
    </row>
    <row r="210" spans="1:19">
      <c r="A210" s="59" t="str">
        <f>'数据-基础表'!AX199</f>
        <v>1701-8</v>
      </c>
      <c r="B210" s="59">
        <f>'数据-基础表'!AZ199</f>
        <v>75.84</v>
      </c>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v>17</v>
      </c>
      <c r="Q210" s="24">
        <f t="shared" si="40"/>
        <v>1.0249999999999999</v>
      </c>
      <c r="R210" s="715">
        <f t="shared" si="41"/>
        <v>63389</v>
      </c>
      <c r="S210" s="361">
        <f t="shared" si="42"/>
        <v>481</v>
      </c>
    </row>
    <row r="211" spans="1:19">
      <c r="A211" s="59" t="str">
        <f>'数据-基础表'!AX200</f>
        <v>1801-1</v>
      </c>
      <c r="B211" s="59">
        <f>'数据-基础表'!AZ200</f>
        <v>168.13</v>
      </c>
      <c r="C211" s="24">
        <f t="shared" si="33"/>
        <v>0.98</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v>18</v>
      </c>
      <c r="Q211" s="24">
        <f t="shared" si="40"/>
        <v>1.03</v>
      </c>
      <c r="R211" s="715">
        <f t="shared" si="41"/>
        <v>62424</v>
      </c>
      <c r="S211" s="361">
        <f t="shared" si="42"/>
        <v>1050</v>
      </c>
    </row>
    <row r="212" spans="1:19">
      <c r="A212" s="59" t="str">
        <f>'数据-基础表'!AX201</f>
        <v>1801-2</v>
      </c>
      <c r="B212" s="59">
        <f>'数据-基础表'!AZ201</f>
        <v>160.12</v>
      </c>
      <c r="C212" s="24">
        <f t="shared" si="33"/>
        <v>0.98</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v>18</v>
      </c>
      <c r="Q212" s="24">
        <f t="shared" si="40"/>
        <v>1.03</v>
      </c>
      <c r="R212" s="715">
        <f t="shared" si="41"/>
        <v>62424</v>
      </c>
      <c r="S212" s="361">
        <f t="shared" si="42"/>
        <v>1000</v>
      </c>
    </row>
    <row r="213" spans="1:19">
      <c r="A213" s="59" t="str">
        <f>'数据-基础表'!AX202</f>
        <v>1801-3</v>
      </c>
      <c r="B213" s="59">
        <f>'数据-基础表'!AZ202</f>
        <v>186.4</v>
      </c>
      <c r="C213" s="24">
        <f t="shared" si="33"/>
        <v>0.98</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v>18</v>
      </c>
      <c r="Q213" s="24">
        <f t="shared" si="40"/>
        <v>1.03</v>
      </c>
      <c r="R213" s="715">
        <f t="shared" si="41"/>
        <v>62424</v>
      </c>
      <c r="S213" s="361">
        <f t="shared" si="42"/>
        <v>1164</v>
      </c>
    </row>
    <row r="214" spans="1:19">
      <c r="A214" s="59" t="str">
        <f>'数据-基础表'!AX203</f>
        <v>1801-4</v>
      </c>
      <c r="B214" s="59">
        <f>'数据-基础表'!AZ203</f>
        <v>107.51</v>
      </c>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v>18</v>
      </c>
      <c r="Q214" s="24">
        <f t="shared" si="40"/>
        <v>1.03</v>
      </c>
      <c r="R214" s="715">
        <f t="shared" si="41"/>
        <v>63698</v>
      </c>
      <c r="S214" s="361">
        <f t="shared" si="42"/>
        <v>685</v>
      </c>
    </row>
    <row r="215" spans="1:19">
      <c r="A215" s="59" t="str">
        <f>'数据-基础表'!AX204</f>
        <v>1801-5</v>
      </c>
      <c r="B215" s="59">
        <f>'数据-基础表'!AZ204</f>
        <v>167.7</v>
      </c>
      <c r="C215" s="24">
        <f t="shared" si="33"/>
        <v>0.98</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v>18</v>
      </c>
      <c r="Q215" s="24">
        <f t="shared" si="40"/>
        <v>1.03</v>
      </c>
      <c r="R215" s="715">
        <f t="shared" si="41"/>
        <v>62424</v>
      </c>
      <c r="S215" s="361">
        <f t="shared" si="42"/>
        <v>1047</v>
      </c>
    </row>
    <row r="216" spans="1:19">
      <c r="A216" s="59" t="str">
        <f>'数据-基础表'!AX205</f>
        <v>1801-6</v>
      </c>
      <c r="B216" s="59">
        <f>'数据-基础表'!AZ205</f>
        <v>159.72999999999999</v>
      </c>
      <c r="C216" s="24">
        <f t="shared" si="33"/>
        <v>0.98</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v>18</v>
      </c>
      <c r="Q216" s="24">
        <f t="shared" si="40"/>
        <v>1.03</v>
      </c>
      <c r="R216" s="715">
        <f t="shared" si="41"/>
        <v>62424</v>
      </c>
      <c r="S216" s="361">
        <f t="shared" si="42"/>
        <v>997</v>
      </c>
    </row>
    <row r="217" spans="1:19">
      <c r="A217" s="59" t="str">
        <f>'数据-基础表'!AX206</f>
        <v>1801-7</v>
      </c>
      <c r="B217" s="59">
        <f>'数据-基础表'!AZ206</f>
        <v>186.21</v>
      </c>
      <c r="C217" s="24">
        <f t="shared" si="33"/>
        <v>0.98</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v>18</v>
      </c>
      <c r="Q217" s="24">
        <f t="shared" si="40"/>
        <v>1.03</v>
      </c>
      <c r="R217" s="715">
        <f t="shared" si="41"/>
        <v>62424</v>
      </c>
      <c r="S217" s="361">
        <f t="shared" si="42"/>
        <v>1162</v>
      </c>
    </row>
    <row r="218" spans="1:19">
      <c r="A218" s="59" t="str">
        <f>'数据-基础表'!AX207</f>
        <v>1801-8</v>
      </c>
      <c r="B218" s="59">
        <f>'数据-基础表'!AZ207</f>
        <v>75.84</v>
      </c>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v>18</v>
      </c>
      <c r="Q218" s="24">
        <f t="shared" ref="Q218:Q281" si="50">(SUMIF($17:$17,P218,$18:$18)-SUMIF($17:$17,$P$24,$18:$18)+100)/100</f>
        <v>1.03</v>
      </c>
      <c r="R218" s="715">
        <f t="shared" ref="R218:R281" si="51">IF(B218="",0,ROUND($R$24*C218*E218*G218*I218*K218*M218*O218*Q218,0))</f>
        <v>63698</v>
      </c>
      <c r="S218" s="361">
        <f t="shared" si="42"/>
        <v>483</v>
      </c>
    </row>
    <row r="219" spans="1:19">
      <c r="A219" s="59" t="str">
        <f>'数据-基础表'!AX208</f>
        <v>1901-1</v>
      </c>
      <c r="B219" s="59">
        <f>'数据-基础表'!AZ208</f>
        <v>168.13</v>
      </c>
      <c r="C219" s="24">
        <f t="shared" si="43"/>
        <v>0.98</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v>19</v>
      </c>
      <c r="Q219" s="24">
        <f t="shared" si="50"/>
        <v>1.0349999999999999</v>
      </c>
      <c r="R219" s="715">
        <f t="shared" si="51"/>
        <v>62727</v>
      </c>
      <c r="S219" s="361">
        <f t="shared" si="42"/>
        <v>1055</v>
      </c>
    </row>
    <row r="220" spans="1:19">
      <c r="A220" s="59" t="str">
        <f>'数据-基础表'!AX209</f>
        <v>1901-2</v>
      </c>
      <c r="B220" s="59">
        <f>'数据-基础表'!AZ209</f>
        <v>160.12</v>
      </c>
      <c r="C220" s="24">
        <f t="shared" si="43"/>
        <v>0.98</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v>19</v>
      </c>
      <c r="Q220" s="24">
        <f t="shared" si="50"/>
        <v>1.0349999999999999</v>
      </c>
      <c r="R220" s="715">
        <f t="shared" si="51"/>
        <v>62727</v>
      </c>
      <c r="S220" s="361">
        <f t="shared" si="42"/>
        <v>1004</v>
      </c>
    </row>
    <row r="221" spans="1:19">
      <c r="A221" s="59" t="str">
        <f>'数据-基础表'!AX210</f>
        <v>1901-3</v>
      </c>
      <c r="B221" s="59">
        <f>'数据-基础表'!AZ210</f>
        <v>186.4</v>
      </c>
      <c r="C221" s="24">
        <f t="shared" si="43"/>
        <v>0.98</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v>19</v>
      </c>
      <c r="Q221" s="24">
        <f t="shared" si="50"/>
        <v>1.0349999999999999</v>
      </c>
      <c r="R221" s="715">
        <f t="shared" si="51"/>
        <v>62727</v>
      </c>
      <c r="S221" s="361">
        <f t="shared" si="42"/>
        <v>1169</v>
      </c>
    </row>
    <row r="222" spans="1:19">
      <c r="A222" s="59" t="str">
        <f>'数据-基础表'!AX211</f>
        <v>1901-4</v>
      </c>
      <c r="B222" s="59">
        <f>'数据-基础表'!AZ211</f>
        <v>107.51</v>
      </c>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v>19</v>
      </c>
      <c r="Q222" s="24">
        <f t="shared" si="50"/>
        <v>1.0349999999999999</v>
      </c>
      <c r="R222" s="715">
        <f t="shared" si="51"/>
        <v>64008</v>
      </c>
      <c r="S222" s="361">
        <f t="shared" si="42"/>
        <v>688</v>
      </c>
    </row>
    <row r="223" spans="1:19">
      <c r="A223" s="59" t="str">
        <f>'数据-基础表'!AX212</f>
        <v>1901-5</v>
      </c>
      <c r="B223" s="59">
        <f>'数据-基础表'!AZ212</f>
        <v>167.7</v>
      </c>
      <c r="C223" s="24">
        <f t="shared" si="43"/>
        <v>0.98</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v>19</v>
      </c>
      <c r="Q223" s="24">
        <f t="shared" si="50"/>
        <v>1.0349999999999999</v>
      </c>
      <c r="R223" s="715">
        <f t="shared" si="51"/>
        <v>62727</v>
      </c>
      <c r="S223" s="361">
        <f t="shared" ref="S223:S286" si="52">ROUND(R223*B223/10000,0)</f>
        <v>1052</v>
      </c>
    </row>
    <row r="224" spans="1:19">
      <c r="A224" s="59" t="str">
        <f>'数据-基础表'!AX213</f>
        <v>1901-6</v>
      </c>
      <c r="B224" s="59">
        <f>'数据-基础表'!AZ213</f>
        <v>159.72999999999999</v>
      </c>
      <c r="C224" s="24">
        <f t="shared" si="43"/>
        <v>0.98</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v>19</v>
      </c>
      <c r="Q224" s="24">
        <f t="shared" si="50"/>
        <v>1.0349999999999999</v>
      </c>
      <c r="R224" s="715">
        <f t="shared" si="51"/>
        <v>62727</v>
      </c>
      <c r="S224" s="361">
        <f t="shared" si="52"/>
        <v>1002</v>
      </c>
    </row>
    <row r="225" spans="1:19">
      <c r="A225" s="59" t="str">
        <f>'数据-基础表'!AX214</f>
        <v>1901-7</v>
      </c>
      <c r="B225" s="59">
        <f>'数据-基础表'!AZ214</f>
        <v>186.21</v>
      </c>
      <c r="C225" s="24">
        <f t="shared" si="43"/>
        <v>0.98</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v>19</v>
      </c>
      <c r="Q225" s="24">
        <f t="shared" si="50"/>
        <v>1.0349999999999999</v>
      </c>
      <c r="R225" s="715">
        <f t="shared" si="51"/>
        <v>62727</v>
      </c>
      <c r="S225" s="361">
        <f t="shared" si="52"/>
        <v>1168</v>
      </c>
    </row>
    <row r="226" spans="1:19">
      <c r="A226" s="59" t="str">
        <f>'数据-基础表'!AX215</f>
        <v>1901-8</v>
      </c>
      <c r="B226" s="59">
        <f>'数据-基础表'!AZ215</f>
        <v>75.84</v>
      </c>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v>19</v>
      </c>
      <c r="Q226" s="24">
        <f t="shared" si="50"/>
        <v>1.0349999999999999</v>
      </c>
      <c r="R226" s="715">
        <f t="shared" si="51"/>
        <v>64008</v>
      </c>
      <c r="S226" s="361">
        <f t="shared" si="52"/>
        <v>485</v>
      </c>
    </row>
    <row r="227" spans="1:19">
      <c r="A227" s="59" t="str">
        <f>'数据-基础表'!AX216</f>
        <v>2001-1</v>
      </c>
      <c r="B227" s="59">
        <f>'数据-基础表'!AZ216</f>
        <v>168.13</v>
      </c>
      <c r="C227" s="24">
        <f t="shared" si="43"/>
        <v>0.98</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v>20</v>
      </c>
      <c r="Q227" s="24">
        <f t="shared" si="50"/>
        <v>1.04</v>
      </c>
      <c r="R227" s="715">
        <f t="shared" si="51"/>
        <v>63030</v>
      </c>
      <c r="S227" s="361">
        <f t="shared" si="52"/>
        <v>1060</v>
      </c>
    </row>
    <row r="228" spans="1:19">
      <c r="A228" s="59" t="str">
        <f>'数据-基础表'!AX217</f>
        <v>2001-2</v>
      </c>
      <c r="B228" s="59">
        <f>'数据-基础表'!AZ217</f>
        <v>160.12</v>
      </c>
      <c r="C228" s="24">
        <f t="shared" si="43"/>
        <v>0.98</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v>20</v>
      </c>
      <c r="Q228" s="24">
        <f t="shared" si="50"/>
        <v>1.04</v>
      </c>
      <c r="R228" s="715">
        <f t="shared" si="51"/>
        <v>63030</v>
      </c>
      <c r="S228" s="361">
        <f t="shared" si="52"/>
        <v>1009</v>
      </c>
    </row>
    <row r="229" spans="1:19">
      <c r="A229" s="59" t="str">
        <f>'数据-基础表'!AX218</f>
        <v>2001-3</v>
      </c>
      <c r="B229" s="59">
        <f>'数据-基础表'!AZ218</f>
        <v>186.4</v>
      </c>
      <c r="C229" s="24">
        <f t="shared" si="43"/>
        <v>0.98</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v>20</v>
      </c>
      <c r="Q229" s="24">
        <f t="shared" si="50"/>
        <v>1.04</v>
      </c>
      <c r="R229" s="715">
        <f t="shared" si="51"/>
        <v>63030</v>
      </c>
      <c r="S229" s="361">
        <f t="shared" si="52"/>
        <v>1175</v>
      </c>
    </row>
    <row r="230" spans="1:19">
      <c r="A230" s="59" t="str">
        <f>'数据-基础表'!AX219</f>
        <v>2001-4</v>
      </c>
      <c r="B230" s="59">
        <f>'数据-基础表'!AZ219</f>
        <v>107.51</v>
      </c>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v>20</v>
      </c>
      <c r="Q230" s="24">
        <f t="shared" si="50"/>
        <v>1.04</v>
      </c>
      <c r="R230" s="715">
        <f t="shared" si="51"/>
        <v>64317</v>
      </c>
      <c r="S230" s="361">
        <f t="shared" si="52"/>
        <v>691</v>
      </c>
    </row>
    <row r="231" spans="1:19">
      <c r="A231" s="59" t="str">
        <f>'数据-基础表'!AX220</f>
        <v>2001-5</v>
      </c>
      <c r="B231" s="59">
        <f>'数据-基础表'!AZ220</f>
        <v>167.7</v>
      </c>
      <c r="C231" s="24">
        <f t="shared" si="43"/>
        <v>0.98</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v>20</v>
      </c>
      <c r="Q231" s="24">
        <f t="shared" si="50"/>
        <v>1.04</v>
      </c>
      <c r="R231" s="715">
        <f t="shared" si="51"/>
        <v>63030</v>
      </c>
      <c r="S231" s="361">
        <f t="shared" si="52"/>
        <v>1057</v>
      </c>
    </row>
    <row r="232" spans="1:19">
      <c r="A232" s="59" t="str">
        <f>'数据-基础表'!AX221</f>
        <v>2001-6</v>
      </c>
      <c r="B232" s="59">
        <f>'数据-基础表'!AZ221</f>
        <v>159.72999999999999</v>
      </c>
      <c r="C232" s="24">
        <f t="shared" si="43"/>
        <v>0.98</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v>20</v>
      </c>
      <c r="Q232" s="24">
        <f t="shared" si="50"/>
        <v>1.04</v>
      </c>
      <c r="R232" s="715">
        <f t="shared" si="51"/>
        <v>63030</v>
      </c>
      <c r="S232" s="361">
        <f t="shared" si="52"/>
        <v>1007</v>
      </c>
    </row>
    <row r="233" spans="1:19">
      <c r="A233" s="59" t="str">
        <f>'数据-基础表'!AX222</f>
        <v>2001-7</v>
      </c>
      <c r="B233" s="59">
        <f>'数据-基础表'!AZ222</f>
        <v>186.21</v>
      </c>
      <c r="C233" s="24">
        <f t="shared" si="43"/>
        <v>0.98</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v>20</v>
      </c>
      <c r="Q233" s="24">
        <f t="shared" si="50"/>
        <v>1.04</v>
      </c>
      <c r="R233" s="715">
        <f t="shared" si="51"/>
        <v>63030</v>
      </c>
      <c r="S233" s="361">
        <f t="shared" si="52"/>
        <v>1174</v>
      </c>
    </row>
    <row r="234" spans="1:19">
      <c r="A234" s="59" t="str">
        <f>'数据-基础表'!AX223</f>
        <v>2001-8</v>
      </c>
      <c r="B234" s="59">
        <f>'数据-基础表'!AZ223</f>
        <v>75.84</v>
      </c>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v>20</v>
      </c>
      <c r="Q234" s="24">
        <f t="shared" si="50"/>
        <v>1.04</v>
      </c>
      <c r="R234" s="715">
        <f t="shared" si="51"/>
        <v>64317</v>
      </c>
      <c r="S234" s="361">
        <f t="shared" si="52"/>
        <v>488</v>
      </c>
    </row>
    <row r="235" spans="1:19">
      <c r="A235" s="59" t="str">
        <f>'数据-基础表'!AX224</f>
        <v>2101-1</v>
      </c>
      <c r="B235" s="59">
        <f>'数据-基础表'!AZ224</f>
        <v>168.22</v>
      </c>
      <c r="C235" s="24">
        <f t="shared" si="43"/>
        <v>0.98</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v>21</v>
      </c>
      <c r="Q235" s="24">
        <f t="shared" si="50"/>
        <v>1.0449999999999999</v>
      </c>
      <c r="R235" s="715">
        <f t="shared" si="51"/>
        <v>63333</v>
      </c>
      <c r="S235" s="361">
        <f t="shared" si="52"/>
        <v>1065</v>
      </c>
    </row>
    <row r="236" spans="1:19">
      <c r="A236" s="59" t="str">
        <f>'数据-基础表'!AX225</f>
        <v>2101-2</v>
      </c>
      <c r="B236" s="59">
        <f>'数据-基础表'!AZ225</f>
        <v>160.29</v>
      </c>
      <c r="C236" s="24">
        <f t="shared" si="43"/>
        <v>0.98</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v>21</v>
      </c>
      <c r="Q236" s="24">
        <f t="shared" si="50"/>
        <v>1.0449999999999999</v>
      </c>
      <c r="R236" s="715">
        <f t="shared" si="51"/>
        <v>63333</v>
      </c>
      <c r="S236" s="361">
        <f t="shared" si="52"/>
        <v>1015</v>
      </c>
    </row>
    <row r="237" spans="1:19">
      <c r="A237" s="59" t="str">
        <f>'数据-基础表'!AX226</f>
        <v>2101-3</v>
      </c>
      <c r="B237" s="59">
        <f>'数据-基础表'!AZ226</f>
        <v>293.85000000000002</v>
      </c>
      <c r="C237" s="24">
        <f t="shared" si="43"/>
        <v>0.96</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v>21</v>
      </c>
      <c r="Q237" s="24">
        <f t="shared" si="50"/>
        <v>1.0449999999999999</v>
      </c>
      <c r="R237" s="715">
        <f t="shared" si="51"/>
        <v>62041</v>
      </c>
      <c r="S237" s="361">
        <f t="shared" si="52"/>
        <v>1823</v>
      </c>
    </row>
    <row r="238" spans="1:19">
      <c r="A238" s="59" t="str">
        <f>'数据-基础表'!AX227</f>
        <v>2101-4</v>
      </c>
      <c r="B238" s="59">
        <f>'数据-基础表'!AZ227</f>
        <v>167.79</v>
      </c>
      <c r="C238" s="24">
        <f t="shared" si="43"/>
        <v>0.98</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v>21</v>
      </c>
      <c r="Q238" s="24">
        <f t="shared" si="50"/>
        <v>1.0449999999999999</v>
      </c>
      <c r="R238" s="715">
        <f t="shared" si="51"/>
        <v>63333</v>
      </c>
      <c r="S238" s="361">
        <f t="shared" si="52"/>
        <v>1063</v>
      </c>
    </row>
    <row r="239" spans="1:19">
      <c r="A239" s="59" t="str">
        <f>'数据-基础表'!AX228</f>
        <v>2101-5</v>
      </c>
      <c r="B239" s="59">
        <f>'数据-基础表'!AZ228</f>
        <v>160.29</v>
      </c>
      <c r="C239" s="24">
        <f t="shared" si="43"/>
        <v>0.98</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v>21</v>
      </c>
      <c r="Q239" s="24">
        <f t="shared" si="50"/>
        <v>1.0449999999999999</v>
      </c>
      <c r="R239" s="715">
        <f t="shared" si="51"/>
        <v>63333</v>
      </c>
      <c r="S239" s="361">
        <f t="shared" si="52"/>
        <v>1015</v>
      </c>
    </row>
    <row r="240" spans="1:19">
      <c r="A240" s="59" t="str">
        <f>'数据-基础表'!AX229</f>
        <v>2101-6</v>
      </c>
      <c r="B240" s="59">
        <f>'数据-基础表'!AZ229</f>
        <v>261.27999999999997</v>
      </c>
      <c r="C240" s="24">
        <f t="shared" si="43"/>
        <v>0.96</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v>21</v>
      </c>
      <c r="Q240" s="24">
        <f t="shared" si="50"/>
        <v>1.0449999999999999</v>
      </c>
      <c r="R240" s="715">
        <f t="shared" si="51"/>
        <v>62041</v>
      </c>
      <c r="S240" s="361">
        <f t="shared" si="52"/>
        <v>1621</v>
      </c>
    </row>
    <row r="241" spans="1:19">
      <c r="A241" s="59" t="str">
        <f>'数据-基础表'!AX230</f>
        <v>2202-1</v>
      </c>
      <c r="B241" s="59">
        <f>'数据-基础表'!AZ230</f>
        <v>168.22</v>
      </c>
      <c r="C241" s="24">
        <f t="shared" si="43"/>
        <v>0.98</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v>22</v>
      </c>
      <c r="Q241" s="24">
        <f t="shared" si="50"/>
        <v>1.05</v>
      </c>
      <c r="R241" s="715">
        <f t="shared" si="51"/>
        <v>63636</v>
      </c>
      <c r="S241" s="361">
        <f t="shared" si="52"/>
        <v>1070</v>
      </c>
    </row>
    <row r="242" spans="1:19">
      <c r="A242" s="59" t="str">
        <f>'数据-基础表'!AX231</f>
        <v>2202-2</v>
      </c>
      <c r="B242" s="59">
        <f>'数据-基础表'!AZ231</f>
        <v>160.29</v>
      </c>
      <c r="C242" s="24">
        <f t="shared" si="43"/>
        <v>0.98</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v>22</v>
      </c>
      <c r="Q242" s="24">
        <f t="shared" si="50"/>
        <v>1.05</v>
      </c>
      <c r="R242" s="715">
        <f t="shared" si="51"/>
        <v>63636</v>
      </c>
      <c r="S242" s="361">
        <f t="shared" si="52"/>
        <v>1020</v>
      </c>
    </row>
    <row r="243" spans="1:19">
      <c r="A243" s="59" t="str">
        <f>'数据-基础表'!AX232</f>
        <v>2202-3</v>
      </c>
      <c r="B243" s="59">
        <f>'数据-基础表'!AZ232</f>
        <v>291.82</v>
      </c>
      <c r="C243" s="24">
        <f t="shared" si="43"/>
        <v>0.96</v>
      </c>
      <c r="D243" s="719"/>
      <c r="E243" s="24">
        <f t="shared" si="44"/>
        <v>1</v>
      </c>
      <c r="F243" s="719" t="s">
        <v>3567</v>
      </c>
      <c r="G243" s="24">
        <f t="shared" si="45"/>
        <v>2</v>
      </c>
      <c r="H243" s="719"/>
      <c r="I243" s="24">
        <f t="shared" si="46"/>
        <v>1</v>
      </c>
      <c r="J243" s="719"/>
      <c r="K243" s="24">
        <f t="shared" si="47"/>
        <v>1</v>
      </c>
      <c r="L243" s="719"/>
      <c r="M243" s="24">
        <f t="shared" si="48"/>
        <v>1</v>
      </c>
      <c r="N243" s="719"/>
      <c r="O243" s="24">
        <f t="shared" si="49"/>
        <v>1</v>
      </c>
      <c r="P243" s="719">
        <v>22</v>
      </c>
      <c r="Q243" s="24">
        <f t="shared" si="50"/>
        <v>1.05</v>
      </c>
      <c r="R243" s="715">
        <f t="shared" si="51"/>
        <v>124675</v>
      </c>
      <c r="S243" s="361">
        <f t="shared" si="52"/>
        <v>3638</v>
      </c>
    </row>
    <row r="244" spans="1:19">
      <c r="A244" s="59" t="str">
        <f>'数据-基础表'!AX233</f>
        <v>2202-4</v>
      </c>
      <c r="B244" s="59">
        <f>'数据-基础表'!AZ233</f>
        <v>167.79</v>
      </c>
      <c r="C244" s="24">
        <f t="shared" si="43"/>
        <v>0.98</v>
      </c>
      <c r="D244" s="719"/>
      <c r="E244" s="24">
        <f t="shared" si="44"/>
        <v>1</v>
      </c>
      <c r="F244" s="719" t="s">
        <v>3567</v>
      </c>
      <c r="G244" s="24">
        <f t="shared" si="45"/>
        <v>2</v>
      </c>
      <c r="H244" s="719"/>
      <c r="I244" s="24">
        <f t="shared" si="46"/>
        <v>1</v>
      </c>
      <c r="J244" s="719"/>
      <c r="K244" s="24">
        <f t="shared" si="47"/>
        <v>1</v>
      </c>
      <c r="L244" s="719"/>
      <c r="M244" s="24">
        <f t="shared" si="48"/>
        <v>1</v>
      </c>
      <c r="N244" s="719"/>
      <c r="O244" s="24">
        <f t="shared" si="49"/>
        <v>1</v>
      </c>
      <c r="P244" s="719">
        <v>22</v>
      </c>
      <c r="Q244" s="24">
        <f t="shared" si="50"/>
        <v>1.05</v>
      </c>
      <c r="R244" s="715">
        <f t="shared" si="51"/>
        <v>127273</v>
      </c>
      <c r="S244" s="361">
        <f t="shared" si="52"/>
        <v>2136</v>
      </c>
    </row>
    <row r="245" spans="1:19">
      <c r="A245" s="59" t="str">
        <f>'数据-基础表'!AX234</f>
        <v>2202-5</v>
      </c>
      <c r="B245" s="59">
        <f>'数据-基础表'!AZ234</f>
        <v>160.29</v>
      </c>
      <c r="C245" s="24">
        <f t="shared" si="43"/>
        <v>0.98</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v>22</v>
      </c>
      <c r="Q245" s="24">
        <f t="shared" si="50"/>
        <v>1.05</v>
      </c>
      <c r="R245" s="715">
        <f t="shared" si="51"/>
        <v>63636</v>
      </c>
      <c r="S245" s="361">
        <f t="shared" si="52"/>
        <v>1020</v>
      </c>
    </row>
    <row r="246" spans="1:19">
      <c r="A246" s="59" t="str">
        <f>'数据-基础表'!AX235</f>
        <v>2202-6</v>
      </c>
      <c r="B246" s="59">
        <f>'数据-基础表'!AZ235</f>
        <v>261.27999999999997</v>
      </c>
      <c r="C246" s="24">
        <f t="shared" si="43"/>
        <v>0.96</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v>22</v>
      </c>
      <c r="Q246" s="24">
        <f t="shared" si="50"/>
        <v>1.05</v>
      </c>
      <c r="R246" s="715">
        <f t="shared" si="51"/>
        <v>62338</v>
      </c>
      <c r="S246" s="361">
        <f t="shared" si="52"/>
        <v>1629</v>
      </c>
    </row>
    <row r="247" spans="1:19">
      <c r="A247" s="59" t="str">
        <f>'数据-基础表'!AX236</f>
        <v>2301-1</v>
      </c>
      <c r="B247" s="59">
        <f>'数据-基础表'!AZ236</f>
        <v>168.22</v>
      </c>
      <c r="C247" s="24">
        <f t="shared" si="43"/>
        <v>0.98</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v>23</v>
      </c>
      <c r="Q247" s="24">
        <f t="shared" si="50"/>
        <v>1.0549999999999999</v>
      </c>
      <c r="R247" s="715">
        <f t="shared" si="51"/>
        <v>63939</v>
      </c>
      <c r="S247" s="361">
        <f t="shared" si="52"/>
        <v>1076</v>
      </c>
    </row>
    <row r="248" spans="1:19">
      <c r="A248" s="59" t="str">
        <f>'数据-基础表'!AX237</f>
        <v>2301-2</v>
      </c>
      <c r="B248" s="59">
        <f>'数据-基础表'!AZ237</f>
        <v>160.29</v>
      </c>
      <c r="C248" s="24">
        <f t="shared" si="43"/>
        <v>0.98</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v>23</v>
      </c>
      <c r="Q248" s="24">
        <f t="shared" si="50"/>
        <v>1.0549999999999999</v>
      </c>
      <c r="R248" s="715">
        <f t="shared" si="51"/>
        <v>63939</v>
      </c>
      <c r="S248" s="361">
        <f t="shared" si="52"/>
        <v>1025</v>
      </c>
    </row>
    <row r="249" spans="1:19">
      <c r="A249" s="59" t="str">
        <f>'数据-基础表'!AX238</f>
        <v>2301-3</v>
      </c>
      <c r="B249" s="59">
        <f>'数据-基础表'!AZ238</f>
        <v>291.82</v>
      </c>
      <c r="C249" s="24">
        <f t="shared" si="43"/>
        <v>0.96</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v>23</v>
      </c>
      <c r="Q249" s="24">
        <f t="shared" si="50"/>
        <v>1.0549999999999999</v>
      </c>
      <c r="R249" s="715">
        <f t="shared" si="51"/>
        <v>62635</v>
      </c>
      <c r="S249" s="361">
        <f t="shared" si="52"/>
        <v>1828</v>
      </c>
    </row>
    <row r="250" spans="1:19">
      <c r="A250" s="59" t="str">
        <f>'数据-基础表'!AX239</f>
        <v>2301-4</v>
      </c>
      <c r="B250" s="59">
        <f>'数据-基础表'!AZ239</f>
        <v>167.79</v>
      </c>
      <c r="C250" s="24">
        <f t="shared" si="43"/>
        <v>0.98</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v>23</v>
      </c>
      <c r="Q250" s="24">
        <f t="shared" si="50"/>
        <v>1.0549999999999999</v>
      </c>
      <c r="R250" s="715">
        <f t="shared" si="51"/>
        <v>63939</v>
      </c>
      <c r="S250" s="361">
        <f t="shared" si="52"/>
        <v>1073</v>
      </c>
    </row>
    <row r="251" spans="1:19">
      <c r="A251" s="59" t="str">
        <f>'数据-基础表'!AX240</f>
        <v>2301-5</v>
      </c>
      <c r="B251" s="59">
        <f>'数据-基础表'!AZ240</f>
        <v>160.29</v>
      </c>
      <c r="C251" s="24">
        <f t="shared" si="43"/>
        <v>0.98</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v>23</v>
      </c>
      <c r="Q251" s="24">
        <f t="shared" si="50"/>
        <v>1.0549999999999999</v>
      </c>
      <c r="R251" s="715">
        <f t="shared" si="51"/>
        <v>63939</v>
      </c>
      <c r="S251" s="361">
        <f t="shared" si="52"/>
        <v>1025</v>
      </c>
    </row>
    <row r="252" spans="1:19">
      <c r="A252" s="59" t="str">
        <f>'数据-基础表'!AX241</f>
        <v>2301-6</v>
      </c>
      <c r="B252" s="59">
        <f>'数据-基础表'!AZ241</f>
        <v>261.27999999999997</v>
      </c>
      <c r="C252" s="24">
        <f t="shared" si="43"/>
        <v>0.96</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v>23</v>
      </c>
      <c r="Q252" s="24">
        <f t="shared" si="50"/>
        <v>1.0549999999999999</v>
      </c>
      <c r="R252" s="715">
        <f t="shared" si="51"/>
        <v>62635</v>
      </c>
      <c r="S252" s="361">
        <f t="shared" si="52"/>
        <v>1637</v>
      </c>
    </row>
    <row r="253" spans="1:19">
      <c r="A253" s="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-4.4999999999999998E-2</v>
      </c>
      <c r="R253" s="715">
        <f t="shared" si="51"/>
        <v>0</v>
      </c>
      <c r="S253" s="361">
        <f t="shared" si="52"/>
        <v>0</v>
      </c>
    </row>
    <row r="254" spans="1:19" hidden="1">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-4.4999999999999998E-2</v>
      </c>
      <c r="R254" s="715">
        <f t="shared" si="51"/>
        <v>0</v>
      </c>
      <c r="S254" s="361">
        <f t="shared" si="52"/>
        <v>0</v>
      </c>
    </row>
    <row r="255" spans="1:19" hidden="1">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-4.4999999999999998E-2</v>
      </c>
      <c r="R255" s="715">
        <f t="shared" si="51"/>
        <v>0</v>
      </c>
      <c r="S255" s="361">
        <f t="shared" si="52"/>
        <v>0</v>
      </c>
    </row>
    <row r="256" spans="1:19" hidden="1">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-4.4999999999999998E-2</v>
      </c>
      <c r="R256" s="715">
        <f t="shared" si="51"/>
        <v>0</v>
      </c>
      <c r="S256" s="361">
        <f t="shared" si="52"/>
        <v>0</v>
      </c>
    </row>
    <row r="257" spans="1:19" hidden="1">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-4.4999999999999998E-2</v>
      </c>
      <c r="R257" s="715">
        <f t="shared" si="51"/>
        <v>0</v>
      </c>
      <c r="S257" s="361">
        <f t="shared" si="52"/>
        <v>0</v>
      </c>
    </row>
    <row r="258" spans="1:19" hidden="1">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-4.4999999999999998E-2</v>
      </c>
      <c r="R258" s="715">
        <f t="shared" si="51"/>
        <v>0</v>
      </c>
      <c r="S258" s="361">
        <f t="shared" si="52"/>
        <v>0</v>
      </c>
    </row>
    <row r="259" spans="1:19" hidden="1">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-4.4999999999999998E-2</v>
      </c>
      <c r="R259" s="715">
        <f t="shared" si="51"/>
        <v>0</v>
      </c>
      <c r="S259" s="361">
        <f t="shared" si="52"/>
        <v>0</v>
      </c>
    </row>
    <row r="260" spans="1:19" hidden="1">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-4.4999999999999998E-2</v>
      </c>
      <c r="R260" s="715">
        <f t="shared" si="51"/>
        <v>0</v>
      </c>
      <c r="S260" s="361">
        <f t="shared" si="52"/>
        <v>0</v>
      </c>
    </row>
    <row r="261" spans="1:19" hidden="1">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-4.4999999999999998E-2</v>
      </c>
      <c r="R261" s="715">
        <f t="shared" si="51"/>
        <v>0</v>
      </c>
      <c r="S261" s="361">
        <f t="shared" si="52"/>
        <v>0</v>
      </c>
    </row>
    <row r="262" spans="1:19" hidden="1">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-4.4999999999999998E-2</v>
      </c>
      <c r="R262" s="715">
        <f t="shared" si="51"/>
        <v>0</v>
      </c>
      <c r="S262" s="361">
        <f t="shared" si="52"/>
        <v>0</v>
      </c>
    </row>
    <row r="263" spans="1:19" hidden="1">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-4.4999999999999998E-2</v>
      </c>
      <c r="R263" s="715">
        <f t="shared" si="51"/>
        <v>0</v>
      </c>
      <c r="S263" s="361">
        <f t="shared" si="52"/>
        <v>0</v>
      </c>
    </row>
    <row r="264" spans="1:19" hidden="1">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-4.4999999999999998E-2</v>
      </c>
      <c r="R264" s="715">
        <f t="shared" si="51"/>
        <v>0</v>
      </c>
      <c r="S264" s="361">
        <f t="shared" si="52"/>
        <v>0</v>
      </c>
    </row>
    <row r="265" spans="1:19" hidden="1">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-4.4999999999999998E-2</v>
      </c>
      <c r="R265" s="715">
        <f t="shared" si="51"/>
        <v>0</v>
      </c>
      <c r="S265" s="361">
        <f t="shared" si="52"/>
        <v>0</v>
      </c>
    </row>
    <row r="266" spans="1:19" hidden="1">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-4.4999999999999998E-2</v>
      </c>
      <c r="R266" s="715">
        <f t="shared" si="51"/>
        <v>0</v>
      </c>
      <c r="S266" s="361">
        <f t="shared" si="52"/>
        <v>0</v>
      </c>
    </row>
    <row r="267" spans="1:19" hidden="1">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-4.4999999999999998E-2</v>
      </c>
      <c r="R267" s="715">
        <f t="shared" si="51"/>
        <v>0</v>
      </c>
      <c r="S267" s="361">
        <f t="shared" si="52"/>
        <v>0</v>
      </c>
    </row>
    <row r="268" spans="1:19" hidden="1">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-4.4999999999999998E-2</v>
      </c>
      <c r="R268" s="715">
        <f t="shared" si="51"/>
        <v>0</v>
      </c>
      <c r="S268" s="361">
        <f t="shared" si="52"/>
        <v>0</v>
      </c>
    </row>
    <row r="269" spans="1:19" hidden="1">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-4.4999999999999998E-2</v>
      </c>
      <c r="R269" s="715">
        <f t="shared" si="51"/>
        <v>0</v>
      </c>
      <c r="S269" s="361">
        <f t="shared" si="52"/>
        <v>0</v>
      </c>
    </row>
    <row r="270" spans="1:19" hidden="1">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-4.4999999999999998E-2</v>
      </c>
      <c r="R270" s="715">
        <f t="shared" si="51"/>
        <v>0</v>
      </c>
      <c r="S270" s="361">
        <f t="shared" si="52"/>
        <v>0</v>
      </c>
    </row>
    <row r="271" spans="1:19" hidden="1">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-4.4999999999999998E-2</v>
      </c>
      <c r="R271" s="715">
        <f t="shared" si="51"/>
        <v>0</v>
      </c>
      <c r="S271" s="361">
        <f t="shared" si="52"/>
        <v>0</v>
      </c>
    </row>
    <row r="272" spans="1:19" hidden="1">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-4.4999999999999998E-2</v>
      </c>
      <c r="R272" s="715">
        <f t="shared" si="51"/>
        <v>0</v>
      </c>
      <c r="S272" s="361">
        <f t="shared" si="52"/>
        <v>0</v>
      </c>
    </row>
    <row r="273" spans="1:19" hidden="1">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-4.4999999999999998E-2</v>
      </c>
      <c r="R273" s="715">
        <f t="shared" si="51"/>
        <v>0</v>
      </c>
      <c r="S273" s="361">
        <f t="shared" si="52"/>
        <v>0</v>
      </c>
    </row>
    <row r="274" spans="1:19" hidden="1">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-4.4999999999999998E-2</v>
      </c>
      <c r="R274" s="715">
        <f t="shared" si="51"/>
        <v>0</v>
      </c>
      <c r="S274" s="361">
        <f t="shared" si="52"/>
        <v>0</v>
      </c>
    </row>
    <row r="275" spans="1:19" hidden="1">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-4.4999999999999998E-2</v>
      </c>
      <c r="R275" s="715">
        <f t="shared" si="51"/>
        <v>0</v>
      </c>
      <c r="S275" s="361">
        <f t="shared" si="52"/>
        <v>0</v>
      </c>
    </row>
    <row r="276" spans="1:19" hidden="1">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-4.4999999999999998E-2</v>
      </c>
      <c r="R276" s="715">
        <f t="shared" si="51"/>
        <v>0</v>
      </c>
      <c r="S276" s="361">
        <f t="shared" si="52"/>
        <v>0</v>
      </c>
    </row>
    <row r="277" spans="1:19" hidden="1">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-4.4999999999999998E-2</v>
      </c>
      <c r="R277" s="715">
        <f t="shared" si="51"/>
        <v>0</v>
      </c>
      <c r="S277" s="361">
        <f t="shared" si="52"/>
        <v>0</v>
      </c>
    </row>
    <row r="278" spans="1:19" hidden="1">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-4.4999999999999998E-2</v>
      </c>
      <c r="R278" s="715">
        <f t="shared" si="51"/>
        <v>0</v>
      </c>
      <c r="S278" s="361">
        <f t="shared" si="52"/>
        <v>0</v>
      </c>
    </row>
    <row r="279" spans="1:19" hidden="1">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-4.4999999999999998E-2</v>
      </c>
      <c r="R279" s="715">
        <f t="shared" si="51"/>
        <v>0</v>
      </c>
      <c r="S279" s="361">
        <f t="shared" si="52"/>
        <v>0</v>
      </c>
    </row>
    <row r="280" spans="1:19" hidden="1">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-4.4999999999999998E-2</v>
      </c>
      <c r="R280" s="715">
        <f t="shared" si="51"/>
        <v>0</v>
      </c>
      <c r="S280" s="361">
        <f t="shared" si="52"/>
        <v>0</v>
      </c>
    </row>
    <row r="281" spans="1:19" hidden="1">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-4.4999999999999998E-2</v>
      </c>
      <c r="R281" s="715">
        <f t="shared" si="51"/>
        <v>0</v>
      </c>
      <c r="S281" s="361">
        <f t="shared" si="52"/>
        <v>0</v>
      </c>
    </row>
    <row r="282" spans="1:19" hidden="1">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-4.4999999999999998E-2</v>
      </c>
      <c r="R282" s="715">
        <f t="shared" ref="R282:R345" si="61">IF(B282="",0,ROUND($R$24*C282*E282*G282*I282*K282*M282*O282*Q282,0))</f>
        <v>0</v>
      </c>
      <c r="S282" s="361">
        <f t="shared" si="52"/>
        <v>0</v>
      </c>
    </row>
    <row r="283" spans="1:19" hidden="1">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-4.4999999999999998E-2</v>
      </c>
      <c r="R283" s="715">
        <f t="shared" si="61"/>
        <v>0</v>
      </c>
      <c r="S283" s="361">
        <f t="shared" si="52"/>
        <v>0</v>
      </c>
    </row>
    <row r="284" spans="1:19" hidden="1">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-4.4999999999999998E-2</v>
      </c>
      <c r="R284" s="715">
        <f t="shared" si="61"/>
        <v>0</v>
      </c>
      <c r="S284" s="361">
        <f t="shared" si="52"/>
        <v>0</v>
      </c>
    </row>
    <row r="285" spans="1:19" hidden="1">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-4.4999999999999998E-2</v>
      </c>
      <c r="R285" s="715">
        <f t="shared" si="61"/>
        <v>0</v>
      </c>
      <c r="S285" s="361">
        <f t="shared" si="52"/>
        <v>0</v>
      </c>
    </row>
    <row r="286" spans="1:19" hidden="1">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-4.4999999999999998E-2</v>
      </c>
      <c r="R286" s="715">
        <f t="shared" si="61"/>
        <v>0</v>
      </c>
      <c r="S286" s="361">
        <f t="shared" si="52"/>
        <v>0</v>
      </c>
    </row>
    <row r="287" spans="1:19" hidden="1">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-4.4999999999999998E-2</v>
      </c>
      <c r="R287" s="715">
        <f t="shared" si="61"/>
        <v>0</v>
      </c>
      <c r="S287" s="361">
        <f t="shared" ref="S287:S320" si="62">ROUND(R287*B287/10000,0)</f>
        <v>0</v>
      </c>
    </row>
    <row r="288" spans="1:19" hidden="1">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-4.4999999999999998E-2</v>
      </c>
      <c r="R288" s="715">
        <f t="shared" si="61"/>
        <v>0</v>
      </c>
      <c r="S288" s="361">
        <f t="shared" si="62"/>
        <v>0</v>
      </c>
    </row>
    <row r="289" spans="1:19" hidden="1">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-4.4999999999999998E-2</v>
      </c>
      <c r="R289" s="715">
        <f t="shared" si="61"/>
        <v>0</v>
      </c>
      <c r="S289" s="361">
        <f t="shared" si="62"/>
        <v>0</v>
      </c>
    </row>
    <row r="290" spans="1:19" hidden="1">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-4.4999999999999998E-2</v>
      </c>
      <c r="R290" s="715">
        <f t="shared" si="61"/>
        <v>0</v>
      </c>
      <c r="S290" s="361">
        <f t="shared" si="62"/>
        <v>0</v>
      </c>
    </row>
    <row r="291" spans="1:19" hidden="1">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-4.4999999999999998E-2</v>
      </c>
      <c r="R291" s="715">
        <f t="shared" si="61"/>
        <v>0</v>
      </c>
      <c r="S291" s="361">
        <f t="shared" si="62"/>
        <v>0</v>
      </c>
    </row>
    <row r="292" spans="1:19" hidden="1">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-4.4999999999999998E-2</v>
      </c>
      <c r="R292" s="715">
        <f t="shared" si="61"/>
        <v>0</v>
      </c>
      <c r="S292" s="361">
        <f t="shared" si="62"/>
        <v>0</v>
      </c>
    </row>
    <row r="293" spans="1:19" hidden="1">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-4.4999999999999998E-2</v>
      </c>
      <c r="R293" s="715">
        <f t="shared" si="61"/>
        <v>0</v>
      </c>
      <c r="S293" s="361">
        <f t="shared" si="62"/>
        <v>0</v>
      </c>
    </row>
    <row r="294" spans="1:19" hidden="1">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-4.4999999999999998E-2</v>
      </c>
      <c r="R294" s="715">
        <f t="shared" si="61"/>
        <v>0</v>
      </c>
      <c r="S294" s="361">
        <f t="shared" si="62"/>
        <v>0</v>
      </c>
    </row>
    <row r="295" spans="1:19" hidden="1">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-4.4999999999999998E-2</v>
      </c>
      <c r="R295" s="715">
        <f t="shared" si="61"/>
        <v>0</v>
      </c>
      <c r="S295" s="361">
        <f t="shared" si="62"/>
        <v>0</v>
      </c>
    </row>
    <row r="296" spans="1:19" hidden="1">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-4.4999999999999998E-2</v>
      </c>
      <c r="R296" s="715">
        <f t="shared" si="61"/>
        <v>0</v>
      </c>
      <c r="S296" s="361">
        <f t="shared" si="62"/>
        <v>0</v>
      </c>
    </row>
    <row r="297" spans="1:19" hidden="1">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-4.4999999999999998E-2</v>
      </c>
      <c r="R297" s="715">
        <f t="shared" si="61"/>
        <v>0</v>
      </c>
      <c r="S297" s="361">
        <f t="shared" si="62"/>
        <v>0</v>
      </c>
    </row>
    <row r="298" spans="1:19" hidden="1">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-4.4999999999999998E-2</v>
      </c>
      <c r="R298" s="715">
        <f t="shared" si="61"/>
        <v>0</v>
      </c>
      <c r="S298" s="361">
        <f t="shared" si="62"/>
        <v>0</v>
      </c>
    </row>
    <row r="299" spans="1:19" hidden="1">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-4.4999999999999998E-2</v>
      </c>
      <c r="R299" s="715">
        <f t="shared" si="61"/>
        <v>0</v>
      </c>
      <c r="S299" s="361">
        <f t="shared" si="62"/>
        <v>0</v>
      </c>
    </row>
    <row r="300" spans="1:19" hidden="1">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-4.4999999999999998E-2</v>
      </c>
      <c r="R300" s="715">
        <f t="shared" si="61"/>
        <v>0</v>
      </c>
      <c r="S300" s="361">
        <f t="shared" si="62"/>
        <v>0</v>
      </c>
    </row>
    <row r="301" spans="1:19" hidden="1">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-4.4999999999999998E-2</v>
      </c>
      <c r="R301" s="715">
        <f t="shared" si="61"/>
        <v>0</v>
      </c>
      <c r="S301" s="361">
        <f t="shared" si="62"/>
        <v>0</v>
      </c>
    </row>
    <row r="302" spans="1:19" hidden="1">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-4.4999999999999998E-2</v>
      </c>
      <c r="R302" s="715">
        <f t="shared" si="61"/>
        <v>0</v>
      </c>
      <c r="S302" s="361">
        <f t="shared" si="62"/>
        <v>0</v>
      </c>
    </row>
    <row r="303" spans="1:19" hidden="1">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-4.4999999999999998E-2</v>
      </c>
      <c r="R303" s="715">
        <f t="shared" si="61"/>
        <v>0</v>
      </c>
      <c r="S303" s="361">
        <f t="shared" si="62"/>
        <v>0</v>
      </c>
    </row>
    <row r="304" spans="1:19" hidden="1">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-4.4999999999999998E-2</v>
      </c>
      <c r="R304" s="715">
        <f t="shared" si="61"/>
        <v>0</v>
      </c>
      <c r="S304" s="361">
        <f t="shared" si="62"/>
        <v>0</v>
      </c>
    </row>
    <row r="305" spans="1:19" hidden="1">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-4.4999999999999998E-2</v>
      </c>
      <c r="R305" s="715">
        <f t="shared" si="61"/>
        <v>0</v>
      </c>
      <c r="S305" s="361">
        <f t="shared" si="62"/>
        <v>0</v>
      </c>
    </row>
    <row r="306" spans="1:19" hidden="1">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-4.4999999999999998E-2</v>
      </c>
      <c r="R306" s="715">
        <f t="shared" si="61"/>
        <v>0</v>
      </c>
      <c r="S306" s="361">
        <f t="shared" si="62"/>
        <v>0</v>
      </c>
    </row>
    <row r="307" spans="1:19" hidden="1">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-4.4999999999999998E-2</v>
      </c>
      <c r="R307" s="715">
        <f t="shared" si="61"/>
        <v>0</v>
      </c>
      <c r="S307" s="361">
        <f t="shared" si="62"/>
        <v>0</v>
      </c>
    </row>
    <row r="308" spans="1:19" hidden="1">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-4.4999999999999998E-2</v>
      </c>
      <c r="R308" s="715">
        <f t="shared" si="61"/>
        <v>0</v>
      </c>
      <c r="S308" s="361">
        <f t="shared" si="62"/>
        <v>0</v>
      </c>
    </row>
    <row r="309" spans="1:19" hidden="1">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-4.4999999999999998E-2</v>
      </c>
      <c r="R309" s="715">
        <f t="shared" si="61"/>
        <v>0</v>
      </c>
      <c r="S309" s="361">
        <f t="shared" si="62"/>
        <v>0</v>
      </c>
    </row>
    <row r="310" spans="1:19" hidden="1">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-4.4999999999999998E-2</v>
      </c>
      <c r="R310" s="715">
        <f t="shared" si="61"/>
        <v>0</v>
      </c>
      <c r="S310" s="361">
        <f t="shared" si="62"/>
        <v>0</v>
      </c>
    </row>
    <row r="311" spans="1:19" hidden="1">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-4.4999999999999998E-2</v>
      </c>
      <c r="R311" s="715">
        <f t="shared" si="61"/>
        <v>0</v>
      </c>
      <c r="S311" s="361">
        <f t="shared" si="62"/>
        <v>0</v>
      </c>
    </row>
    <row r="312" spans="1:19" hidden="1">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-4.4999999999999998E-2</v>
      </c>
      <c r="R312" s="715">
        <f t="shared" si="61"/>
        <v>0</v>
      </c>
      <c r="S312" s="361">
        <f t="shared" si="62"/>
        <v>0</v>
      </c>
    </row>
    <row r="313" spans="1:19" hidden="1">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-4.4999999999999998E-2</v>
      </c>
      <c r="R313" s="715">
        <f t="shared" si="61"/>
        <v>0</v>
      </c>
      <c r="S313" s="361">
        <f t="shared" si="62"/>
        <v>0</v>
      </c>
    </row>
    <row r="314" spans="1:19" hidden="1">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-4.4999999999999998E-2</v>
      </c>
      <c r="R314" s="715">
        <f t="shared" si="61"/>
        <v>0</v>
      </c>
      <c r="S314" s="361">
        <f t="shared" si="62"/>
        <v>0</v>
      </c>
    </row>
    <row r="315" spans="1:19" hidden="1">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-4.4999999999999998E-2</v>
      </c>
      <c r="R315" s="715">
        <f t="shared" si="61"/>
        <v>0</v>
      </c>
      <c r="S315" s="361">
        <f t="shared" si="62"/>
        <v>0</v>
      </c>
    </row>
    <row r="316" spans="1:19" hidden="1">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-4.4999999999999998E-2</v>
      </c>
      <c r="R316" s="715">
        <f t="shared" si="61"/>
        <v>0</v>
      </c>
      <c r="S316" s="361">
        <f t="shared" si="62"/>
        <v>0</v>
      </c>
    </row>
    <row r="317" spans="1:19" hidden="1">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-4.4999999999999998E-2</v>
      </c>
      <c r="R317" s="715">
        <f t="shared" si="61"/>
        <v>0</v>
      </c>
      <c r="S317" s="361">
        <f t="shared" si="62"/>
        <v>0</v>
      </c>
    </row>
    <row r="318" spans="1:19" hidden="1">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-4.4999999999999998E-2</v>
      </c>
      <c r="R318" s="715">
        <f t="shared" si="61"/>
        <v>0</v>
      </c>
      <c r="S318" s="361">
        <f t="shared" si="62"/>
        <v>0</v>
      </c>
    </row>
    <row r="319" spans="1:19" hidden="1">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-4.4999999999999998E-2</v>
      </c>
      <c r="R319" s="715">
        <f t="shared" si="61"/>
        <v>0</v>
      </c>
      <c r="S319" s="361">
        <f t="shared" si="62"/>
        <v>0</v>
      </c>
    </row>
    <row r="320" spans="1:19" hidden="1">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-4.4999999999999998E-2</v>
      </c>
      <c r="R320" s="715">
        <f t="shared" si="61"/>
        <v>0</v>
      </c>
      <c r="S320" s="361">
        <f t="shared" si="62"/>
        <v>0</v>
      </c>
    </row>
    <row r="321" spans="1:19" hidden="1">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-4.4999999999999998E-2</v>
      </c>
      <c r="R321" s="715">
        <f t="shared" si="61"/>
        <v>0</v>
      </c>
      <c r="S321" s="361">
        <f t="shared" ref="S321:S384" si="63">ROUND(R321*B321/10000,0)</f>
        <v>0</v>
      </c>
    </row>
    <row r="322" spans="1:19" hidden="1">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-4.4999999999999998E-2</v>
      </c>
      <c r="R322" s="715">
        <f t="shared" si="61"/>
        <v>0</v>
      </c>
      <c r="S322" s="361">
        <f t="shared" si="63"/>
        <v>0</v>
      </c>
    </row>
    <row r="323" spans="1:19" hidden="1">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-4.4999999999999998E-2</v>
      </c>
      <c r="R323" s="715">
        <f t="shared" si="61"/>
        <v>0</v>
      </c>
      <c r="S323" s="361">
        <f t="shared" si="63"/>
        <v>0</v>
      </c>
    </row>
    <row r="324" spans="1:19" hidden="1">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-4.4999999999999998E-2</v>
      </c>
      <c r="R324" s="715">
        <f t="shared" si="61"/>
        <v>0</v>
      </c>
      <c r="S324" s="361">
        <f t="shared" si="63"/>
        <v>0</v>
      </c>
    </row>
    <row r="325" spans="1:19" hidden="1">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-4.4999999999999998E-2</v>
      </c>
      <c r="R325" s="715">
        <f t="shared" si="61"/>
        <v>0</v>
      </c>
      <c r="S325" s="361">
        <f t="shared" si="63"/>
        <v>0</v>
      </c>
    </row>
    <row r="326" spans="1:19" hidden="1">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-4.4999999999999998E-2</v>
      </c>
      <c r="R326" s="715">
        <f t="shared" si="61"/>
        <v>0</v>
      </c>
      <c r="S326" s="361">
        <f t="shared" si="63"/>
        <v>0</v>
      </c>
    </row>
    <row r="327" spans="1:19" hidden="1">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-4.4999999999999998E-2</v>
      </c>
      <c r="R327" s="715">
        <f t="shared" si="61"/>
        <v>0</v>
      </c>
      <c r="S327" s="361">
        <f t="shared" si="63"/>
        <v>0</v>
      </c>
    </row>
    <row r="328" spans="1:19" hidden="1">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-4.4999999999999998E-2</v>
      </c>
      <c r="R328" s="715">
        <f t="shared" si="61"/>
        <v>0</v>
      </c>
      <c r="S328" s="361">
        <f t="shared" si="63"/>
        <v>0</v>
      </c>
    </row>
    <row r="329" spans="1:19" hidden="1">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-4.4999999999999998E-2</v>
      </c>
      <c r="R329" s="715">
        <f t="shared" si="61"/>
        <v>0</v>
      </c>
      <c r="S329" s="361">
        <f t="shared" si="63"/>
        <v>0</v>
      </c>
    </row>
    <row r="330" spans="1:19" hidden="1">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-4.4999999999999998E-2</v>
      </c>
      <c r="R330" s="715">
        <f t="shared" si="61"/>
        <v>0</v>
      </c>
      <c r="S330" s="361">
        <f t="shared" si="63"/>
        <v>0</v>
      </c>
    </row>
    <row r="331" spans="1:19" hidden="1">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-4.4999999999999998E-2</v>
      </c>
      <c r="R331" s="715">
        <f t="shared" si="61"/>
        <v>0</v>
      </c>
      <c r="S331" s="361">
        <f t="shared" si="63"/>
        <v>0</v>
      </c>
    </row>
    <row r="332" spans="1:19" hidden="1">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-4.4999999999999998E-2</v>
      </c>
      <c r="R332" s="715">
        <f t="shared" si="61"/>
        <v>0</v>
      </c>
      <c r="S332" s="361">
        <f t="shared" si="63"/>
        <v>0</v>
      </c>
    </row>
    <row r="333" spans="1:19" hidden="1">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-4.4999999999999998E-2</v>
      </c>
      <c r="R333" s="715">
        <f t="shared" si="61"/>
        <v>0</v>
      </c>
      <c r="S333" s="361">
        <f t="shared" si="63"/>
        <v>0</v>
      </c>
    </row>
    <row r="334" spans="1:19" hidden="1">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-4.4999999999999998E-2</v>
      </c>
      <c r="R334" s="715">
        <f t="shared" si="61"/>
        <v>0</v>
      </c>
      <c r="S334" s="361">
        <f t="shared" si="63"/>
        <v>0</v>
      </c>
    </row>
    <row r="335" spans="1:19" hidden="1">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-4.4999999999999998E-2</v>
      </c>
      <c r="R335" s="715">
        <f t="shared" si="61"/>
        <v>0</v>
      </c>
      <c r="S335" s="361">
        <f t="shared" si="63"/>
        <v>0</v>
      </c>
    </row>
    <row r="336" spans="1:19" hidden="1">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-4.4999999999999998E-2</v>
      </c>
      <c r="R336" s="715">
        <f t="shared" si="61"/>
        <v>0</v>
      </c>
      <c r="S336" s="361">
        <f t="shared" si="63"/>
        <v>0</v>
      </c>
    </row>
    <row r="337" spans="1:19" hidden="1">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-4.4999999999999998E-2</v>
      </c>
      <c r="R337" s="715">
        <f t="shared" si="61"/>
        <v>0</v>
      </c>
      <c r="S337" s="361">
        <f t="shared" si="63"/>
        <v>0</v>
      </c>
    </row>
    <row r="338" spans="1:19" hidden="1">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-4.4999999999999998E-2</v>
      </c>
      <c r="R338" s="715">
        <f t="shared" si="61"/>
        <v>0</v>
      </c>
      <c r="S338" s="361">
        <f t="shared" si="63"/>
        <v>0</v>
      </c>
    </row>
    <row r="339" spans="1:19" hidden="1">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-4.4999999999999998E-2</v>
      </c>
      <c r="R339" s="715">
        <f t="shared" si="61"/>
        <v>0</v>
      </c>
      <c r="S339" s="361">
        <f t="shared" si="63"/>
        <v>0</v>
      </c>
    </row>
    <row r="340" spans="1:19" hidden="1">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-4.4999999999999998E-2</v>
      </c>
      <c r="R340" s="715">
        <f t="shared" si="61"/>
        <v>0</v>
      </c>
      <c r="S340" s="361">
        <f t="shared" si="63"/>
        <v>0</v>
      </c>
    </row>
    <row r="341" spans="1:19" hidden="1">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-4.4999999999999998E-2</v>
      </c>
      <c r="R341" s="715">
        <f t="shared" si="61"/>
        <v>0</v>
      </c>
      <c r="S341" s="361">
        <f t="shared" si="63"/>
        <v>0</v>
      </c>
    </row>
    <row r="342" spans="1:19" hidden="1">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-4.4999999999999998E-2</v>
      </c>
      <c r="R342" s="715">
        <f t="shared" si="61"/>
        <v>0</v>
      </c>
      <c r="S342" s="361">
        <f t="shared" si="63"/>
        <v>0</v>
      </c>
    </row>
    <row r="343" spans="1:19" hidden="1">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-4.4999999999999998E-2</v>
      </c>
      <c r="R343" s="715">
        <f t="shared" si="61"/>
        <v>0</v>
      </c>
      <c r="S343" s="361">
        <f t="shared" si="63"/>
        <v>0</v>
      </c>
    </row>
    <row r="344" spans="1:19" hidden="1">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-4.4999999999999998E-2</v>
      </c>
      <c r="R344" s="715">
        <f t="shared" si="61"/>
        <v>0</v>
      </c>
      <c r="S344" s="361">
        <f t="shared" si="63"/>
        <v>0</v>
      </c>
    </row>
    <row r="345" spans="1:19" hidden="1">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-4.4999999999999998E-2</v>
      </c>
      <c r="R345" s="715">
        <f t="shared" si="61"/>
        <v>0</v>
      </c>
      <c r="S345" s="361">
        <f t="shared" si="63"/>
        <v>0</v>
      </c>
    </row>
    <row r="346" spans="1:19" hidden="1">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-4.4999999999999998E-2</v>
      </c>
      <c r="R346" s="715">
        <f t="shared" ref="R346:R409" si="72">IF(B346="",0,ROUND($R$24*C346*E346*G346*I346*K346*M346*O346*Q346,0))</f>
        <v>0</v>
      </c>
      <c r="S346" s="361">
        <f t="shared" si="63"/>
        <v>0</v>
      </c>
    </row>
    <row r="347" spans="1:19" hidden="1">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-4.4999999999999998E-2</v>
      </c>
      <c r="R347" s="715">
        <f t="shared" si="72"/>
        <v>0</v>
      </c>
      <c r="S347" s="361">
        <f t="shared" si="63"/>
        <v>0</v>
      </c>
    </row>
    <row r="348" spans="1:19" hidden="1">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-4.4999999999999998E-2</v>
      </c>
      <c r="R348" s="715">
        <f t="shared" si="72"/>
        <v>0</v>
      </c>
      <c r="S348" s="361">
        <f t="shared" si="63"/>
        <v>0</v>
      </c>
    </row>
    <row r="349" spans="1:19" hidden="1">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-4.4999999999999998E-2</v>
      </c>
      <c r="R349" s="715">
        <f t="shared" si="72"/>
        <v>0</v>
      </c>
      <c r="S349" s="361">
        <f t="shared" si="63"/>
        <v>0</v>
      </c>
    </row>
    <row r="350" spans="1:19" hidden="1">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-4.4999999999999998E-2</v>
      </c>
      <c r="R350" s="715">
        <f t="shared" si="72"/>
        <v>0</v>
      </c>
      <c r="S350" s="361">
        <f t="shared" si="63"/>
        <v>0</v>
      </c>
    </row>
    <row r="351" spans="1:19" hidden="1">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-4.4999999999999998E-2</v>
      </c>
      <c r="R351" s="715">
        <f t="shared" si="72"/>
        <v>0</v>
      </c>
      <c r="S351" s="361">
        <f t="shared" si="63"/>
        <v>0</v>
      </c>
    </row>
    <row r="352" spans="1:19" hidden="1">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-4.4999999999999998E-2</v>
      </c>
      <c r="R352" s="715">
        <f t="shared" si="72"/>
        <v>0</v>
      </c>
      <c r="S352" s="361">
        <f t="shared" si="63"/>
        <v>0</v>
      </c>
    </row>
    <row r="353" spans="1:19" hidden="1">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-4.4999999999999998E-2</v>
      </c>
      <c r="R353" s="715">
        <f t="shared" si="72"/>
        <v>0</v>
      </c>
      <c r="S353" s="361">
        <f t="shared" si="63"/>
        <v>0</v>
      </c>
    </row>
    <row r="354" spans="1:19" hidden="1">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-4.4999999999999998E-2</v>
      </c>
      <c r="R354" s="715">
        <f t="shared" si="72"/>
        <v>0</v>
      </c>
      <c r="S354" s="361">
        <f t="shared" si="63"/>
        <v>0</v>
      </c>
    </row>
    <row r="355" spans="1:19" hidden="1">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-4.4999999999999998E-2</v>
      </c>
      <c r="R355" s="715">
        <f t="shared" si="72"/>
        <v>0</v>
      </c>
      <c r="S355" s="361">
        <f t="shared" si="63"/>
        <v>0</v>
      </c>
    </row>
    <row r="356" spans="1:19" hidden="1">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-4.4999999999999998E-2</v>
      </c>
      <c r="R356" s="715">
        <f t="shared" si="72"/>
        <v>0</v>
      </c>
      <c r="S356" s="361">
        <f t="shared" si="63"/>
        <v>0</v>
      </c>
    </row>
    <row r="357" spans="1:19" hidden="1">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-4.4999999999999998E-2</v>
      </c>
      <c r="R357" s="715">
        <f t="shared" si="72"/>
        <v>0</v>
      </c>
      <c r="S357" s="361">
        <f t="shared" si="63"/>
        <v>0</v>
      </c>
    </row>
    <row r="358" spans="1:19" hidden="1">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-4.4999999999999998E-2</v>
      </c>
      <c r="R358" s="715">
        <f t="shared" si="72"/>
        <v>0</v>
      </c>
      <c r="S358" s="361">
        <f t="shared" si="63"/>
        <v>0</v>
      </c>
    </row>
    <row r="359" spans="1:19" hidden="1">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-4.4999999999999998E-2</v>
      </c>
      <c r="R359" s="715">
        <f t="shared" si="72"/>
        <v>0</v>
      </c>
      <c r="S359" s="361">
        <f t="shared" si="63"/>
        <v>0</v>
      </c>
    </row>
    <row r="360" spans="1:19" hidden="1">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-4.4999999999999998E-2</v>
      </c>
      <c r="R360" s="715">
        <f t="shared" si="72"/>
        <v>0</v>
      </c>
      <c r="S360" s="361">
        <f t="shared" si="63"/>
        <v>0</v>
      </c>
    </row>
    <row r="361" spans="1:19" hidden="1">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-4.4999999999999998E-2</v>
      </c>
      <c r="R361" s="715">
        <f t="shared" si="72"/>
        <v>0</v>
      </c>
      <c r="S361" s="361">
        <f t="shared" si="63"/>
        <v>0</v>
      </c>
    </row>
    <row r="362" spans="1:19" hidden="1">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-4.4999999999999998E-2</v>
      </c>
      <c r="R362" s="715">
        <f t="shared" si="72"/>
        <v>0</v>
      </c>
      <c r="S362" s="361">
        <f t="shared" si="63"/>
        <v>0</v>
      </c>
    </row>
    <row r="363" spans="1:19" hidden="1">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-4.4999999999999998E-2</v>
      </c>
      <c r="R363" s="715">
        <f t="shared" si="72"/>
        <v>0</v>
      </c>
      <c r="S363" s="361">
        <f t="shared" si="63"/>
        <v>0</v>
      </c>
    </row>
    <row r="364" spans="1:19" hidden="1">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-4.4999999999999998E-2</v>
      </c>
      <c r="R364" s="715">
        <f t="shared" si="72"/>
        <v>0</v>
      </c>
      <c r="S364" s="361">
        <f t="shared" si="63"/>
        <v>0</v>
      </c>
    </row>
    <row r="365" spans="1:19" hidden="1">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-4.4999999999999998E-2</v>
      </c>
      <c r="R365" s="715">
        <f t="shared" si="72"/>
        <v>0</v>
      </c>
      <c r="S365" s="361">
        <f t="shared" si="63"/>
        <v>0</v>
      </c>
    </row>
    <row r="366" spans="1:19" hidden="1">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-4.4999999999999998E-2</v>
      </c>
      <c r="R366" s="715">
        <f t="shared" si="72"/>
        <v>0</v>
      </c>
      <c r="S366" s="361">
        <f t="shared" si="63"/>
        <v>0</v>
      </c>
    </row>
    <row r="367" spans="1:19" hidden="1">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-4.4999999999999998E-2</v>
      </c>
      <c r="R367" s="715">
        <f t="shared" si="72"/>
        <v>0</v>
      </c>
      <c r="S367" s="361">
        <f t="shared" si="63"/>
        <v>0</v>
      </c>
    </row>
    <row r="368" spans="1:19" hidden="1">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-4.4999999999999998E-2</v>
      </c>
      <c r="R368" s="715">
        <f t="shared" si="72"/>
        <v>0</v>
      </c>
      <c r="S368" s="361">
        <f t="shared" si="63"/>
        <v>0</v>
      </c>
    </row>
    <row r="369" spans="1:19" hidden="1">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-4.4999999999999998E-2</v>
      </c>
      <c r="R369" s="715">
        <f t="shared" si="72"/>
        <v>0</v>
      </c>
      <c r="S369" s="361">
        <f t="shared" si="63"/>
        <v>0</v>
      </c>
    </row>
    <row r="370" spans="1:19" hidden="1">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-4.4999999999999998E-2</v>
      </c>
      <c r="R370" s="715">
        <f t="shared" si="72"/>
        <v>0</v>
      </c>
      <c r="S370" s="361">
        <f t="shared" si="63"/>
        <v>0</v>
      </c>
    </row>
    <row r="371" spans="1:19" hidden="1">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-4.4999999999999998E-2</v>
      </c>
      <c r="R371" s="715">
        <f t="shared" si="72"/>
        <v>0</v>
      </c>
      <c r="S371" s="361">
        <f t="shared" si="63"/>
        <v>0</v>
      </c>
    </row>
    <row r="372" spans="1:19" hidden="1">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-4.4999999999999998E-2</v>
      </c>
      <c r="R372" s="715">
        <f t="shared" si="72"/>
        <v>0</v>
      </c>
      <c r="S372" s="361">
        <f t="shared" si="63"/>
        <v>0</v>
      </c>
    </row>
    <row r="373" spans="1:19" hidden="1">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-4.4999999999999998E-2</v>
      </c>
      <c r="R373" s="715">
        <f t="shared" si="72"/>
        <v>0</v>
      </c>
      <c r="S373" s="361">
        <f t="shared" si="63"/>
        <v>0</v>
      </c>
    </row>
    <row r="374" spans="1:19" hidden="1">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-4.4999999999999998E-2</v>
      </c>
      <c r="R374" s="715">
        <f t="shared" si="72"/>
        <v>0</v>
      </c>
      <c r="S374" s="361">
        <f t="shared" si="63"/>
        <v>0</v>
      </c>
    </row>
    <row r="375" spans="1:19" hidden="1">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-4.4999999999999998E-2</v>
      </c>
      <c r="R375" s="715">
        <f t="shared" si="72"/>
        <v>0</v>
      </c>
      <c r="S375" s="361">
        <f t="shared" si="63"/>
        <v>0</v>
      </c>
    </row>
    <row r="376" spans="1:19" hidden="1">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-4.4999999999999998E-2</v>
      </c>
      <c r="R376" s="715">
        <f t="shared" si="72"/>
        <v>0</v>
      </c>
      <c r="S376" s="361">
        <f t="shared" si="63"/>
        <v>0</v>
      </c>
    </row>
    <row r="377" spans="1:19" hidden="1">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-4.4999999999999998E-2</v>
      </c>
      <c r="R377" s="715">
        <f t="shared" si="72"/>
        <v>0</v>
      </c>
      <c r="S377" s="361">
        <f t="shared" si="63"/>
        <v>0</v>
      </c>
    </row>
    <row r="378" spans="1:19" hidden="1">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-4.4999999999999998E-2</v>
      </c>
      <c r="R378" s="715">
        <f t="shared" si="72"/>
        <v>0</v>
      </c>
      <c r="S378" s="361">
        <f t="shared" si="63"/>
        <v>0</v>
      </c>
    </row>
    <row r="379" spans="1:19" hidden="1">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-4.4999999999999998E-2</v>
      </c>
      <c r="R379" s="715">
        <f t="shared" si="72"/>
        <v>0</v>
      </c>
      <c r="S379" s="361">
        <f t="shared" si="63"/>
        <v>0</v>
      </c>
    </row>
    <row r="380" spans="1:19" hidden="1">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-4.4999999999999998E-2</v>
      </c>
      <c r="R380" s="715">
        <f t="shared" si="72"/>
        <v>0</v>
      </c>
      <c r="S380" s="361">
        <f t="shared" si="63"/>
        <v>0</v>
      </c>
    </row>
    <row r="381" spans="1:19" hidden="1">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-4.4999999999999998E-2</v>
      </c>
      <c r="R381" s="715">
        <f t="shared" si="72"/>
        <v>0</v>
      </c>
      <c r="S381" s="361">
        <f t="shared" si="63"/>
        <v>0</v>
      </c>
    </row>
    <row r="382" spans="1:19" hidden="1">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-4.4999999999999998E-2</v>
      </c>
      <c r="R382" s="715">
        <f t="shared" si="72"/>
        <v>0</v>
      </c>
      <c r="S382" s="361">
        <f t="shared" si="63"/>
        <v>0</v>
      </c>
    </row>
    <row r="383" spans="1:19" hidden="1">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-4.4999999999999998E-2</v>
      </c>
      <c r="R383" s="715">
        <f t="shared" si="72"/>
        <v>0</v>
      </c>
      <c r="S383" s="361">
        <f t="shared" si="63"/>
        <v>0</v>
      </c>
    </row>
    <row r="384" spans="1:19" hidden="1">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-4.4999999999999998E-2</v>
      </c>
      <c r="R384" s="715">
        <f t="shared" si="72"/>
        <v>0</v>
      </c>
      <c r="S384" s="361">
        <f t="shared" si="63"/>
        <v>0</v>
      </c>
    </row>
    <row r="385" spans="1:19" hidden="1">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-4.4999999999999998E-2</v>
      </c>
      <c r="R385" s="715">
        <f t="shared" si="72"/>
        <v>0</v>
      </c>
      <c r="S385" s="361">
        <f t="shared" ref="S385:S422" si="73">ROUND(R385*B385/10000,0)</f>
        <v>0</v>
      </c>
    </row>
    <row r="386" spans="1:19" hidden="1">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-4.4999999999999998E-2</v>
      </c>
      <c r="R386" s="715">
        <f t="shared" si="72"/>
        <v>0</v>
      </c>
      <c r="S386" s="361">
        <f t="shared" si="73"/>
        <v>0</v>
      </c>
    </row>
    <row r="387" spans="1:19" hidden="1">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-4.4999999999999998E-2</v>
      </c>
      <c r="R387" s="715">
        <f t="shared" si="72"/>
        <v>0</v>
      </c>
      <c r="S387" s="361">
        <f t="shared" si="73"/>
        <v>0</v>
      </c>
    </row>
    <row r="388" spans="1:19" hidden="1">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-4.4999999999999998E-2</v>
      </c>
      <c r="R388" s="715">
        <f t="shared" si="72"/>
        <v>0</v>
      </c>
      <c r="S388" s="361">
        <f t="shared" si="73"/>
        <v>0</v>
      </c>
    </row>
    <row r="389" spans="1:19" hidden="1">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-4.4999999999999998E-2</v>
      </c>
      <c r="R389" s="715">
        <f t="shared" si="72"/>
        <v>0</v>
      </c>
      <c r="S389" s="361">
        <f t="shared" si="73"/>
        <v>0</v>
      </c>
    </row>
    <row r="390" spans="1:19" hidden="1">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-4.4999999999999998E-2</v>
      </c>
      <c r="R390" s="715">
        <f t="shared" si="72"/>
        <v>0</v>
      </c>
      <c r="S390" s="361">
        <f t="shared" si="73"/>
        <v>0</v>
      </c>
    </row>
    <row r="391" spans="1:19" hidden="1">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-4.4999999999999998E-2</v>
      </c>
      <c r="R391" s="715">
        <f t="shared" si="72"/>
        <v>0</v>
      </c>
      <c r="S391" s="361">
        <f t="shared" si="73"/>
        <v>0</v>
      </c>
    </row>
    <row r="392" spans="1:19" hidden="1">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-4.4999999999999998E-2</v>
      </c>
      <c r="R392" s="715">
        <f t="shared" si="72"/>
        <v>0</v>
      </c>
      <c r="S392" s="361">
        <f t="shared" si="73"/>
        <v>0</v>
      </c>
    </row>
    <row r="393" spans="1:19" hidden="1">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-4.4999999999999998E-2</v>
      </c>
      <c r="R393" s="715">
        <f t="shared" si="72"/>
        <v>0</v>
      </c>
      <c r="S393" s="361">
        <f t="shared" si="73"/>
        <v>0</v>
      </c>
    </row>
    <row r="394" spans="1:19" hidden="1">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-4.4999999999999998E-2</v>
      </c>
      <c r="R394" s="715">
        <f t="shared" si="72"/>
        <v>0</v>
      </c>
      <c r="S394" s="361">
        <f t="shared" si="73"/>
        <v>0</v>
      </c>
    </row>
    <row r="395" spans="1:19" hidden="1">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-4.4999999999999998E-2</v>
      </c>
      <c r="R395" s="715">
        <f t="shared" si="72"/>
        <v>0</v>
      </c>
      <c r="S395" s="361">
        <f t="shared" si="73"/>
        <v>0</v>
      </c>
    </row>
    <row r="396" spans="1:19" hidden="1">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-4.4999999999999998E-2</v>
      </c>
      <c r="R396" s="715">
        <f t="shared" si="72"/>
        <v>0</v>
      </c>
      <c r="S396" s="361">
        <f t="shared" si="73"/>
        <v>0</v>
      </c>
    </row>
    <row r="397" spans="1:19" hidden="1">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-4.4999999999999998E-2</v>
      </c>
      <c r="R397" s="715">
        <f t="shared" si="72"/>
        <v>0</v>
      </c>
      <c r="S397" s="361">
        <f t="shared" si="73"/>
        <v>0</v>
      </c>
    </row>
    <row r="398" spans="1:19" hidden="1">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-4.4999999999999998E-2</v>
      </c>
      <c r="R398" s="715">
        <f t="shared" si="72"/>
        <v>0</v>
      </c>
      <c r="S398" s="361">
        <f t="shared" si="73"/>
        <v>0</v>
      </c>
    </row>
    <row r="399" spans="1:19" hidden="1">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-4.4999999999999998E-2</v>
      </c>
      <c r="R399" s="715">
        <f t="shared" si="72"/>
        <v>0</v>
      </c>
      <c r="S399" s="361">
        <f t="shared" si="73"/>
        <v>0</v>
      </c>
    </row>
    <row r="400" spans="1:19" hidden="1">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-4.4999999999999998E-2</v>
      </c>
      <c r="R400" s="715">
        <f t="shared" si="72"/>
        <v>0</v>
      </c>
      <c r="S400" s="361">
        <f t="shared" si="73"/>
        <v>0</v>
      </c>
    </row>
    <row r="401" spans="1:19" hidden="1">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-4.4999999999999998E-2</v>
      </c>
      <c r="R401" s="715">
        <f t="shared" si="72"/>
        <v>0</v>
      </c>
      <c r="S401" s="361">
        <f t="shared" si="73"/>
        <v>0</v>
      </c>
    </row>
    <row r="402" spans="1:19" hidden="1">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-4.4999999999999998E-2</v>
      </c>
      <c r="R402" s="715">
        <f t="shared" si="72"/>
        <v>0</v>
      </c>
      <c r="S402" s="361">
        <f t="shared" si="73"/>
        <v>0</v>
      </c>
    </row>
    <row r="403" spans="1:19" hidden="1">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-4.4999999999999998E-2</v>
      </c>
      <c r="R403" s="715">
        <f t="shared" si="72"/>
        <v>0</v>
      </c>
      <c r="S403" s="361">
        <f t="shared" si="73"/>
        <v>0</v>
      </c>
    </row>
    <row r="404" spans="1:19" hidden="1">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-4.4999999999999998E-2</v>
      </c>
      <c r="R404" s="715">
        <f t="shared" si="72"/>
        <v>0</v>
      </c>
      <c r="S404" s="361">
        <f t="shared" si="73"/>
        <v>0</v>
      </c>
    </row>
    <row r="405" spans="1:19" hidden="1">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-4.4999999999999998E-2</v>
      </c>
      <c r="R405" s="715">
        <f t="shared" si="72"/>
        <v>0</v>
      </c>
      <c r="S405" s="361">
        <f t="shared" si="73"/>
        <v>0</v>
      </c>
    </row>
    <row r="406" spans="1:19" hidden="1">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-4.4999999999999998E-2</v>
      </c>
      <c r="R406" s="715">
        <f t="shared" si="72"/>
        <v>0</v>
      </c>
      <c r="S406" s="361">
        <f t="shared" si="73"/>
        <v>0</v>
      </c>
    </row>
    <row r="407" spans="1:19" hidden="1">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-4.4999999999999998E-2</v>
      </c>
      <c r="R407" s="715">
        <f t="shared" si="72"/>
        <v>0</v>
      </c>
      <c r="S407" s="361">
        <f t="shared" si="73"/>
        <v>0</v>
      </c>
    </row>
    <row r="408" spans="1:19" hidden="1">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-4.4999999999999998E-2</v>
      </c>
      <c r="R408" s="715">
        <f t="shared" si="72"/>
        <v>0</v>
      </c>
      <c r="S408" s="361">
        <f t="shared" si="73"/>
        <v>0</v>
      </c>
    </row>
    <row r="409" spans="1:19" hidden="1">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-4.4999999999999998E-2</v>
      </c>
      <c r="R409" s="715">
        <f t="shared" si="72"/>
        <v>0</v>
      </c>
      <c r="S409" s="361">
        <f t="shared" si="73"/>
        <v>0</v>
      </c>
    </row>
    <row r="410" spans="1:19" hidden="1">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-4.4999999999999998E-2</v>
      </c>
      <c r="R410" s="715">
        <f t="shared" ref="R410:R473" si="82">IF(B410="",0,ROUND($R$24*C410*E410*G410*I410*K410*M410*O410*Q410,0))</f>
        <v>0</v>
      </c>
      <c r="S410" s="361">
        <f t="shared" si="73"/>
        <v>0</v>
      </c>
    </row>
    <row r="411" spans="1:19" hidden="1">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-4.4999999999999998E-2</v>
      </c>
      <c r="R411" s="715">
        <f t="shared" si="82"/>
        <v>0</v>
      </c>
      <c r="S411" s="361">
        <f t="shared" si="73"/>
        <v>0</v>
      </c>
    </row>
    <row r="412" spans="1:19" hidden="1">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-4.4999999999999998E-2</v>
      </c>
      <c r="R412" s="715">
        <f t="shared" si="82"/>
        <v>0</v>
      </c>
      <c r="S412" s="361">
        <f t="shared" si="73"/>
        <v>0</v>
      </c>
    </row>
    <row r="413" spans="1:19" hidden="1">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-4.4999999999999998E-2</v>
      </c>
      <c r="R413" s="715">
        <f t="shared" si="82"/>
        <v>0</v>
      </c>
      <c r="S413" s="361">
        <f t="shared" si="73"/>
        <v>0</v>
      </c>
    </row>
    <row r="414" spans="1:19" hidden="1">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-4.4999999999999998E-2</v>
      </c>
      <c r="R414" s="715">
        <f t="shared" si="82"/>
        <v>0</v>
      </c>
      <c r="S414" s="361">
        <f t="shared" si="73"/>
        <v>0</v>
      </c>
    </row>
    <row r="415" spans="1:19" hidden="1">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-4.4999999999999998E-2</v>
      </c>
      <c r="R415" s="715">
        <f t="shared" si="82"/>
        <v>0</v>
      </c>
      <c r="S415" s="361">
        <f t="shared" si="73"/>
        <v>0</v>
      </c>
    </row>
    <row r="416" spans="1:19" hidden="1">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-4.4999999999999998E-2</v>
      </c>
      <c r="R416" s="715">
        <f t="shared" si="82"/>
        <v>0</v>
      </c>
      <c r="S416" s="361">
        <f t="shared" si="73"/>
        <v>0</v>
      </c>
    </row>
    <row r="417" spans="1:19" hidden="1">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-4.4999999999999998E-2</v>
      </c>
      <c r="R417" s="715">
        <f t="shared" si="82"/>
        <v>0</v>
      </c>
      <c r="S417" s="361">
        <f t="shared" si="73"/>
        <v>0</v>
      </c>
    </row>
    <row r="418" spans="1:19" hidden="1">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-4.4999999999999998E-2</v>
      </c>
      <c r="R418" s="715">
        <f t="shared" si="82"/>
        <v>0</v>
      </c>
      <c r="S418" s="361">
        <f t="shared" si="73"/>
        <v>0</v>
      </c>
    </row>
    <row r="419" spans="1:19" hidden="1">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-4.4999999999999998E-2</v>
      </c>
      <c r="R419" s="715">
        <f t="shared" si="82"/>
        <v>0</v>
      </c>
      <c r="S419" s="361">
        <f t="shared" si="73"/>
        <v>0</v>
      </c>
    </row>
    <row r="420" spans="1:19" hidden="1">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-4.4999999999999998E-2</v>
      </c>
      <c r="R420" s="715">
        <f t="shared" si="82"/>
        <v>0</v>
      </c>
      <c r="S420" s="361">
        <f t="shared" si="73"/>
        <v>0</v>
      </c>
    </row>
    <row r="421" spans="1:19" hidden="1">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-4.4999999999999998E-2</v>
      </c>
      <c r="R421" s="715">
        <f t="shared" si="82"/>
        <v>0</v>
      </c>
      <c r="S421" s="361">
        <f t="shared" si="73"/>
        <v>0</v>
      </c>
    </row>
    <row r="422" spans="1:19" hidden="1">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-4.4999999999999998E-2</v>
      </c>
      <c r="R422" s="715">
        <f t="shared" si="82"/>
        <v>0</v>
      </c>
      <c r="S422" s="361">
        <f t="shared" si="73"/>
        <v>0</v>
      </c>
    </row>
    <row r="423" spans="1:19" hidden="1">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-4.4999999999999998E-2</v>
      </c>
      <c r="R423" s="715">
        <f t="shared" si="82"/>
        <v>0</v>
      </c>
      <c r="S423" s="361">
        <f t="shared" ref="S423:S467" si="83">ROUND(R423*B423/10000,0)</f>
        <v>0</v>
      </c>
    </row>
    <row r="424" spans="1:19" hidden="1">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-4.4999999999999998E-2</v>
      </c>
      <c r="R424" s="715">
        <f t="shared" si="82"/>
        <v>0</v>
      </c>
      <c r="S424" s="361">
        <f t="shared" si="83"/>
        <v>0</v>
      </c>
    </row>
    <row r="425" spans="1:19" hidden="1">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-4.4999999999999998E-2</v>
      </c>
      <c r="R425" s="715">
        <f t="shared" si="82"/>
        <v>0</v>
      </c>
      <c r="S425" s="361">
        <f t="shared" si="83"/>
        <v>0</v>
      </c>
    </row>
    <row r="426" spans="1:19" hidden="1">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-4.4999999999999998E-2</v>
      </c>
      <c r="R426" s="715">
        <f t="shared" si="82"/>
        <v>0</v>
      </c>
      <c r="S426" s="361">
        <f t="shared" si="83"/>
        <v>0</v>
      </c>
    </row>
    <row r="427" spans="1:19" hidden="1">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-4.4999999999999998E-2</v>
      </c>
      <c r="R427" s="715">
        <f t="shared" si="82"/>
        <v>0</v>
      </c>
      <c r="S427" s="361">
        <f t="shared" si="83"/>
        <v>0</v>
      </c>
    </row>
    <row r="428" spans="1:19" hidden="1">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-4.4999999999999998E-2</v>
      </c>
      <c r="R428" s="715">
        <f t="shared" si="82"/>
        <v>0</v>
      </c>
      <c r="S428" s="361">
        <f t="shared" si="83"/>
        <v>0</v>
      </c>
    </row>
    <row r="429" spans="1:19" hidden="1">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-4.4999999999999998E-2</v>
      </c>
      <c r="R429" s="715">
        <f t="shared" si="82"/>
        <v>0</v>
      </c>
      <c r="S429" s="361">
        <f t="shared" si="83"/>
        <v>0</v>
      </c>
    </row>
    <row r="430" spans="1:19" hidden="1">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-4.4999999999999998E-2</v>
      </c>
      <c r="R430" s="715">
        <f t="shared" si="82"/>
        <v>0</v>
      </c>
      <c r="S430" s="361">
        <f t="shared" si="83"/>
        <v>0</v>
      </c>
    </row>
    <row r="431" spans="1:19" hidden="1">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-4.4999999999999998E-2</v>
      </c>
      <c r="R431" s="715">
        <f t="shared" si="82"/>
        <v>0</v>
      </c>
      <c r="S431" s="361">
        <f t="shared" si="83"/>
        <v>0</v>
      </c>
    </row>
    <row r="432" spans="1:19" hidden="1">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-4.4999999999999998E-2</v>
      </c>
      <c r="R432" s="715">
        <f t="shared" si="82"/>
        <v>0</v>
      </c>
      <c r="S432" s="361">
        <f t="shared" si="83"/>
        <v>0</v>
      </c>
    </row>
    <row r="433" spans="1:19" hidden="1">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-4.4999999999999998E-2</v>
      </c>
      <c r="R433" s="715">
        <f t="shared" si="82"/>
        <v>0</v>
      </c>
      <c r="S433" s="361">
        <f t="shared" si="83"/>
        <v>0</v>
      </c>
    </row>
    <row r="434" spans="1:19" hidden="1">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-4.4999999999999998E-2</v>
      </c>
      <c r="R434" s="715">
        <f t="shared" si="82"/>
        <v>0</v>
      </c>
      <c r="S434" s="361">
        <f t="shared" si="83"/>
        <v>0</v>
      </c>
    </row>
    <row r="435" spans="1:19" hidden="1">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-4.4999999999999998E-2</v>
      </c>
      <c r="R435" s="715">
        <f t="shared" si="82"/>
        <v>0</v>
      </c>
      <c r="S435" s="361">
        <f t="shared" si="83"/>
        <v>0</v>
      </c>
    </row>
    <row r="436" spans="1:19" hidden="1">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-4.4999999999999998E-2</v>
      </c>
      <c r="R436" s="715">
        <f t="shared" si="82"/>
        <v>0</v>
      </c>
      <c r="S436" s="361">
        <f t="shared" si="83"/>
        <v>0</v>
      </c>
    </row>
    <row r="437" spans="1:19" hidden="1">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-4.4999999999999998E-2</v>
      </c>
      <c r="R437" s="715">
        <f t="shared" si="82"/>
        <v>0</v>
      </c>
      <c r="S437" s="361">
        <f t="shared" si="83"/>
        <v>0</v>
      </c>
    </row>
    <row r="438" spans="1:19" hidden="1">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-4.4999999999999998E-2</v>
      </c>
      <c r="R438" s="715">
        <f t="shared" si="82"/>
        <v>0</v>
      </c>
      <c r="S438" s="361">
        <f t="shared" si="83"/>
        <v>0</v>
      </c>
    </row>
    <row r="439" spans="1:19" hidden="1">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-4.4999999999999998E-2</v>
      </c>
      <c r="R439" s="715">
        <f t="shared" si="82"/>
        <v>0</v>
      </c>
      <c r="S439" s="361">
        <f t="shared" si="83"/>
        <v>0</v>
      </c>
    </row>
    <row r="440" spans="1:19" hidden="1">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-4.4999999999999998E-2</v>
      </c>
      <c r="R440" s="715">
        <f t="shared" si="82"/>
        <v>0</v>
      </c>
      <c r="S440" s="361">
        <f t="shared" si="83"/>
        <v>0</v>
      </c>
    </row>
    <row r="441" spans="1:19" hidden="1">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-4.4999999999999998E-2</v>
      </c>
      <c r="R441" s="715">
        <f t="shared" si="82"/>
        <v>0</v>
      </c>
      <c r="S441" s="361">
        <f t="shared" si="83"/>
        <v>0</v>
      </c>
    </row>
    <row r="442" spans="1:19" hidden="1">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-4.4999999999999998E-2</v>
      </c>
      <c r="R442" s="715">
        <f t="shared" si="82"/>
        <v>0</v>
      </c>
      <c r="S442" s="361">
        <f t="shared" si="83"/>
        <v>0</v>
      </c>
    </row>
    <row r="443" spans="1:19" hidden="1">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-4.4999999999999998E-2</v>
      </c>
      <c r="R443" s="715">
        <f t="shared" si="82"/>
        <v>0</v>
      </c>
      <c r="S443" s="361">
        <f t="shared" si="83"/>
        <v>0</v>
      </c>
    </row>
    <row r="444" spans="1:19" hidden="1">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-4.4999999999999998E-2</v>
      </c>
      <c r="R444" s="715">
        <f t="shared" si="82"/>
        <v>0</v>
      </c>
      <c r="S444" s="361">
        <f t="shared" si="83"/>
        <v>0</v>
      </c>
    </row>
    <row r="445" spans="1:19" hidden="1">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-4.4999999999999998E-2</v>
      </c>
      <c r="R445" s="715">
        <f t="shared" si="82"/>
        <v>0</v>
      </c>
      <c r="S445" s="361">
        <f t="shared" si="83"/>
        <v>0</v>
      </c>
    </row>
    <row r="446" spans="1:19" hidden="1">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-4.4999999999999998E-2</v>
      </c>
      <c r="R446" s="715">
        <f t="shared" si="82"/>
        <v>0</v>
      </c>
      <c r="S446" s="361">
        <f t="shared" si="83"/>
        <v>0</v>
      </c>
    </row>
    <row r="447" spans="1:19" hidden="1">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-4.4999999999999998E-2</v>
      </c>
      <c r="R447" s="715">
        <f t="shared" si="82"/>
        <v>0</v>
      </c>
      <c r="S447" s="361">
        <f t="shared" si="83"/>
        <v>0</v>
      </c>
    </row>
    <row r="448" spans="1:19" hidden="1">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-4.4999999999999998E-2</v>
      </c>
      <c r="R448" s="715">
        <f t="shared" si="82"/>
        <v>0</v>
      </c>
      <c r="S448" s="361">
        <f t="shared" si="83"/>
        <v>0</v>
      </c>
    </row>
    <row r="449" spans="1:19" hidden="1">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-4.4999999999999998E-2</v>
      </c>
      <c r="R449" s="715">
        <f t="shared" si="82"/>
        <v>0</v>
      </c>
      <c r="S449" s="361">
        <f t="shared" si="83"/>
        <v>0</v>
      </c>
    </row>
    <row r="450" spans="1:19" hidden="1">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-4.4999999999999998E-2</v>
      </c>
      <c r="R450" s="715">
        <f t="shared" si="82"/>
        <v>0</v>
      </c>
      <c r="S450" s="361">
        <f t="shared" si="83"/>
        <v>0</v>
      </c>
    </row>
    <row r="451" spans="1:19" hidden="1">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-4.4999999999999998E-2</v>
      </c>
      <c r="R451" s="715">
        <f t="shared" si="82"/>
        <v>0</v>
      </c>
      <c r="S451" s="361">
        <f t="shared" si="83"/>
        <v>0</v>
      </c>
    </row>
    <row r="452" spans="1:19" hidden="1">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-4.4999999999999998E-2</v>
      </c>
      <c r="R452" s="715">
        <f t="shared" si="82"/>
        <v>0</v>
      </c>
      <c r="S452" s="361">
        <f t="shared" si="83"/>
        <v>0</v>
      </c>
    </row>
    <row r="453" spans="1:19" hidden="1">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-4.4999999999999998E-2</v>
      </c>
      <c r="R453" s="715">
        <f t="shared" si="82"/>
        <v>0</v>
      </c>
      <c r="S453" s="361">
        <f t="shared" si="83"/>
        <v>0</v>
      </c>
    </row>
    <row r="454" spans="1:19" hidden="1">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-4.4999999999999998E-2</v>
      </c>
      <c r="R454" s="715">
        <f t="shared" si="82"/>
        <v>0</v>
      </c>
      <c r="S454" s="361">
        <f t="shared" si="83"/>
        <v>0</v>
      </c>
    </row>
    <row r="455" spans="1:19" hidden="1">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-4.4999999999999998E-2</v>
      </c>
      <c r="R455" s="715">
        <f t="shared" si="82"/>
        <v>0</v>
      </c>
      <c r="S455" s="361">
        <f t="shared" si="83"/>
        <v>0</v>
      </c>
    </row>
    <row r="456" spans="1:19" hidden="1">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-4.4999999999999998E-2</v>
      </c>
      <c r="R456" s="715">
        <f t="shared" si="82"/>
        <v>0</v>
      </c>
      <c r="S456" s="361">
        <f t="shared" si="83"/>
        <v>0</v>
      </c>
    </row>
    <row r="457" spans="1:19" hidden="1">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-4.4999999999999998E-2</v>
      </c>
      <c r="R457" s="715">
        <f t="shared" si="82"/>
        <v>0</v>
      </c>
      <c r="S457" s="361">
        <f t="shared" si="83"/>
        <v>0</v>
      </c>
    </row>
    <row r="458" spans="1:19" hidden="1">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-4.4999999999999998E-2</v>
      </c>
      <c r="R458" s="715">
        <f t="shared" si="82"/>
        <v>0</v>
      </c>
      <c r="S458" s="361">
        <f t="shared" si="83"/>
        <v>0</v>
      </c>
    </row>
    <row r="459" spans="1:19" hidden="1">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-4.4999999999999998E-2</v>
      </c>
      <c r="R459" s="715">
        <f t="shared" si="82"/>
        <v>0</v>
      </c>
      <c r="S459" s="361">
        <f t="shared" si="83"/>
        <v>0</v>
      </c>
    </row>
    <row r="460" spans="1:19" hidden="1">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-4.4999999999999998E-2</v>
      </c>
      <c r="R460" s="715">
        <f t="shared" si="82"/>
        <v>0</v>
      </c>
      <c r="S460" s="361">
        <f t="shared" si="83"/>
        <v>0</v>
      </c>
    </row>
    <row r="461" spans="1:19" hidden="1">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-4.4999999999999998E-2</v>
      </c>
      <c r="R461" s="715">
        <f t="shared" si="82"/>
        <v>0</v>
      </c>
      <c r="S461" s="361">
        <f t="shared" si="83"/>
        <v>0</v>
      </c>
    </row>
    <row r="462" spans="1:19" hidden="1">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-4.4999999999999998E-2</v>
      </c>
      <c r="R462" s="715">
        <f t="shared" si="82"/>
        <v>0</v>
      </c>
      <c r="S462" s="361">
        <f t="shared" si="83"/>
        <v>0</v>
      </c>
    </row>
    <row r="463" spans="1:19" hidden="1">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-4.4999999999999998E-2</v>
      </c>
      <c r="R463" s="715">
        <f t="shared" si="82"/>
        <v>0</v>
      </c>
      <c r="S463" s="361">
        <f t="shared" si="83"/>
        <v>0</v>
      </c>
    </row>
    <row r="464" spans="1:19" hidden="1">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-4.4999999999999998E-2</v>
      </c>
      <c r="R464" s="715">
        <f t="shared" si="82"/>
        <v>0</v>
      </c>
      <c r="S464" s="361">
        <f t="shared" si="83"/>
        <v>0</v>
      </c>
    </row>
    <row r="465" spans="1:19" hidden="1">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-4.4999999999999998E-2</v>
      </c>
      <c r="R465" s="715">
        <f t="shared" si="82"/>
        <v>0</v>
      </c>
      <c r="S465" s="361">
        <f t="shared" si="83"/>
        <v>0</v>
      </c>
    </row>
    <row r="466" spans="1:19" hidden="1">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-4.4999999999999998E-2</v>
      </c>
      <c r="R466" s="715">
        <f t="shared" si="82"/>
        <v>0</v>
      </c>
      <c r="S466" s="361">
        <f t="shared" si="83"/>
        <v>0</v>
      </c>
    </row>
    <row r="467" spans="1:19" hidden="1">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-4.4999999999999998E-2</v>
      </c>
      <c r="R467" s="715">
        <f t="shared" si="82"/>
        <v>0</v>
      </c>
      <c r="S467" s="361">
        <f t="shared" si="83"/>
        <v>0</v>
      </c>
    </row>
    <row r="468" spans="1:19" hidden="1">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-4.4999999999999998E-2</v>
      </c>
      <c r="R468" s="715">
        <f t="shared" si="82"/>
        <v>0</v>
      </c>
      <c r="S468" s="361">
        <f t="shared" ref="S468:S497" si="84">ROUND(R468*B468/10000,0)</f>
        <v>0</v>
      </c>
    </row>
    <row r="469" spans="1:19" hidden="1">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-4.4999999999999998E-2</v>
      </c>
      <c r="R469" s="715">
        <f t="shared" si="82"/>
        <v>0</v>
      </c>
      <c r="S469" s="361">
        <f t="shared" si="84"/>
        <v>0</v>
      </c>
    </row>
    <row r="470" spans="1:19" hidden="1">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-4.4999999999999998E-2</v>
      </c>
      <c r="R470" s="715">
        <f t="shared" si="82"/>
        <v>0</v>
      </c>
      <c r="S470" s="361">
        <f t="shared" si="84"/>
        <v>0</v>
      </c>
    </row>
    <row r="471" spans="1:19" hidden="1">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-4.4999999999999998E-2</v>
      </c>
      <c r="R471" s="715">
        <f t="shared" si="82"/>
        <v>0</v>
      </c>
      <c r="S471" s="361">
        <f t="shared" si="84"/>
        <v>0</v>
      </c>
    </row>
    <row r="472" spans="1:19" hidden="1">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-4.4999999999999998E-2</v>
      </c>
      <c r="R472" s="715">
        <f t="shared" si="82"/>
        <v>0</v>
      </c>
      <c r="S472" s="361">
        <f t="shared" si="84"/>
        <v>0</v>
      </c>
    </row>
    <row r="473" spans="1:19" hidden="1">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-4.4999999999999998E-2</v>
      </c>
      <c r="R473" s="715">
        <f t="shared" si="82"/>
        <v>0</v>
      </c>
      <c r="S473" s="361">
        <f t="shared" si="84"/>
        <v>0</v>
      </c>
    </row>
    <row r="474" spans="1:19" hidden="1">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-4.4999999999999998E-2</v>
      </c>
      <c r="R474" s="715">
        <f t="shared" ref="R474:R524" si="93">IF(B474="",0,ROUND($R$24*C474*E474*G474*I474*K474*M474*O474*Q474,0))</f>
        <v>0</v>
      </c>
      <c r="S474" s="361">
        <f t="shared" si="84"/>
        <v>0</v>
      </c>
    </row>
    <row r="475" spans="1:19" hidden="1">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-4.4999999999999998E-2</v>
      </c>
      <c r="R475" s="715">
        <f t="shared" si="93"/>
        <v>0</v>
      </c>
      <c r="S475" s="361">
        <f t="shared" si="84"/>
        <v>0</v>
      </c>
    </row>
    <row r="476" spans="1:19" hidden="1">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-4.4999999999999998E-2</v>
      </c>
      <c r="R476" s="715">
        <f t="shared" si="93"/>
        <v>0</v>
      </c>
      <c r="S476" s="361">
        <f t="shared" si="84"/>
        <v>0</v>
      </c>
    </row>
    <row r="477" spans="1:19" hidden="1">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-4.4999999999999998E-2</v>
      </c>
      <c r="R477" s="715">
        <f t="shared" si="93"/>
        <v>0</v>
      </c>
      <c r="S477" s="361">
        <f t="shared" si="84"/>
        <v>0</v>
      </c>
    </row>
    <row r="478" spans="1:19" hidden="1">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-4.4999999999999998E-2</v>
      </c>
      <c r="R478" s="715">
        <f t="shared" si="93"/>
        <v>0</v>
      </c>
      <c r="S478" s="361">
        <f t="shared" si="84"/>
        <v>0</v>
      </c>
    </row>
    <row r="479" spans="1:19" hidden="1">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-4.4999999999999998E-2</v>
      </c>
      <c r="R479" s="715">
        <f t="shared" si="93"/>
        <v>0</v>
      </c>
      <c r="S479" s="361">
        <f t="shared" si="84"/>
        <v>0</v>
      </c>
    </row>
    <row r="480" spans="1:19" hidden="1">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-4.4999999999999998E-2</v>
      </c>
      <c r="R480" s="715">
        <f t="shared" si="93"/>
        <v>0</v>
      </c>
      <c r="S480" s="361">
        <f t="shared" si="84"/>
        <v>0</v>
      </c>
    </row>
    <row r="481" spans="1:19" hidden="1">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-4.4999999999999998E-2</v>
      </c>
      <c r="R481" s="715">
        <f t="shared" si="93"/>
        <v>0</v>
      </c>
      <c r="S481" s="361">
        <f t="shared" si="84"/>
        <v>0</v>
      </c>
    </row>
    <row r="482" spans="1:19" hidden="1">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-4.4999999999999998E-2</v>
      </c>
      <c r="R482" s="715">
        <f t="shared" si="93"/>
        <v>0</v>
      </c>
      <c r="S482" s="361">
        <f t="shared" si="84"/>
        <v>0</v>
      </c>
    </row>
    <row r="483" spans="1:19" hidden="1">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-4.4999999999999998E-2</v>
      </c>
      <c r="R483" s="715">
        <f t="shared" si="93"/>
        <v>0</v>
      </c>
      <c r="S483" s="361">
        <f t="shared" si="84"/>
        <v>0</v>
      </c>
    </row>
    <row r="484" spans="1:19" hidden="1">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-4.4999999999999998E-2</v>
      </c>
      <c r="R484" s="715">
        <f t="shared" si="93"/>
        <v>0</v>
      </c>
      <c r="S484" s="361">
        <f t="shared" si="84"/>
        <v>0</v>
      </c>
    </row>
    <row r="485" spans="1:19" hidden="1">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-4.4999999999999998E-2</v>
      </c>
      <c r="R485" s="715">
        <f t="shared" si="93"/>
        <v>0</v>
      </c>
      <c r="S485" s="361">
        <f t="shared" si="84"/>
        <v>0</v>
      </c>
    </row>
    <row r="486" spans="1:19" hidden="1">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-4.4999999999999998E-2</v>
      </c>
      <c r="R486" s="715">
        <f t="shared" si="93"/>
        <v>0</v>
      </c>
      <c r="S486" s="361">
        <f t="shared" si="84"/>
        <v>0</v>
      </c>
    </row>
    <row r="487" spans="1:19" hidden="1">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-4.4999999999999998E-2</v>
      </c>
      <c r="R487" s="715">
        <f t="shared" si="93"/>
        <v>0</v>
      </c>
      <c r="S487" s="361">
        <f t="shared" si="84"/>
        <v>0</v>
      </c>
    </row>
    <row r="488" spans="1:19" hidden="1">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-4.4999999999999998E-2</v>
      </c>
      <c r="R488" s="715">
        <f t="shared" si="93"/>
        <v>0</v>
      </c>
      <c r="S488" s="361">
        <f t="shared" si="84"/>
        <v>0</v>
      </c>
    </row>
    <row r="489" spans="1:19" hidden="1">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-4.4999999999999998E-2</v>
      </c>
      <c r="R489" s="715">
        <f t="shared" si="93"/>
        <v>0</v>
      </c>
      <c r="S489" s="361">
        <f t="shared" si="84"/>
        <v>0</v>
      </c>
    </row>
    <row r="490" spans="1:19" hidden="1">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-4.4999999999999998E-2</v>
      </c>
      <c r="R490" s="715">
        <f t="shared" si="93"/>
        <v>0</v>
      </c>
      <c r="S490" s="361">
        <f t="shared" si="84"/>
        <v>0</v>
      </c>
    </row>
    <row r="491" spans="1:19" hidden="1">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-4.4999999999999998E-2</v>
      </c>
      <c r="R491" s="715">
        <f t="shared" si="93"/>
        <v>0</v>
      </c>
      <c r="S491" s="361">
        <f t="shared" si="84"/>
        <v>0</v>
      </c>
    </row>
    <row r="492" spans="1:19" hidden="1">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-4.4999999999999998E-2</v>
      </c>
      <c r="R492" s="715">
        <f t="shared" si="93"/>
        <v>0</v>
      </c>
      <c r="S492" s="361">
        <f t="shared" si="84"/>
        <v>0</v>
      </c>
    </row>
    <row r="493" spans="1:19" hidden="1">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-4.4999999999999998E-2</v>
      </c>
      <c r="R493" s="715">
        <f t="shared" si="93"/>
        <v>0</v>
      </c>
      <c r="S493" s="361">
        <f t="shared" si="84"/>
        <v>0</v>
      </c>
    </row>
    <row r="494" spans="1:19" hidden="1">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-4.4999999999999998E-2</v>
      </c>
      <c r="R494" s="715">
        <f t="shared" si="93"/>
        <v>0</v>
      </c>
      <c r="S494" s="361">
        <f t="shared" si="84"/>
        <v>0</v>
      </c>
    </row>
    <row r="495" spans="1:19" hidden="1">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-4.4999999999999998E-2</v>
      </c>
      <c r="R495" s="715">
        <f t="shared" si="93"/>
        <v>0</v>
      </c>
      <c r="S495" s="361">
        <f t="shared" si="84"/>
        <v>0</v>
      </c>
    </row>
    <row r="496" spans="1:19" hidden="1">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-4.4999999999999998E-2</v>
      </c>
      <c r="R496" s="715">
        <f t="shared" si="93"/>
        <v>0</v>
      </c>
      <c r="S496" s="361">
        <f t="shared" si="84"/>
        <v>0</v>
      </c>
    </row>
    <row r="497" spans="1:19" hidden="1">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-4.4999999999999998E-2</v>
      </c>
      <c r="R497" s="715">
        <f t="shared" si="93"/>
        <v>0</v>
      </c>
      <c r="S497" s="361">
        <f t="shared" si="84"/>
        <v>0</v>
      </c>
    </row>
    <row r="498" spans="1:19" hidden="1">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-4.4999999999999998E-2</v>
      </c>
      <c r="R498" s="715">
        <f t="shared" si="93"/>
        <v>0</v>
      </c>
      <c r="S498" s="361">
        <f t="shared" ref="S498:S524" si="94">ROUND(R498*B498/10000,0)</f>
        <v>0</v>
      </c>
    </row>
    <row r="499" spans="1:19" hidden="1">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-4.4999999999999998E-2</v>
      </c>
      <c r="R499" s="715">
        <f t="shared" si="93"/>
        <v>0</v>
      </c>
      <c r="S499" s="361">
        <f t="shared" si="94"/>
        <v>0</v>
      </c>
    </row>
    <row r="500" spans="1:19" hidden="1">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-4.4999999999999998E-2</v>
      </c>
      <c r="R500" s="715">
        <f t="shared" si="93"/>
        <v>0</v>
      </c>
      <c r="S500" s="361">
        <f t="shared" si="94"/>
        <v>0</v>
      </c>
    </row>
    <row r="501" spans="1:19" hidden="1">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-4.4999999999999998E-2</v>
      </c>
      <c r="R501" s="715">
        <f t="shared" si="93"/>
        <v>0</v>
      </c>
      <c r="S501" s="361">
        <f t="shared" si="94"/>
        <v>0</v>
      </c>
    </row>
    <row r="502" spans="1:19" hidden="1">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-4.4999999999999998E-2</v>
      </c>
      <c r="R502" s="715">
        <f t="shared" si="93"/>
        <v>0</v>
      </c>
      <c r="S502" s="361">
        <f t="shared" si="94"/>
        <v>0</v>
      </c>
    </row>
    <row r="503" spans="1:19" hidden="1">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-4.4999999999999998E-2</v>
      </c>
      <c r="R503" s="715">
        <f t="shared" si="93"/>
        <v>0</v>
      </c>
      <c r="S503" s="361">
        <f t="shared" si="94"/>
        <v>0</v>
      </c>
    </row>
    <row r="504" spans="1:19" hidden="1">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-4.4999999999999998E-2</v>
      </c>
      <c r="R504" s="715">
        <f t="shared" si="93"/>
        <v>0</v>
      </c>
      <c r="S504" s="361">
        <f t="shared" si="94"/>
        <v>0</v>
      </c>
    </row>
    <row r="505" spans="1:19" hidden="1">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-4.4999999999999998E-2</v>
      </c>
      <c r="R505" s="715">
        <f t="shared" si="93"/>
        <v>0</v>
      </c>
      <c r="S505" s="361">
        <f t="shared" si="94"/>
        <v>0</v>
      </c>
    </row>
    <row r="506" spans="1:19" hidden="1">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-4.4999999999999998E-2</v>
      </c>
      <c r="R506" s="715">
        <f t="shared" si="93"/>
        <v>0</v>
      </c>
      <c r="S506" s="361">
        <f t="shared" si="94"/>
        <v>0</v>
      </c>
    </row>
    <row r="507" spans="1:19" hidden="1">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-4.4999999999999998E-2</v>
      </c>
      <c r="R507" s="715">
        <f t="shared" si="93"/>
        <v>0</v>
      </c>
      <c r="S507" s="361">
        <f t="shared" si="94"/>
        <v>0</v>
      </c>
    </row>
    <row r="508" spans="1:19" hidden="1">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-4.4999999999999998E-2</v>
      </c>
      <c r="R508" s="715">
        <f t="shared" si="93"/>
        <v>0</v>
      </c>
      <c r="S508" s="361">
        <f t="shared" si="94"/>
        <v>0</v>
      </c>
    </row>
    <row r="509" spans="1:19" hidden="1">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-4.4999999999999998E-2</v>
      </c>
      <c r="R509" s="715">
        <f t="shared" si="93"/>
        <v>0</v>
      </c>
      <c r="S509" s="361">
        <f t="shared" si="94"/>
        <v>0</v>
      </c>
    </row>
    <row r="510" spans="1:19" hidden="1">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-4.4999999999999998E-2</v>
      </c>
      <c r="R510" s="715">
        <f t="shared" si="93"/>
        <v>0</v>
      </c>
      <c r="S510" s="361">
        <f t="shared" si="94"/>
        <v>0</v>
      </c>
    </row>
    <row r="511" spans="1:19" hidden="1">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-4.4999999999999998E-2</v>
      </c>
      <c r="R511" s="715">
        <f t="shared" si="93"/>
        <v>0</v>
      </c>
      <c r="S511" s="361">
        <f t="shared" si="94"/>
        <v>0</v>
      </c>
    </row>
    <row r="512" spans="1:19" hidden="1">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-4.4999999999999998E-2</v>
      </c>
      <c r="R512" s="715">
        <f t="shared" si="93"/>
        <v>0</v>
      </c>
      <c r="S512" s="361">
        <f t="shared" si="94"/>
        <v>0</v>
      </c>
    </row>
    <row r="513" spans="1:19" hidden="1">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-4.4999999999999998E-2</v>
      </c>
      <c r="R513" s="715">
        <f t="shared" si="93"/>
        <v>0</v>
      </c>
      <c r="S513" s="361">
        <f t="shared" si="94"/>
        <v>0</v>
      </c>
    </row>
    <row r="514" spans="1:19" hidden="1">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-4.4999999999999998E-2</v>
      </c>
      <c r="R514" s="715">
        <f t="shared" si="93"/>
        <v>0</v>
      </c>
      <c r="S514" s="361">
        <f t="shared" si="94"/>
        <v>0</v>
      </c>
    </row>
    <row r="515" spans="1:19" hidden="1">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-4.4999999999999998E-2</v>
      </c>
      <c r="R515" s="715">
        <f t="shared" si="93"/>
        <v>0</v>
      </c>
      <c r="S515" s="361">
        <f t="shared" si="94"/>
        <v>0</v>
      </c>
    </row>
    <row r="516" spans="1:19" hidden="1">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-4.4999999999999998E-2</v>
      </c>
      <c r="R516" s="715">
        <f t="shared" si="93"/>
        <v>0</v>
      </c>
      <c r="S516" s="361">
        <f t="shared" si="94"/>
        <v>0</v>
      </c>
    </row>
    <row r="517" spans="1:19" hidden="1">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-4.4999999999999998E-2</v>
      </c>
      <c r="R517" s="715">
        <f t="shared" si="93"/>
        <v>0</v>
      </c>
      <c r="S517" s="361">
        <f t="shared" si="94"/>
        <v>0</v>
      </c>
    </row>
    <row r="518" spans="1:19" hidden="1">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-4.4999999999999998E-2</v>
      </c>
      <c r="R518" s="715">
        <f t="shared" si="93"/>
        <v>0</v>
      </c>
      <c r="S518" s="361">
        <f t="shared" si="94"/>
        <v>0</v>
      </c>
    </row>
    <row r="519" spans="1:19" hidden="1">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-4.4999999999999998E-2</v>
      </c>
      <c r="R519" s="715">
        <f t="shared" si="93"/>
        <v>0</v>
      </c>
      <c r="S519" s="361">
        <f t="shared" si="94"/>
        <v>0</v>
      </c>
    </row>
    <row r="520" spans="1:19" hidden="1">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-4.4999999999999998E-2</v>
      </c>
      <c r="R520" s="715">
        <f t="shared" si="93"/>
        <v>0</v>
      </c>
      <c r="S520" s="361">
        <f t="shared" si="94"/>
        <v>0</v>
      </c>
    </row>
    <row r="521" spans="1:19" hidden="1">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-4.4999999999999998E-2</v>
      </c>
      <c r="R521" s="715">
        <f t="shared" si="93"/>
        <v>0</v>
      </c>
      <c r="S521" s="361">
        <f t="shared" si="94"/>
        <v>0</v>
      </c>
    </row>
    <row r="522" spans="1:19" hidden="1">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-4.4999999999999998E-2</v>
      </c>
      <c r="R522" s="715">
        <f t="shared" si="93"/>
        <v>0</v>
      </c>
      <c r="S522" s="361">
        <f t="shared" si="94"/>
        <v>0</v>
      </c>
    </row>
    <row r="523" spans="1:19" hidden="1">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-4.4999999999999998E-2</v>
      </c>
      <c r="R523" s="715">
        <f t="shared" si="93"/>
        <v>0</v>
      </c>
      <c r="S523" s="361">
        <f t="shared" si="94"/>
        <v>0</v>
      </c>
    </row>
    <row r="524" spans="1:19" hidden="1">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-4.4999999999999998E-2</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Normal="90" zoomScaleSheetLayoutView="100" workbookViewId="0">
      <selection activeCell="F6" sqref="F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1" customWidth="1"/>
    <col min="12" max="12" width="16.375" style="302" customWidth="1"/>
    <col min="13" max="13" width="13" style="302"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2"/>
  </cols>
  <sheetData>
    <row r="1" spans="1:37" s="337" customFormat="1" ht="21">
      <c r="A1" s="1819" t="s">
        <v>1589</v>
      </c>
      <c r="B1" s="781"/>
      <c r="C1" s="1823" t="s">
        <v>3597</v>
      </c>
      <c r="D1" s="1806" t="s">
        <v>70</v>
      </c>
      <c r="E1" s="1807" t="s">
        <v>1386</v>
      </c>
      <c r="F1" s="1270">
        <f>J53</f>
        <v>48</v>
      </c>
      <c r="G1" s="1822">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9" t="s">
        <v>1515</v>
      </c>
      <c r="B2" s="1830">
        <f ca="1">C40+J29+L46</f>
        <v>330</v>
      </c>
      <c r="C2" s="1831" t="s">
        <v>1516</v>
      </c>
      <c r="D2" s="1831"/>
      <c r="E2" s="1832"/>
      <c r="F2" s="1833"/>
      <c r="G2" s="1834"/>
      <c r="H2" s="1826"/>
      <c r="I2" s="1826"/>
      <c r="J2" s="1826"/>
      <c r="K2" s="1827"/>
      <c r="L2" s="1826"/>
      <c r="M2" s="1826"/>
    </row>
    <row r="3" spans="1:37" ht="18" customHeight="1" thickBot="1">
      <c r="A3" s="1835" t="s">
        <v>1517</v>
      </c>
      <c r="B3" s="1836">
        <f ca="1">IF(ISERROR(B2*10000/F43),0,ROUND(B2*10000/F43,0))</f>
        <v>37483</v>
      </c>
      <c r="C3" s="1831" t="s">
        <v>1518</v>
      </c>
      <c r="D3" s="1831"/>
      <c r="E3" s="1832"/>
      <c r="F3" s="1833"/>
      <c r="G3" s="1834"/>
      <c r="H3" s="743" t="s">
        <v>1588</v>
      </c>
      <c r="I3" s="1826"/>
      <c r="J3" s="1826"/>
      <c r="K3" s="1827"/>
      <c r="L3" s="1826"/>
      <c r="M3" s="1826"/>
    </row>
    <row r="4" spans="1:37" ht="18" customHeight="1">
      <c r="A4" s="340" t="s">
        <v>1395</v>
      </c>
      <c r="B4" s="341" t="s">
        <v>1396</v>
      </c>
      <c r="C4" s="341" t="s">
        <v>1397</v>
      </c>
      <c r="D4" s="341" t="s">
        <v>1398</v>
      </c>
      <c r="E4" s="342" t="s">
        <v>1399</v>
      </c>
      <c r="F4" s="343"/>
      <c r="G4" s="1837"/>
      <c r="H4" s="340" t="s">
        <v>1395</v>
      </c>
      <c r="I4" s="341" t="s">
        <v>1396</v>
      </c>
      <c r="J4" s="341" t="s">
        <v>1397</v>
      </c>
      <c r="K4" s="341" t="s">
        <v>1398</v>
      </c>
      <c r="L4" s="342" t="s">
        <v>1399</v>
      </c>
      <c r="M4" s="343"/>
    </row>
    <row r="5" spans="1:37" ht="18" customHeight="1">
      <c r="A5" s="344">
        <v>1</v>
      </c>
      <c r="B5" s="345" t="s">
        <v>1400</v>
      </c>
      <c r="C5" s="1279">
        <f ca="1">C6+C10+C12</f>
        <v>11</v>
      </c>
      <c r="D5" s="1808" t="s">
        <v>1401</v>
      </c>
      <c r="E5" s="1280"/>
      <c r="F5" s="1281"/>
      <c r="G5" s="1837"/>
      <c r="H5" s="344">
        <v>1</v>
      </c>
      <c r="I5" s="345" t="s">
        <v>1400</v>
      </c>
      <c r="J5" s="1279">
        <f ca="1">J6+J10+J12</f>
        <v>0</v>
      </c>
      <c r="K5" s="1808" t="s">
        <v>1401</v>
      </c>
      <c r="L5" s="1280"/>
      <c r="M5" s="1281"/>
    </row>
    <row r="6" spans="1:37" ht="18" customHeight="1">
      <c r="A6" s="1278" t="s">
        <v>1035</v>
      </c>
      <c r="B6" s="3311" t="s">
        <v>1402</v>
      </c>
      <c r="C6" s="1283">
        <f ca="1">ROUND(F6*F8*F7*(1-F9)/10000,0)</f>
        <v>11</v>
      </c>
      <c r="D6" s="164" t="s">
        <v>2937</v>
      </c>
      <c r="E6" s="347" t="s">
        <v>1404</v>
      </c>
      <c r="F6" s="348">
        <f ca="1">INDIRECT("'数据-取费表'!u"&amp;$G$1)</f>
        <v>10000</v>
      </c>
      <c r="G6" s="1837"/>
      <c r="H6" s="1278" t="s">
        <v>1035</v>
      </c>
      <c r="I6" s="3311" t="s">
        <v>1402</v>
      </c>
      <c r="J6" s="346">
        <f ca="1">ROUND(M6*M8*M7*(1-M9)/10000,0)</f>
        <v>0</v>
      </c>
      <c r="K6" s="164" t="s">
        <v>2936</v>
      </c>
      <c r="L6" s="347" t="s">
        <v>1404</v>
      </c>
      <c r="M6" s="348">
        <f ca="1">INDIRECT("'数据-取费表'!z"&amp;$G$1)</f>
        <v>0</v>
      </c>
    </row>
    <row r="7" spans="1:37" ht="18" customHeight="1">
      <c r="A7" s="1282"/>
      <c r="B7" s="3312"/>
      <c r="C7" s="1284"/>
      <c r="D7" s="352"/>
      <c r="E7" s="2815" t="s">
        <v>1405</v>
      </c>
      <c r="F7" s="348">
        <f ca="1">IF(INDIRECT("'数据-取费表'!ah"&amp;$G$1)="",INDIRECT("'数据-取费表'!k"&amp;$G$1),INDIRECT("'数据-取费表'!ah"&amp;$G$1))</f>
        <v>1</v>
      </c>
      <c r="G7" s="1837"/>
      <c r="H7" s="349"/>
      <c r="I7" s="3312"/>
      <c r="J7" s="351"/>
      <c r="K7" s="352"/>
      <c r="L7" s="347" t="s">
        <v>1405</v>
      </c>
      <c r="M7" s="348">
        <f ca="1">F7</f>
        <v>1</v>
      </c>
    </row>
    <row r="8" spans="1:37" ht="18" customHeight="1">
      <c r="A8" s="349"/>
      <c r="B8" s="3312"/>
      <c r="C8" s="351"/>
      <c r="D8" s="352"/>
      <c r="E8" s="347" t="s">
        <v>1406</v>
      </c>
      <c r="F8" s="348">
        <f ca="1">INDIRECT("'数据-取费表'!ai"&amp;$G$1)</f>
        <v>12</v>
      </c>
      <c r="G8" s="1837"/>
      <c r="H8" s="349"/>
      <c r="I8" s="3312"/>
      <c r="J8" s="351"/>
      <c r="K8" s="352"/>
      <c r="L8" s="347" t="s">
        <v>1406</v>
      </c>
      <c r="M8" s="348">
        <f ca="1">INDIRECT("'数据-取费表'!ai"&amp;$G$1)</f>
        <v>12</v>
      </c>
    </row>
    <row r="9" spans="1:37" ht="18" customHeight="1">
      <c r="A9" s="349"/>
      <c r="B9" s="3313"/>
      <c r="C9" s="351"/>
      <c r="D9" s="352"/>
      <c r="E9" s="347" t="s">
        <v>1407</v>
      </c>
      <c r="F9" s="357">
        <f ca="1">INDIRECT("'数据-取费表'!w"&amp;$G$1)</f>
        <v>0.05</v>
      </c>
      <c r="G9" s="1837"/>
      <c r="H9" s="349"/>
      <c r="I9" s="3313"/>
      <c r="J9" s="351"/>
      <c r="K9" s="352"/>
      <c r="L9" s="358" t="s">
        <v>1407</v>
      </c>
      <c r="M9" s="359">
        <f ca="1">INDIRECT("'数据-取费表'!ab"&amp;$G$1)</f>
        <v>0</v>
      </c>
    </row>
    <row r="10" spans="1:37" ht="18" customHeight="1">
      <c r="A10" s="1278" t="s">
        <v>1039</v>
      </c>
      <c r="B10" s="1809" t="s">
        <v>1408</v>
      </c>
      <c r="C10" s="361">
        <f ca="1">ROUND(IF(F10="押一",F6*F8*F7/12*F11,IF(F10="押二",F6*F8*F7/12*2*F11,IF(F10="押三",F6*F8*F7/12*3*F11,C11*F11)))/10000,0)</f>
        <v>0</v>
      </c>
      <c r="D10" s="1810" t="s">
        <v>2938</v>
      </c>
      <c r="E10" s="358" t="s">
        <v>1410</v>
      </c>
      <c r="F10" s="1353" t="s">
        <v>3593</v>
      </c>
      <c r="G10" s="1837"/>
      <c r="H10" s="1278" t="s">
        <v>1039</v>
      </c>
      <c r="I10" s="1809" t="s">
        <v>1408</v>
      </c>
      <c r="J10" s="346">
        <f ca="1">ROUND(IF(M10="押一",M6*M8*M7/12*M11,IF(M10="押二",M6*M8*M7/12*2*M11,IF(M10="押三",M6*M8*M7/12*3*M11,J11*M11)))/10000,0)</f>
        <v>0</v>
      </c>
      <c r="K10" s="1810" t="s">
        <v>2939</v>
      </c>
      <c r="L10" s="358" t="s">
        <v>1410</v>
      </c>
      <c r="M10" s="1353" t="s">
        <v>1411</v>
      </c>
    </row>
    <row r="11" spans="1:37" ht="18" customHeight="1">
      <c r="A11" s="353"/>
      <c r="B11" s="1811" t="s">
        <v>1387</v>
      </c>
      <c r="C11" s="1173"/>
      <c r="D11" s="1812"/>
      <c r="E11" s="358" t="s">
        <v>1412</v>
      </c>
      <c r="F11" s="359">
        <f ca="1">'数据-取费表'!B39</f>
        <v>1.4999999999999999E-2</v>
      </c>
      <c r="G11" s="1837"/>
      <c r="H11" s="1286"/>
      <c r="I11" s="1811" t="s">
        <v>1387</v>
      </c>
      <c r="J11" s="1173"/>
      <c r="K11" s="747"/>
      <c r="L11" s="358" t="s">
        <v>1412</v>
      </c>
      <c r="M11" s="1051">
        <f ca="1">'数据-取费表'!B39</f>
        <v>1.4999999999999999E-2</v>
      </c>
    </row>
    <row r="12" spans="1:37" ht="18" customHeight="1" thickBot="1">
      <c r="A12" s="1320" t="s">
        <v>1075</v>
      </c>
      <c r="B12" s="1813" t="s">
        <v>1413</v>
      </c>
      <c r="C12" s="1321"/>
      <c r="D12" s="1322"/>
      <c r="E12" s="1327"/>
      <c r="F12" s="1323"/>
      <c r="G12" s="1837"/>
      <c r="H12" s="1320" t="s">
        <v>1075</v>
      </c>
      <c r="I12" s="1813" t="s">
        <v>1413</v>
      </c>
      <c r="J12" s="1321"/>
      <c r="K12" s="1335"/>
      <c r="L12" s="1327"/>
      <c r="M12" s="1336"/>
    </row>
    <row r="13" spans="1:37" ht="18" customHeight="1" thickTop="1">
      <c r="A13" s="1316">
        <v>2</v>
      </c>
      <c r="B13" s="1317" t="s">
        <v>1414</v>
      </c>
      <c r="C13" s="355">
        <f ca="1">ROUND(C29*F13,0)</f>
        <v>60</v>
      </c>
      <c r="D13" s="1318" t="s">
        <v>1415</v>
      </c>
      <c r="E13" s="1318" t="s">
        <v>1416</v>
      </c>
      <c r="F13" s="1319">
        <f ca="1">INDIRECT("'数据-取费表'!y"&amp;$G$1)</f>
        <v>0.88</v>
      </c>
      <c r="G13" s="1837"/>
      <c r="H13" s="1316">
        <v>2</v>
      </c>
      <c r="I13" s="1317" t="s">
        <v>1414</v>
      </c>
      <c r="J13" s="1277">
        <f ca="1">ROUND(J14*J15,0)</f>
        <v>0</v>
      </c>
      <c r="K13" s="1324" t="s">
        <v>1415</v>
      </c>
      <c r="L13" s="1838"/>
      <c r="M13" s="1839"/>
    </row>
    <row r="14" spans="1:37" ht="18" customHeight="1">
      <c r="A14" s="1196" t="s">
        <v>1034</v>
      </c>
      <c r="B14" s="347" t="s">
        <v>1417</v>
      </c>
      <c r="C14" s="363">
        <f ca="1">INDIRECT("'数据-取费表'!m"&amp;$G$1)+INDIRECT("'数据-取费表'!t"&amp;$G$1)</f>
        <v>37</v>
      </c>
      <c r="D14" s="2818" t="s">
        <v>1418</v>
      </c>
      <c r="E14" s="2817"/>
      <c r="F14" s="364"/>
      <c r="G14" s="1837"/>
      <c r="H14" s="1196" t="s">
        <v>1035</v>
      </c>
      <c r="I14" s="347" t="s">
        <v>1419</v>
      </c>
      <c r="J14" s="24">
        <f ca="1">C29</f>
        <v>68</v>
      </c>
      <c r="K14" s="2814"/>
      <c r="L14" s="980"/>
      <c r="M14" s="981"/>
    </row>
    <row r="15" spans="1:37" s="1844" customFormat="1" ht="18" customHeight="1" thickBot="1">
      <c r="A15" s="1196" t="s">
        <v>1036</v>
      </c>
      <c r="B15" s="347" t="s">
        <v>1420</v>
      </c>
      <c r="C15" s="24">
        <f ca="1">ROUND(C14*F15,0)</f>
        <v>2</v>
      </c>
      <c r="D15" s="365" t="s">
        <v>1421</v>
      </c>
      <c r="E15" s="365" t="s">
        <v>1422</v>
      </c>
      <c r="F15" s="366">
        <f>'数据-取费表'!B33</f>
        <v>0.05</v>
      </c>
      <c r="G15" s="1840"/>
      <c r="H15" s="1326" t="s">
        <v>1039</v>
      </c>
      <c r="I15" s="1327" t="s">
        <v>1416</v>
      </c>
      <c r="J15" s="1336">
        <f ca="1">INDIRECT("'数据-取费表'!ad"&amp;$G$1)</f>
        <v>0</v>
      </c>
      <c r="K15" s="1337"/>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1388</v>
      </c>
      <c r="B16" s="347" t="s">
        <v>1423</v>
      </c>
      <c r="C16" s="24">
        <f ca="1">ROUND(INDIRECT("'数据-取费表'!m"&amp;$G$1)*F16,0)</f>
        <v>4</v>
      </c>
      <c r="D16" s="347" t="s">
        <v>1421</v>
      </c>
      <c r="E16" s="347" t="s">
        <v>1422</v>
      </c>
      <c r="F16" s="367">
        <f ca="1">IF(INDIRECT("'数据-取费表'!c"&amp;$G$1)="住宅",'数据-取费表'!B34,0)</f>
        <v>0.1</v>
      </c>
      <c r="G16" s="1837"/>
      <c r="H16" s="1316" t="s">
        <v>1030</v>
      </c>
      <c r="I16" s="1317" t="s">
        <v>1424</v>
      </c>
      <c r="J16" s="355">
        <f ca="1">ROUND(J17+J22+J23+J24,0)</f>
        <v>2</v>
      </c>
      <c r="K16" s="1324" t="s">
        <v>1425</v>
      </c>
      <c r="L16" s="2820"/>
      <c r="M16" s="1281"/>
    </row>
    <row r="17" spans="1:37" s="1844" customFormat="1" ht="18" customHeight="1">
      <c r="A17" s="1196" t="s">
        <v>1389</v>
      </c>
      <c r="B17" s="347" t="s">
        <v>1426</v>
      </c>
      <c r="C17" s="24">
        <f ca="1">ROUND(F17*(F43+INDIRECT("'数据-取费表'!S"&amp;$G$1))/10000,0)</f>
        <v>2</v>
      </c>
      <c r="D17" s="347" t="s">
        <v>1427</v>
      </c>
      <c r="E17" s="347" t="s">
        <v>1428</v>
      </c>
      <c r="F17" s="26">
        <f>'数据-取费表'!B35</f>
        <v>200</v>
      </c>
      <c r="G17" s="1840"/>
      <c r="H17" s="1196" t="s">
        <v>1035</v>
      </c>
      <c r="I17" s="347" t="s">
        <v>1429</v>
      </c>
      <c r="J17" s="24">
        <f ca="1">ROUND(IF(项目基本情况!B11="自然人",J5*M17,J18+J19+J20),1)</f>
        <v>0.6</v>
      </c>
      <c r="K17" s="2818" t="s">
        <v>1430</v>
      </c>
      <c r="L17" s="2819" t="s">
        <v>1431</v>
      </c>
      <c r="M17" s="368"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1390</v>
      </c>
      <c r="B18" s="347" t="s">
        <v>1432</v>
      </c>
      <c r="C18" s="24">
        <f ca="1">ROUND(C14*F18,0)</f>
        <v>1</v>
      </c>
      <c r="D18" s="347" t="s">
        <v>1421</v>
      </c>
      <c r="E18" s="347" t="s">
        <v>1422</v>
      </c>
      <c r="F18" s="367">
        <f>'数据-取费表'!B36</f>
        <v>1.4999999999999999E-2</v>
      </c>
      <c r="G18" s="1840"/>
      <c r="H18" s="1196" t="s">
        <v>1034</v>
      </c>
      <c r="I18" s="347" t="s">
        <v>1433</v>
      </c>
      <c r="J18" s="24">
        <f ca="1">ROUND(J5*M18/(1+'数据-取费表'!C42),2)</f>
        <v>0</v>
      </c>
      <c r="K18" s="2819" t="s">
        <v>1434</v>
      </c>
      <c r="L18" s="347" t="s">
        <v>1422</v>
      </c>
      <c r="M18" s="367">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1035</v>
      </c>
      <c r="B19" s="347" t="s">
        <v>1435</v>
      </c>
      <c r="C19" s="24">
        <f ca="1">SUM(C14:C18)</f>
        <v>46</v>
      </c>
      <c r="D19" s="140" t="s">
        <v>1436</v>
      </c>
      <c r="E19" s="2813"/>
      <c r="F19" s="26"/>
      <c r="G19" s="1837"/>
      <c r="H19" s="1196" t="s">
        <v>1036</v>
      </c>
      <c r="I19" s="347" t="s">
        <v>1437</v>
      </c>
      <c r="J19" s="24">
        <f ca="1">IF(K19="按租金收入计税",ROUND(J5*M19,2),ROUND(C29*M19*0.7,2))</f>
        <v>0.56999999999999995</v>
      </c>
      <c r="K19" s="1814" t="s">
        <v>1438</v>
      </c>
      <c r="L19" s="347" t="s">
        <v>1422</v>
      </c>
      <c r="M19" s="367">
        <f>IF(K19="按租金收入计税",'数据-取费表'!B51,'数据-取费表'!B50)</f>
        <v>1.2E-2</v>
      </c>
    </row>
    <row r="20" spans="1:37" s="1844" customFormat="1" ht="18" customHeight="1">
      <c r="A20" s="1196" t="s">
        <v>1039</v>
      </c>
      <c r="B20" s="347" t="s">
        <v>1439</v>
      </c>
      <c r="C20" s="24">
        <f ca="1">ROUND(C19*F20,0)</f>
        <v>1</v>
      </c>
      <c r="D20" s="369" t="s">
        <v>1440</v>
      </c>
      <c r="E20" s="347" t="s">
        <v>1422</v>
      </c>
      <c r="F20" s="367">
        <f>'数据-取费表'!B37</f>
        <v>0.03</v>
      </c>
      <c r="G20" s="1840"/>
      <c r="H20" s="1196" t="s">
        <v>1388</v>
      </c>
      <c r="I20" s="164" t="s">
        <v>1441</v>
      </c>
      <c r="J20" s="25">
        <f ca="1">ROUND(M20*M21/10000,2)</f>
        <v>0.01</v>
      </c>
      <c r="K20" s="370" t="s">
        <v>1442</v>
      </c>
      <c r="L20" s="347" t="s">
        <v>1443</v>
      </c>
      <c r="M20" s="371">
        <f>'数据-取费表'!B52</f>
        <v>12</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1075</v>
      </c>
      <c r="B21" s="347" t="s">
        <v>1444</v>
      </c>
      <c r="C21" s="24" t="s">
        <v>18</v>
      </c>
      <c r="D21" s="369" t="s">
        <v>1445</v>
      </c>
      <c r="E21" s="347" t="s">
        <v>1446</v>
      </c>
      <c r="F21" s="367">
        <f>'数据-取费表'!B38</f>
        <v>0.03</v>
      </c>
      <c r="G21" s="1840"/>
      <c r="H21" s="372"/>
      <c r="I21" s="356"/>
      <c r="J21" s="29"/>
      <c r="K21" s="373"/>
      <c r="L21" s="347" t="s">
        <v>1447</v>
      </c>
      <c r="M21" s="348">
        <f ca="1">INDIRECT("'数据-取费表'!r"&amp;$G$1)</f>
        <v>8.8800000000000008</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1391</v>
      </c>
      <c r="B22" s="347" t="s">
        <v>1448</v>
      </c>
      <c r="C22" s="24"/>
      <c r="D22" s="140" t="str">
        <f>IF(F23&lt;=1,"单利计息。","复利计息。")&amp;"建造成本、管理费用、销售费用产生的利息。"</f>
        <v>复利计息。建造成本、管理费用、销售费用产生的利息。</v>
      </c>
      <c r="E22" s="2813"/>
      <c r="F22" s="26"/>
      <c r="G22" s="1837"/>
      <c r="H22" s="1196" t="s">
        <v>1039</v>
      </c>
      <c r="I22" s="347" t="s">
        <v>1449</v>
      </c>
      <c r="J22" s="24">
        <f ca="1">ROUND(J14*M22,1)</f>
        <v>1.7</v>
      </c>
      <c r="K22" s="2819" t="s">
        <v>1450</v>
      </c>
      <c r="L22" s="347" t="s">
        <v>1422</v>
      </c>
      <c r="M22" s="374">
        <f ca="1">INDIRECT("'数据-取费表'!Ak"&amp;$G$1)</f>
        <v>2.5000000000000001E-2</v>
      </c>
    </row>
    <row r="23" spans="1:37" s="1844" customFormat="1" ht="18" customHeight="1">
      <c r="A23" s="1196" t="s">
        <v>1034</v>
      </c>
      <c r="B23" s="347" t="s">
        <v>1451</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1452</v>
      </c>
      <c r="F23" s="371">
        <f>'数据-取费表'!B20</f>
        <v>2.5</v>
      </c>
      <c r="G23" s="1840"/>
      <c r="H23" s="1196" t="s">
        <v>1075</v>
      </c>
      <c r="I23" s="347" t="s">
        <v>1453</v>
      </c>
      <c r="J23" s="24">
        <f ca="1">ROUND(J13*M23,1)</f>
        <v>0</v>
      </c>
      <c r="K23" s="2819" t="s">
        <v>1454</v>
      </c>
      <c r="L23" s="347" t="s">
        <v>1422</v>
      </c>
      <c r="M23" s="376">
        <f ca="1">INDIRECT("'数据-取费表'!Al"&amp;$G$1)</f>
        <v>3.0000000000000001E-3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1036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40"/>
      <c r="H24" s="1326" t="s">
        <v>1392</v>
      </c>
      <c r="I24" s="1327" t="s">
        <v>1439</v>
      </c>
      <c r="J24" s="1328">
        <f ca="1">ROUND(J5*M24,1)</f>
        <v>0</v>
      </c>
      <c r="K24" s="1329" t="s">
        <v>1459</v>
      </c>
      <c r="L24" s="1327" t="s">
        <v>1422</v>
      </c>
      <c r="M24" s="1323">
        <f ca="1">INDIRECT("'数据-取费表'!Am"&amp;$G$1)</f>
        <v>0.03</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1460</v>
      </c>
      <c r="B25" s="347" t="s">
        <v>1461</v>
      </c>
      <c r="C25" s="24"/>
      <c r="D25" s="140" t="s">
        <v>1462</v>
      </c>
      <c r="E25" s="2813"/>
      <c r="F25" s="26"/>
      <c r="G25" s="1837"/>
      <c r="H25" s="1316" t="s">
        <v>1031</v>
      </c>
      <c r="I25" s="1331" t="s">
        <v>1463</v>
      </c>
      <c r="J25" s="355">
        <f ca="1">J5-J16</f>
        <v>-2</v>
      </c>
      <c r="K25" s="1332" t="s">
        <v>1464</v>
      </c>
      <c r="L25" s="1333"/>
      <c r="M25" s="1334"/>
    </row>
    <row r="26" spans="1:37">
      <c r="A26" s="1196" t="s">
        <v>1034</v>
      </c>
      <c r="B26" s="347" t="s">
        <v>1465</v>
      </c>
      <c r="C26" s="24">
        <f ca="1">ROUND((C19+C20)*F26,0)</f>
        <v>12</v>
      </c>
      <c r="D26" s="369" t="s">
        <v>1466</v>
      </c>
      <c r="E26" s="358" t="s">
        <v>1467</v>
      </c>
      <c r="F26" s="357">
        <f ca="1">INDIRECT("'数据-取费表'!q"&amp;$G$1)</f>
        <v>0.25</v>
      </c>
      <c r="G26" s="1837"/>
      <c r="H26" s="344" t="s">
        <v>1032</v>
      </c>
      <c r="I26" s="345" t="s">
        <v>1468</v>
      </c>
      <c r="J26" s="346">
        <f ca="1">IF(J5&lt;&gt;0,ROUND(J25*(1-((1+M28)/(1+M26))^M27)/(M26-M28),0),0)</f>
        <v>0</v>
      </c>
      <c r="K26" s="370" t="s">
        <v>1469</v>
      </c>
      <c r="L26" s="347" t="s">
        <v>1470</v>
      </c>
      <c r="M26" s="357">
        <f ca="1">INDIRECT("'数据-取费表'!I"&amp;$G$1)</f>
        <v>0.04</v>
      </c>
    </row>
    <row r="27" spans="1:37" ht="18" customHeight="1">
      <c r="A27" s="1196" t="s">
        <v>1036</v>
      </c>
      <c r="B27" s="347" t="s">
        <v>1471</v>
      </c>
      <c r="C27" s="24">
        <f ca="1">ROUND(F21*F26,4)</f>
        <v>7.4999999999999997E-3</v>
      </c>
      <c r="D27" s="369" t="s">
        <v>1472</v>
      </c>
      <c r="E27" s="365"/>
      <c r="F27" s="366"/>
      <c r="G27" s="1837"/>
      <c r="H27" s="349"/>
      <c r="I27" s="350"/>
      <c r="J27" s="351"/>
      <c r="K27" s="378" t="s">
        <v>1473</v>
      </c>
      <c r="L27" s="347" t="s">
        <v>1474</v>
      </c>
      <c r="M27" s="379">
        <f ca="1">INDIRECT("'数据-取费表'!ag"&amp;$G$1)</f>
        <v>0</v>
      </c>
    </row>
    <row r="28" spans="1:37" s="1844" customFormat="1" ht="18" customHeight="1">
      <c r="A28" s="1196" t="s">
        <v>1037</v>
      </c>
      <c r="B28" s="347" t="s">
        <v>1475</v>
      </c>
      <c r="C28" s="24">
        <f>ROUND(F28/(1+'数据-取费表'!C42),4)</f>
        <v>5.33E-2</v>
      </c>
      <c r="D28" s="369" t="s">
        <v>1476</v>
      </c>
      <c r="E28" s="347" t="s">
        <v>1422</v>
      </c>
      <c r="F28" s="367">
        <f>'数据-取费表'!B41</f>
        <v>5.6000000000000001E-2</v>
      </c>
      <c r="G28" s="1840"/>
      <c r="H28" s="353"/>
      <c r="I28" s="354"/>
      <c r="J28" s="355"/>
      <c r="K28" s="373"/>
      <c r="L28" s="347" t="s">
        <v>1477</v>
      </c>
      <c r="M28" s="357">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6" t="s">
        <v>1038</v>
      </c>
      <c r="B29" s="1327" t="s">
        <v>1478</v>
      </c>
      <c r="C29" s="1328">
        <f ca="1">ROUND((C19+C20+C23+C26)/(1-F21-C24-C27-C28),0)</f>
        <v>68</v>
      </c>
      <c r="D29" s="1329"/>
      <c r="E29" s="1327"/>
      <c r="F29" s="1330"/>
      <c r="G29" s="1840"/>
      <c r="H29" s="380" t="s">
        <v>1033</v>
      </c>
      <c r="I29" s="381" t="s">
        <v>1479</v>
      </c>
      <c r="J29" s="382">
        <f ca="1">ROUND(J26/(1+F40)^F41,0)</f>
        <v>0</v>
      </c>
      <c r="K29" s="383" t="s">
        <v>1480</v>
      </c>
      <c r="L29" s="384"/>
      <c r="M29" s="385">
        <f ca="1">INDIRECT("'数据-取费表'!k"&amp;$G$1)</f>
        <v>88.04</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6" t="s">
        <v>1030</v>
      </c>
      <c r="B30" s="1317" t="s">
        <v>1424</v>
      </c>
      <c r="C30" s="355">
        <f ca="1">ROUND(C31+C36+C37+C38,0)</f>
        <v>3</v>
      </c>
      <c r="D30" s="1324" t="s">
        <v>1425</v>
      </c>
      <c r="E30" s="2820"/>
      <c r="F30" s="1281"/>
      <c r="G30" s="1837"/>
      <c r="H30" s="744"/>
      <c r="I30" s="745"/>
      <c r="J30" s="746"/>
      <c r="K30" s="747"/>
      <c r="L30" s="748"/>
      <c r="M30" s="749"/>
    </row>
    <row r="31" spans="1:37" ht="18" customHeight="1">
      <c r="A31" s="1196" t="s">
        <v>1035</v>
      </c>
      <c r="B31" s="347" t="s">
        <v>1429</v>
      </c>
      <c r="C31" s="24">
        <f ca="1">ROUND(IF(项目基本情况!B11="自然人",C5*F31,C32+C33+C34),1)</f>
        <v>1.2</v>
      </c>
      <c r="D31" s="2818" t="s">
        <v>1430</v>
      </c>
      <c r="E31" s="2819" t="s">
        <v>1481</v>
      </c>
      <c r="F31" s="368" t="str">
        <f ca="1">IF(项目基本情况!B11="企业","",IF(INDIRECT("'数据-取费表'!c"&amp;$G$1)="住宅",5%,IF(F6*F7*F8/12/(1+'数据-取费表'!C42)&gt;20000,12%,7%)))</f>
        <v/>
      </c>
      <c r="G31" s="1837"/>
      <c r="H31" s="744"/>
      <c r="I31" s="745"/>
      <c r="J31" s="746"/>
      <c r="K31" s="747"/>
      <c r="L31" s="748"/>
      <c r="M31" s="749"/>
    </row>
    <row r="32" spans="1:37" ht="18" customHeight="1">
      <c r="A32" s="1196" t="s">
        <v>1034</v>
      </c>
      <c r="B32" s="347" t="s">
        <v>1433</v>
      </c>
      <c r="C32" s="24">
        <f ca="1">IF(项目基本情况!B11="自然人","——",ROUND(C5*F32/(1+'数据-取费表'!C42),2))</f>
        <v>0.59</v>
      </c>
      <c r="D32" s="2819" t="s">
        <v>1434</v>
      </c>
      <c r="E32" s="347" t="s">
        <v>1422</v>
      </c>
      <c r="F32" s="377">
        <f>'数据-取费表'!B41</f>
        <v>5.6000000000000001E-2</v>
      </c>
      <c r="G32" s="1837"/>
      <c r="H32" s="744"/>
      <c r="I32" s="745"/>
      <c r="J32" s="746"/>
      <c r="K32" s="747"/>
      <c r="L32" s="748"/>
      <c r="M32" s="749"/>
    </row>
    <row r="33" spans="1:18" ht="18" customHeight="1">
      <c r="A33" s="1196" t="s">
        <v>1036</v>
      </c>
      <c r="B33" s="347" t="s">
        <v>1437</v>
      </c>
      <c r="C33" s="24">
        <f ca="1">IF(项目基本情况!B11="自然人","——",IF(D33="按租金收入计税",ROUND(C5*F33,2),IF(D33="按房产原值计税",ROUND(C29*F33*0.7,2),INDIRECT("'数据-取费表'!Aj"&amp;$G$1))))</f>
        <v>0.56999999999999995</v>
      </c>
      <c r="D33" s="1814" t="s">
        <v>1438</v>
      </c>
      <c r="E33" s="347" t="s">
        <v>1422</v>
      </c>
      <c r="F33" s="367">
        <f>IF(D33="按票据","——",IF(D33="按租金收入计税",'数据-取费表'!B51,'数据-取费表'!B50))</f>
        <v>1.2E-2</v>
      </c>
      <c r="G33" s="1837"/>
      <c r="H33" s="1845"/>
      <c r="I33" s="1846"/>
      <c r="J33" s="1847"/>
      <c r="K33" s="1848"/>
      <c r="L33" s="1845"/>
      <c r="M33" s="1845"/>
    </row>
    <row r="34" spans="1:18" ht="18" customHeight="1">
      <c r="A34" s="1278" t="s">
        <v>1388</v>
      </c>
      <c r="B34" s="164" t="s">
        <v>1441</v>
      </c>
      <c r="C34" s="25">
        <f ca="1">IF(项目基本情况!B11="自然人","——",ROUND(F34*F35/10000,2))</f>
        <v>0.01</v>
      </c>
      <c r="D34" s="370" t="s">
        <v>1442</v>
      </c>
      <c r="E34" s="347" t="s">
        <v>1443</v>
      </c>
      <c r="F34" s="371">
        <f>'数据-取费表'!B52</f>
        <v>12</v>
      </c>
      <c r="G34" s="1837"/>
      <c r="H34" s="744"/>
      <c r="I34" s="1846"/>
      <c r="J34" s="1847"/>
      <c r="K34" s="1849"/>
      <c r="L34" s="1850"/>
      <c r="M34" s="1850"/>
    </row>
    <row r="35" spans="1:18" ht="18" customHeight="1">
      <c r="A35" s="1340"/>
      <c r="B35" s="1338"/>
      <c r="C35" s="29"/>
      <c r="D35" s="373"/>
      <c r="E35" s="347" t="s">
        <v>1447</v>
      </c>
      <c r="F35" s="348">
        <f ca="1">INDIRECT("'数据-取费表'!r"&amp;$G$1)</f>
        <v>8.8800000000000008</v>
      </c>
      <c r="G35" s="1837"/>
      <c r="H35" s="744"/>
      <c r="I35" s="1846"/>
      <c r="J35" s="1847"/>
      <c r="K35" s="1848"/>
      <c r="L35" s="1845"/>
      <c r="M35" s="1845"/>
    </row>
    <row r="36" spans="1:18" ht="18" customHeight="1">
      <c r="A36" s="1339" t="s">
        <v>1039</v>
      </c>
      <c r="B36" s="347" t="s">
        <v>1449</v>
      </c>
      <c r="C36" s="24">
        <f ca="1">ROUND(C29*F36,1)</f>
        <v>1.7</v>
      </c>
      <c r="D36" s="2819" t="s">
        <v>1482</v>
      </c>
      <c r="E36" s="347" t="s">
        <v>1422</v>
      </c>
      <c r="F36" s="374">
        <f ca="1">INDIRECT("'数据-取费表'!Ak"&amp;$G$1)</f>
        <v>2.5000000000000001E-2</v>
      </c>
      <c r="G36" s="1837"/>
      <c r="H36" s="1845"/>
      <c r="I36" s="1846"/>
      <c r="J36" s="1847"/>
      <c r="K36" s="750"/>
      <c r="L36" s="1845"/>
      <c r="M36" s="1845"/>
    </row>
    <row r="37" spans="1:18" ht="18" customHeight="1">
      <c r="A37" s="1196" t="s">
        <v>1075</v>
      </c>
      <c r="B37" s="347" t="s">
        <v>1453</v>
      </c>
      <c r="C37" s="24">
        <f ca="1">ROUND(C13*F37,1)</f>
        <v>0.2</v>
      </c>
      <c r="D37" s="2819" t="s">
        <v>1454</v>
      </c>
      <c r="E37" s="347" t="s">
        <v>1422</v>
      </c>
      <c r="F37" s="376">
        <f ca="1">INDIRECT("'数据-取费表'!Al"&amp;$G$1)</f>
        <v>3.0000000000000001E-3</v>
      </c>
      <c r="G37" s="1837"/>
      <c r="H37" s="1845"/>
      <c r="I37" s="1846"/>
      <c r="J37" s="1847"/>
      <c r="K37" s="750"/>
      <c r="L37" s="1845"/>
      <c r="M37" s="1845"/>
    </row>
    <row r="38" spans="1:18" ht="18" customHeight="1" thickBot="1">
      <c r="A38" s="1326" t="s">
        <v>1392</v>
      </c>
      <c r="B38" s="1327" t="s">
        <v>1439</v>
      </c>
      <c r="C38" s="1328">
        <f ca="1">ROUND(C5*F38,1)</f>
        <v>0.3</v>
      </c>
      <c r="D38" s="1329" t="s">
        <v>1459</v>
      </c>
      <c r="E38" s="1327" t="s">
        <v>1422</v>
      </c>
      <c r="F38" s="1323">
        <f ca="1">INDIRECT("'数据-取费表'!Am"&amp;$G$1)</f>
        <v>0.03</v>
      </c>
      <c r="G38" s="1837"/>
      <c r="H38" s="1845"/>
      <c r="I38" s="1846"/>
      <c r="J38" s="1847"/>
      <c r="K38" s="1851"/>
      <c r="L38" s="1845"/>
      <c r="M38" s="1845"/>
    </row>
    <row r="39" spans="1:18" ht="24.6" customHeight="1" thickTop="1">
      <c r="A39" s="1316" t="s">
        <v>1031</v>
      </c>
      <c r="B39" s="1331" t="s">
        <v>1463</v>
      </c>
      <c r="C39" s="355">
        <f ca="1">C5-C30</f>
        <v>8</v>
      </c>
      <c r="D39" s="1332" t="s">
        <v>1464</v>
      </c>
      <c r="E39" s="1333"/>
      <c r="F39" s="1334"/>
      <c r="G39" s="1837"/>
      <c r="H39" s="1845"/>
      <c r="I39" s="1846"/>
      <c r="J39" s="1847"/>
      <c r="K39" s="1851"/>
      <c r="L39" s="1845"/>
      <c r="M39" s="1845"/>
    </row>
    <row r="40" spans="1:18" ht="18" customHeight="1">
      <c r="A40" s="344" t="s">
        <v>1032</v>
      </c>
      <c r="B40" s="345" t="s">
        <v>1485</v>
      </c>
      <c r="C40" s="346">
        <f ca="1">ROUND(C39*(1-((1+F42)/(1+F40))^F41)/(F40-F42),0)</f>
        <v>330</v>
      </c>
      <c r="D40" s="370" t="s">
        <v>1469</v>
      </c>
      <c r="E40" s="347" t="s">
        <v>1470</v>
      </c>
      <c r="F40" s="357">
        <f ca="1">INDIRECT("'数据-取费表'!I"&amp;$G$1)</f>
        <v>0.04</v>
      </c>
      <c r="G40" s="1837"/>
      <c r="H40" s="1825"/>
      <c r="I40" s="1846"/>
      <c r="J40" s="1847"/>
      <c r="K40" s="1851"/>
      <c r="L40" s="1825"/>
      <c r="M40" s="1825"/>
    </row>
    <row r="41" spans="1:18" ht="18" customHeight="1">
      <c r="A41" s="349"/>
      <c r="B41" s="350"/>
      <c r="C41" s="351"/>
      <c r="D41" s="378" t="s">
        <v>1486</v>
      </c>
      <c r="E41" s="347" t="s">
        <v>1474</v>
      </c>
      <c r="F41" s="379">
        <f ca="1">IF(INDIRECT("'数据-取费表'!af"&amp;$G$1)=0,INDIRECT("'数据-取费表'!ae"&amp;$G$1),INDIRECT("'数据-取费表'!af"&amp;$G$1))</f>
        <v>48</v>
      </c>
      <c r="G41" s="1837"/>
      <c r="H41" s="731"/>
      <c r="I41" s="1846"/>
      <c r="J41" s="1847"/>
      <c r="K41" s="750"/>
      <c r="L41" s="731"/>
      <c r="M41" s="731"/>
    </row>
    <row r="42" spans="1:18" ht="18" customHeight="1">
      <c r="A42" s="353"/>
      <c r="B42" s="354"/>
      <c r="C42" s="355"/>
      <c r="D42" s="373"/>
      <c r="E42" s="347" t="s">
        <v>1477</v>
      </c>
      <c r="F42" s="357">
        <f ca="1">INDIRECT("'数据-取费表'!v"&amp;$G$1)</f>
        <v>3.5000000000000003E-2</v>
      </c>
      <c r="G42" s="1837"/>
      <c r="H42" s="731"/>
      <c r="I42" s="1846"/>
      <c r="J42" s="1847"/>
      <c r="K42" s="750"/>
      <c r="L42" s="731"/>
      <c r="M42" s="731"/>
    </row>
    <row r="43" spans="1:18" ht="18" customHeight="1" thickBot="1">
      <c r="A43" s="380" t="s">
        <v>1033</v>
      </c>
      <c r="B43" s="381" t="s">
        <v>1487</v>
      </c>
      <c r="C43" s="382">
        <f ca="1">ROUND(C40*10000/F43,0)</f>
        <v>37483</v>
      </c>
      <c r="D43" s="383" t="s">
        <v>1488</v>
      </c>
      <c r="E43" s="384" t="s">
        <v>1489</v>
      </c>
      <c r="F43" s="385">
        <f ca="1">INDIRECT("'数据-取费表'!k"&amp;$G$1)</f>
        <v>88.04</v>
      </c>
      <c r="G43" s="1837"/>
      <c r="H43" s="731"/>
      <c r="I43" s="731"/>
      <c r="J43" s="731"/>
      <c r="K43" s="750"/>
      <c r="L43" s="731"/>
      <c r="M43" s="731"/>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5"/>
      <c r="O45" s="1855" t="s">
        <v>1519</v>
      </c>
      <c r="P45" s="1825"/>
      <c r="Q45" s="1825"/>
      <c r="R45" s="1825"/>
    </row>
    <row r="46" spans="1:18" s="1828" customFormat="1" ht="13.5" thickBot="1">
      <c r="A46" s="1856" t="s">
        <v>1520</v>
      </c>
      <c r="C46" s="1857">
        <f ca="1">C68-C40</f>
        <v>-394</v>
      </c>
      <c r="D46" s="1858" t="str">
        <f>C2</f>
        <v>万元</v>
      </c>
      <c r="E46" s="1852"/>
      <c r="F46" s="1852"/>
      <c r="I46" s="1859" t="s">
        <v>1521</v>
      </c>
      <c r="J46" s="1860"/>
      <c r="K46" s="1861"/>
      <c r="L46" s="1862">
        <f>IF(M47="住宅",0,IF(L48&gt;J51,L60,J60))</f>
        <v>0</v>
      </c>
      <c r="O46" s="1863" t="s">
        <v>1522</v>
      </c>
      <c r="P46" s="1864" t="s">
        <v>1523</v>
      </c>
      <c r="Q46" s="1865" t="s">
        <v>1524</v>
      </c>
      <c r="R46" s="1865" t="s">
        <v>1525</v>
      </c>
    </row>
    <row r="47" spans="1:18" s="1828" customFormat="1" ht="13.5" thickBot="1">
      <c r="A47" s="1160" t="s">
        <v>1395</v>
      </c>
      <c r="B47" s="1192" t="s">
        <v>1396</v>
      </c>
      <c r="C47" s="1354" t="s">
        <v>1397</v>
      </c>
      <c r="D47" s="1192" t="s">
        <v>1398</v>
      </c>
      <c r="E47" s="1266" t="s">
        <v>1399</v>
      </c>
      <c r="F47" s="1267"/>
      <c r="G47" s="791"/>
      <c r="I47" s="1866" t="s">
        <v>1526</v>
      </c>
      <c r="J47" s="1867" t="s">
        <v>3552</v>
      </c>
      <c r="K47" s="1868" t="s">
        <v>1527</v>
      </c>
      <c r="L47" s="1869">
        <f ca="1">INDIRECT("'数据-取费表'!d"&amp;$G$1)</f>
        <v>70</v>
      </c>
      <c r="M47" s="1824" t="str">
        <f>IF(ISNUMBER(FIND("住宅",C1)),"住宅","非住宅")</f>
        <v>住宅</v>
      </c>
      <c r="O47" s="1870" t="s">
        <v>1040</v>
      </c>
      <c r="P47" s="1871" t="s">
        <v>1528</v>
      </c>
      <c r="Q47" s="1872">
        <f ca="1">C40+J29</f>
        <v>330</v>
      </c>
      <c r="R47" s="1872" t="s">
        <v>1529</v>
      </c>
    </row>
    <row r="48" spans="1:18" s="1828" customFormat="1" ht="28.5" thickBot="1">
      <c r="A48" s="1347" t="s">
        <v>1135</v>
      </c>
      <c r="B48" s="345" t="s">
        <v>1400</v>
      </c>
      <c r="C48" s="2812">
        <f ca="1">C49+C53+C55</f>
        <v>0</v>
      </c>
      <c r="D48" s="1349"/>
      <c r="E48" s="1350"/>
      <c r="F48" s="1176"/>
      <c r="G48" s="791"/>
      <c r="H48" s="792"/>
      <c r="I48" s="1873" t="s">
        <v>1530</v>
      </c>
      <c r="J48" s="1874" t="s">
        <v>3594</v>
      </c>
      <c r="K48" s="1875" t="s">
        <v>1531</v>
      </c>
      <c r="L48" s="1876">
        <f ca="1">INDIRECT("'数据-取费表'!f"&amp;$G$1)</f>
        <v>55.87</v>
      </c>
      <c r="O48" s="1870" t="s">
        <v>1041</v>
      </c>
      <c r="P48" s="1871" t="s">
        <v>1532</v>
      </c>
      <c r="Q48" s="1872" t="str">
        <f ca="1">J60</f>
        <v>0</v>
      </c>
      <c r="R48" s="1872" t="s">
        <v>1533</v>
      </c>
    </row>
    <row r="49" spans="1:18" s="1828" customFormat="1" ht="13.5" thickBot="1">
      <c r="A49" s="1189" t="s">
        <v>1136</v>
      </c>
      <c r="B49" s="1815" t="s">
        <v>1490</v>
      </c>
      <c r="C49" s="1351">
        <f ca="1">ROUND(F49*F51*F50*(1-F52)/10000,0)</f>
        <v>0</v>
      </c>
      <c r="D49" s="1263" t="s">
        <v>2940</v>
      </c>
      <c r="E49" s="1816" t="s">
        <v>1491</v>
      </c>
      <c r="F49" s="1268"/>
      <c r="G49" s="1877"/>
      <c r="H49" s="792"/>
      <c r="I49" s="1873" t="s">
        <v>1534</v>
      </c>
      <c r="J49" s="1878">
        <v>2006</v>
      </c>
      <c r="K49" s="1875" t="s">
        <v>1535</v>
      </c>
      <c r="L49" s="1879"/>
      <c r="O49" s="1880" t="s">
        <v>1042</v>
      </c>
      <c r="P49" s="1871" t="s">
        <v>1536</v>
      </c>
      <c r="Q49" s="1872">
        <f ca="1">C29</f>
        <v>68</v>
      </c>
      <c r="R49" s="1872" t="s">
        <v>1529</v>
      </c>
    </row>
    <row r="50" spans="1:18" s="1828" customFormat="1" ht="13.5" thickBot="1">
      <c r="A50" s="1190"/>
      <c r="B50" s="1193"/>
      <c r="C50" s="1355"/>
      <c r="D50" s="1167"/>
      <c r="E50" s="1264" t="s">
        <v>1405</v>
      </c>
      <c r="F50" s="1265">
        <f ca="1">F7</f>
        <v>1</v>
      </c>
      <c r="H50" s="792"/>
      <c r="I50" s="1873" t="s">
        <v>1537</v>
      </c>
      <c r="J50" s="1881">
        <f>SUMPRODUCT((I63:I65=J47)*(J62:L62=J48)*(J63:L65))</f>
        <v>60</v>
      </c>
      <c r="K50" s="1875" t="s">
        <v>1538</v>
      </c>
      <c r="L50" s="1879"/>
      <c r="M50" s="1882"/>
      <c r="O50" s="1880" t="s">
        <v>1043</v>
      </c>
      <c r="P50" s="1871" t="s">
        <v>1539</v>
      </c>
      <c r="Q50" s="1883" t="e">
        <f ca="1">J58</f>
        <v>#VALUE!</v>
      </c>
      <c r="R50" s="1872"/>
    </row>
    <row r="51" spans="1:18" s="1828" customFormat="1" ht="13.5" thickBot="1">
      <c r="A51" s="1191"/>
      <c r="B51" s="1193"/>
      <c r="C51" s="1194"/>
      <c r="D51" s="1167"/>
      <c r="E51" s="1195" t="s">
        <v>1406</v>
      </c>
      <c r="F51" s="348">
        <f ca="1">F8</f>
        <v>12</v>
      </c>
      <c r="I51" s="1884" t="s">
        <v>1540</v>
      </c>
      <c r="J51" s="1885">
        <f>IF(J49="",J50,J49+J50-YEAR('数据-取费表'!B2))</f>
        <v>48</v>
      </c>
      <c r="K51" s="1886" t="s">
        <v>1541</v>
      </c>
      <c r="L51" s="1887">
        <f ca="1">ROUND(-PV(INDIRECT("'数据-取费表'!h"&amp;$G$1),L48,(C39-C13*C76),0),0)</f>
        <v>71</v>
      </c>
      <c r="M51" s="1888"/>
      <c r="O51" s="1880" t="s">
        <v>1044</v>
      </c>
      <c r="P51" s="1871" t="s">
        <v>1542</v>
      </c>
      <c r="Q51" s="1883">
        <f>J52</f>
        <v>0.09</v>
      </c>
      <c r="R51" s="1872"/>
    </row>
    <row r="52" spans="1:18" s="1828" customFormat="1" ht="13.5" thickBot="1">
      <c r="A52" s="1191"/>
      <c r="B52" s="1193"/>
      <c r="C52" s="1194"/>
      <c r="D52" s="1167"/>
      <c r="E52" s="1195" t="s">
        <v>1407</v>
      </c>
      <c r="F52" s="1262"/>
      <c r="I52" s="1889" t="s">
        <v>1543</v>
      </c>
      <c r="J52" s="1890">
        <v>0.09</v>
      </c>
      <c r="K52" s="1889" t="s">
        <v>1544</v>
      </c>
      <c r="L52" s="1890"/>
      <c r="O52" s="1880" t="s">
        <v>1045</v>
      </c>
      <c r="P52" s="1871" t="s">
        <v>1545</v>
      </c>
      <c r="Q52" s="1872">
        <f>J53</f>
        <v>48</v>
      </c>
      <c r="R52" s="1872" t="s">
        <v>1546</v>
      </c>
    </row>
    <row r="53" spans="1:18" s="1828" customFormat="1" ht="24.75" thickBot="1">
      <c r="A53" s="1392" t="s">
        <v>1137</v>
      </c>
      <c r="B53" s="1817" t="s">
        <v>1408</v>
      </c>
      <c r="C53" s="361">
        <f ca="1">ROUND(IF(F53="押一",F49*F51*F50/12*F11,IF(F53="押二",F49*F51*F50/12*2*F11,IF(F53="押三",F49*F51*F50/12*3*F11,C54*F11)))/10000,0)</f>
        <v>0</v>
      </c>
      <c r="D53" s="1810" t="s">
        <v>2938</v>
      </c>
      <c r="E53" s="358" t="s">
        <v>1410</v>
      </c>
      <c r="F53" s="1353"/>
      <c r="I53" s="1891" t="s">
        <v>1547</v>
      </c>
      <c r="J53" s="1892">
        <f>IF(M47="住宅",J51,IF(D1="——",MIN(J51,L48),IF(D1="在建（套用方法）",MIN(J51,L48-'数据-取费表'!B24),IF(D1="土地（套用方法）",MIN(J51,L48-'数据-取费表'!B20)))))</f>
        <v>48</v>
      </c>
      <c r="K53" s="3314" t="s">
        <v>1548</v>
      </c>
      <c r="L53" s="3315"/>
      <c r="O53" s="1870" t="s">
        <v>1046</v>
      </c>
      <c r="P53" s="1871" t="s">
        <v>1549</v>
      </c>
      <c r="Q53" s="1872">
        <f ca="1">Q47+Q48</f>
        <v>330</v>
      </c>
      <c r="R53" s="1872" t="s">
        <v>1047</v>
      </c>
    </row>
    <row r="54" spans="1:18" s="1828" customFormat="1" ht="13.5" thickBot="1">
      <c r="A54" s="1393"/>
      <c r="B54" s="1811" t="s">
        <v>1387</v>
      </c>
      <c r="C54" s="1173"/>
      <c r="D54" s="1810"/>
      <c r="E54" s="2816"/>
      <c r="F54" s="1893"/>
      <c r="I54" s="18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95"/>
      <c r="K54" s="1895"/>
      <c r="L54" s="1895"/>
      <c r="M54" s="1877"/>
      <c r="O54" s="1855" t="s">
        <v>1550</v>
      </c>
      <c r="P54" s="1825"/>
      <c r="Q54" s="1825"/>
      <c r="R54" s="1825"/>
    </row>
    <row r="55" spans="1:18" s="1828" customFormat="1" ht="13.5" thickBot="1">
      <c r="A55" s="1320" t="s">
        <v>1075</v>
      </c>
      <c r="B55" s="1813" t="s">
        <v>1413</v>
      </c>
      <c r="C55" s="1321"/>
      <c r="D55" s="1810"/>
      <c r="E55" s="2816"/>
      <c r="F55" s="1893"/>
      <c r="I55" s="1896" t="s">
        <v>1551</v>
      </c>
      <c r="J55" s="1897" t="e">
        <f ca="1">ROUND(IF(J47="钢混",J57/J50,1-(1-2%)*(J50-J57)/J50),3)</f>
        <v>#VALUE!</v>
      </c>
      <c r="K55" s="1898" t="s">
        <v>1552</v>
      </c>
      <c r="L55" s="1899" t="s">
        <v>1553</v>
      </c>
      <c r="O55" s="1863" t="s">
        <v>1522</v>
      </c>
      <c r="P55" s="1864" t="s">
        <v>1523</v>
      </c>
      <c r="Q55" s="1865" t="s">
        <v>1524</v>
      </c>
      <c r="R55" s="1865" t="s">
        <v>1525</v>
      </c>
    </row>
    <row r="56" spans="1:18" s="1828" customFormat="1" ht="25.5" thickTop="1" thickBot="1">
      <c r="A56" s="1171">
        <v>2</v>
      </c>
      <c r="B56" s="1172" t="s">
        <v>1414</v>
      </c>
      <c r="C56" s="276">
        <f ca="1">C13</f>
        <v>60</v>
      </c>
      <c r="D56" s="1900"/>
      <c r="E56" s="1901"/>
      <c r="F56" s="1893"/>
      <c r="I56" s="1902" t="s">
        <v>1554</v>
      </c>
      <c r="J56" s="1903" t="s">
        <v>3434</v>
      </c>
      <c r="K56" s="1873" t="s">
        <v>1555</v>
      </c>
      <c r="L56" s="1876">
        <f ca="1">IF(L48&lt;J51,"——",L48-J53)</f>
        <v>7.8699999999999974</v>
      </c>
      <c r="O56" s="1870" t="s">
        <v>1040</v>
      </c>
      <c r="P56" s="1871" t="s">
        <v>1528</v>
      </c>
      <c r="Q56" s="1872">
        <f ca="1">C40+J29</f>
        <v>330</v>
      </c>
      <c r="R56" s="1872" t="s">
        <v>1529</v>
      </c>
    </row>
    <row r="57" spans="1:18" s="1828" customFormat="1" ht="24.75" thickBot="1">
      <c r="A57" s="1904"/>
      <c r="B57" s="1164" t="s">
        <v>1478</v>
      </c>
      <c r="C57" s="282">
        <f ca="1">C29</f>
        <v>68</v>
      </c>
      <c r="D57" s="1905"/>
      <c r="E57" s="1906"/>
      <c r="F57" s="1907"/>
      <c r="I57" s="1908" t="s">
        <v>1556</v>
      </c>
      <c r="J57" s="1909" t="str">
        <f ca="1">IF(OR(M47="住宅",J51&lt;L48,J56="是"),"——",J51-L48)</f>
        <v>——</v>
      </c>
      <c r="K57" s="1873" t="s">
        <v>1557</v>
      </c>
      <c r="L57" s="1876">
        <f ca="1">IF(L48&lt;J51,"——",IF(L55="比较法",L49,IF(L55="基准地价",L50,L51)))</f>
        <v>71</v>
      </c>
      <c r="O57" s="1870" t="s">
        <v>1041</v>
      </c>
      <c r="P57" s="1871" t="s">
        <v>1558</v>
      </c>
      <c r="Q57" s="1872">
        <f ca="1">L60</f>
        <v>0</v>
      </c>
      <c r="R57" s="1872" t="s">
        <v>1559</v>
      </c>
    </row>
    <row r="58" spans="1:18" s="1828" customFormat="1" ht="24.75" thickBot="1">
      <c r="A58" s="360" t="s">
        <v>1030</v>
      </c>
      <c r="B58" s="1172" t="s">
        <v>1424</v>
      </c>
      <c r="C58" s="361">
        <f ca="1">ROUND(C59+C64+C65+C66,0)</f>
        <v>3</v>
      </c>
      <c r="D58" s="1174" t="s">
        <v>1425</v>
      </c>
      <c r="E58" s="1175"/>
      <c r="F58" s="1176"/>
      <c r="I58" s="1908" t="s">
        <v>1560</v>
      </c>
      <c r="J58" s="1910" t="e">
        <f ca="1">IF(J55&lt;0.4,0.4,J55)</f>
        <v>#VALUE!</v>
      </c>
      <c r="K58" s="1886" t="s">
        <v>1561</v>
      </c>
      <c r="L58" s="1876" t="e">
        <f ca="1">ROUND(POWER(1+L52,L47-L48)*(POWER(1+L52,L48)-1)/(POWER(1+L52,L47)-1),4)</f>
        <v>#DIV/0!</v>
      </c>
      <c r="O58" s="1880" t="s">
        <v>1042</v>
      </c>
      <c r="P58" s="1871" t="s">
        <v>1562</v>
      </c>
      <c r="Q58" s="1872">
        <f>IF(L55="比较法",L49,IF(L55="基准地价",L50,0))</f>
        <v>0</v>
      </c>
      <c r="R58" s="1872" t="s">
        <v>1529</v>
      </c>
    </row>
    <row r="59" spans="1:18" s="1828" customFormat="1" ht="24.75" thickBot="1">
      <c r="A59" s="1196" t="s">
        <v>1035</v>
      </c>
      <c r="B59" s="1164" t="s">
        <v>1429</v>
      </c>
      <c r="C59" s="24">
        <f ca="1">ROUND(IF(项目基本情况!B11="自然人",C48*F59,C60+C61+C62),1)</f>
        <v>0.6</v>
      </c>
      <c r="D59" s="1177" t="s">
        <v>1430</v>
      </c>
      <c r="E59" s="1178" t="s">
        <v>1431</v>
      </c>
      <c r="F59" s="368" t="str">
        <f ca="1">IF(项目基本情况!B11="企业","",IF(INDIRECT("'数据-取费表'!c"&amp;$G$1)="住宅",5%,IF(F49*F50*F51/12/(1+'数据-取费表'!C42)&gt;20000,12%,7%)))</f>
        <v/>
      </c>
      <c r="I59" s="1908" t="s">
        <v>1563</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1564</v>
      </c>
      <c r="Q59" s="1883">
        <f>L52</f>
        <v>0</v>
      </c>
      <c r="R59" s="1872"/>
    </row>
    <row r="60" spans="1:18" s="1828" customFormat="1" ht="16.5" thickBot="1">
      <c r="A60" s="1196" t="s">
        <v>1034</v>
      </c>
      <c r="B60" s="1164" t="s">
        <v>1433</v>
      </c>
      <c r="C60" s="24">
        <f ca="1">IF(项目基本情况!B11="自然人","——",ROUND(C48*F60/(1+'数据-取费表'!C42),2))</f>
        <v>0</v>
      </c>
      <c r="D60" s="1178" t="s">
        <v>1434</v>
      </c>
      <c r="E60" s="1164" t="s">
        <v>1422</v>
      </c>
      <c r="F60" s="377">
        <f t="shared" ref="F60:F66" si="0">F32</f>
        <v>5.6000000000000001E-2</v>
      </c>
      <c r="I60" s="1911" t="s">
        <v>1565</v>
      </c>
      <c r="J60" s="1912" t="str">
        <f ca="1">IF(OR(M47="住宅",J51&lt;L48,J56="是"),"0",ROUND(J59/(1+J52)^J53,0))</f>
        <v>0</v>
      </c>
      <c r="K60" s="1913" t="s">
        <v>1566</v>
      </c>
      <c r="L60" s="1912">
        <f ca="1">IF(OR(M47="住宅",L48&lt;J51),0,ROUND(L57*(L58/L59-1),0))</f>
        <v>0</v>
      </c>
      <c r="O60" s="1880" t="s">
        <v>1044</v>
      </c>
      <c r="P60" s="1871" t="s">
        <v>1567</v>
      </c>
      <c r="Q60" s="1872" t="e">
        <f ca="1">L58</f>
        <v>#DIV/0!</v>
      </c>
      <c r="R60" s="1872" t="s">
        <v>1568</v>
      </c>
    </row>
    <row r="61" spans="1:18" s="1828" customFormat="1" ht="13.5" thickBot="1">
      <c r="A61" s="1196" t="s">
        <v>1492</v>
      </c>
      <c r="B61" s="1164" t="s">
        <v>1493</v>
      </c>
      <c r="C61" s="24">
        <f ca="1">IF(项目基本情况!B11="自然人","——",IF(D61="按租金收入计税",ROUND(C48*F61,2),IF(D61="按房产原值计税",ROUND(C57*F61*0.7,2),INDIRECT("'数据-取费表'!Aj"&amp;$G$1))))</f>
        <v>0.56999999999999995</v>
      </c>
      <c r="D61" s="1814" t="s">
        <v>1438</v>
      </c>
      <c r="E61" s="1164" t="s">
        <v>1422</v>
      </c>
      <c r="F61" s="367">
        <f t="shared" si="0"/>
        <v>1.2E-2</v>
      </c>
      <c r="I61" s="1914"/>
      <c r="J61" s="1914"/>
      <c r="K61" s="1914"/>
      <c r="L61" s="1914"/>
      <c r="O61" s="1880" t="s">
        <v>1045</v>
      </c>
      <c r="P61" s="1871" t="str">
        <f>K59</f>
        <v>建筑物剩余耐用年限下的土地年期修正系数Kn</v>
      </c>
      <c r="Q61" s="1872" t="e">
        <f ca="1">L59</f>
        <v>#DIV/0!</v>
      </c>
      <c r="R61" s="1872" t="s">
        <v>1569</v>
      </c>
    </row>
    <row r="62" spans="1:18" s="1828" customFormat="1" ht="13.5" thickBot="1">
      <c r="A62" s="1196" t="s">
        <v>1495</v>
      </c>
      <c r="B62" s="1163" t="s">
        <v>1441</v>
      </c>
      <c r="C62" s="25">
        <f ca="1">IF(项目基本情况!B11="自然人","——",ROUND(F62*F63/10000,2))</f>
        <v>0.01</v>
      </c>
      <c r="D62" s="1179" t="s">
        <v>1497</v>
      </c>
      <c r="E62" s="1164" t="s">
        <v>1443</v>
      </c>
      <c r="F62" s="371">
        <f t="shared" si="0"/>
        <v>12</v>
      </c>
      <c r="I62" s="1915" t="s">
        <v>1570</v>
      </c>
      <c r="J62" s="1916" t="s">
        <v>1571</v>
      </c>
      <c r="K62" s="1916" t="s">
        <v>1572</v>
      </c>
      <c r="L62" s="1916" t="s">
        <v>1573</v>
      </c>
      <c r="M62" s="1917" t="s">
        <v>1574</v>
      </c>
      <c r="O62" s="1870" t="s">
        <v>1046</v>
      </c>
      <c r="P62" s="1871" t="s">
        <v>1575</v>
      </c>
      <c r="Q62" s="1872">
        <f ca="1">Q56+Q57</f>
        <v>330</v>
      </c>
      <c r="R62" s="1872" t="s">
        <v>1047</v>
      </c>
    </row>
    <row r="63" spans="1:18" s="1828" customFormat="1" ht="13.5" thickBot="1">
      <c r="A63" s="372"/>
      <c r="B63" s="1170"/>
      <c r="C63" s="29"/>
      <c r="D63" s="1180"/>
      <c r="E63" s="1164" t="s">
        <v>1499</v>
      </c>
      <c r="F63" s="348">
        <f t="shared" ca="1" si="0"/>
        <v>8.8800000000000008</v>
      </c>
      <c r="I63" s="1915" t="s">
        <v>1576</v>
      </c>
      <c r="J63" s="1916">
        <v>70</v>
      </c>
      <c r="K63" s="1916">
        <v>50</v>
      </c>
      <c r="L63" s="1916">
        <v>80</v>
      </c>
      <c r="M63" s="1918">
        <v>0.02</v>
      </c>
      <c r="O63" s="1855" t="s">
        <v>1577</v>
      </c>
      <c r="P63" s="1825"/>
      <c r="Q63" s="1825"/>
      <c r="R63" s="1825"/>
    </row>
    <row r="64" spans="1:18" s="1828" customFormat="1" ht="13.5" thickBot="1">
      <c r="A64" s="1196" t="s">
        <v>1500</v>
      </c>
      <c r="B64" s="1164" t="s">
        <v>1501</v>
      </c>
      <c r="C64" s="24">
        <f ca="1">ROUND(C57*F64,1)</f>
        <v>1.7</v>
      </c>
      <c r="D64" s="1178" t="s">
        <v>1502</v>
      </c>
      <c r="E64" s="1164" t="s">
        <v>1422</v>
      </c>
      <c r="F64" s="374">
        <f t="shared" ca="1" si="0"/>
        <v>2.5000000000000001E-2</v>
      </c>
      <c r="I64" s="1915" t="s">
        <v>1578</v>
      </c>
      <c r="J64" s="1916">
        <v>50</v>
      </c>
      <c r="K64" s="1916">
        <v>35</v>
      </c>
      <c r="L64" s="1916">
        <v>60</v>
      </c>
      <c r="M64" s="1917">
        <v>0</v>
      </c>
      <c r="O64" s="1863" t="s">
        <v>1522</v>
      </c>
      <c r="P64" s="1864" t="s">
        <v>1523</v>
      </c>
      <c r="Q64" s="1865" t="s">
        <v>1524</v>
      </c>
      <c r="R64" s="1865" t="s">
        <v>1525</v>
      </c>
    </row>
    <row r="65" spans="1:18" s="1828" customFormat="1" ht="13.5" thickBot="1">
      <c r="A65" s="1196" t="s">
        <v>1503</v>
      </c>
      <c r="B65" s="1164" t="s">
        <v>1453</v>
      </c>
      <c r="C65" s="24">
        <f ca="1">ROUND(C56*F65,1)</f>
        <v>0.2</v>
      </c>
      <c r="D65" s="1178" t="s">
        <v>1454</v>
      </c>
      <c r="E65" s="1164" t="s">
        <v>1422</v>
      </c>
      <c r="F65" s="376">
        <f t="shared" ca="1" si="0"/>
        <v>3.0000000000000001E-3</v>
      </c>
      <c r="I65" s="1915" t="s">
        <v>1579</v>
      </c>
      <c r="J65" s="1916">
        <v>40</v>
      </c>
      <c r="K65" s="1916">
        <v>30</v>
      </c>
      <c r="L65" s="1916">
        <v>50</v>
      </c>
      <c r="M65" s="1918">
        <v>0.02</v>
      </c>
      <c r="O65" s="1870" t="s">
        <v>1040</v>
      </c>
      <c r="P65" s="1871" t="s">
        <v>1580</v>
      </c>
      <c r="Q65" s="1872">
        <f ca="1">C40+J29</f>
        <v>330</v>
      </c>
      <c r="R65" s="1872" t="s">
        <v>1529</v>
      </c>
    </row>
    <row r="66" spans="1:18" s="1828" customFormat="1" ht="16.5" thickBot="1">
      <c r="A66" s="1196" t="s">
        <v>1504</v>
      </c>
      <c r="B66" s="1164" t="s">
        <v>1439</v>
      </c>
      <c r="C66" s="24">
        <f ca="1">ROUND(C48*F66,1)</f>
        <v>0</v>
      </c>
      <c r="D66" s="1178" t="s">
        <v>1459</v>
      </c>
      <c r="E66" s="1164" t="s">
        <v>1422</v>
      </c>
      <c r="F66" s="357">
        <f t="shared" ca="1" si="0"/>
        <v>0.03</v>
      </c>
      <c r="O66" s="1870" t="s">
        <v>1041</v>
      </c>
      <c r="P66" s="1871" t="s">
        <v>1558</v>
      </c>
      <c r="Q66" s="1872">
        <f ca="1">L60</f>
        <v>0</v>
      </c>
      <c r="R66" s="1872" t="s">
        <v>1581</v>
      </c>
    </row>
    <row r="67" spans="1:18" s="1828" customFormat="1" ht="16.5" thickBot="1">
      <c r="A67" s="1171" t="s">
        <v>1031</v>
      </c>
      <c r="B67" s="1181" t="s">
        <v>1463</v>
      </c>
      <c r="C67" s="361">
        <f ca="1">C48-C58</f>
        <v>-3</v>
      </c>
      <c r="D67" s="1177" t="s">
        <v>1464</v>
      </c>
      <c r="E67" s="1182"/>
      <c r="F67" s="1183"/>
      <c r="O67" s="1880" t="s">
        <v>1042</v>
      </c>
      <c r="P67" s="1871" t="s">
        <v>1562</v>
      </c>
      <c r="Q67" s="1919">
        <f ca="1">L51</f>
        <v>71</v>
      </c>
      <c r="R67" s="1872" t="s">
        <v>1582</v>
      </c>
    </row>
    <row r="68" spans="1:18" s="1828" customFormat="1" ht="16.5" thickBot="1">
      <c r="A68" s="1161" t="s">
        <v>1032</v>
      </c>
      <c r="B68" s="1162" t="s">
        <v>1485</v>
      </c>
      <c r="C68" s="346">
        <f ca="1">ROUND(C67*(1-((1+F70)/(1+F68))^F69)/(F68-F70),0)</f>
        <v>-64</v>
      </c>
      <c r="D68" s="1179" t="s">
        <v>1469</v>
      </c>
      <c r="E68" s="1164" t="s">
        <v>1470</v>
      </c>
      <c r="F68" s="357">
        <f ca="1">F40</f>
        <v>0.04</v>
      </c>
      <c r="O68" s="1880" t="s">
        <v>1043</v>
      </c>
      <c r="P68" s="1920" t="s">
        <v>1583</v>
      </c>
      <c r="Q68" s="1872">
        <f ca="1">ROUND(Q69-Q70*Q71,0)</f>
        <v>3</v>
      </c>
      <c r="R68" s="1872" t="s">
        <v>1051</v>
      </c>
    </row>
    <row r="69" spans="1:18" s="1828" customFormat="1" ht="13.5" thickBot="1">
      <c r="A69" s="1165"/>
      <c r="B69" s="1166"/>
      <c r="C69" s="351"/>
      <c r="D69" s="1184" t="s">
        <v>1473</v>
      </c>
      <c r="E69" s="1164" t="s">
        <v>1474</v>
      </c>
      <c r="F69" s="379">
        <f ca="1">F41</f>
        <v>48</v>
      </c>
      <c r="O69" s="1880" t="s">
        <v>1048</v>
      </c>
      <c r="P69" s="1920" t="s">
        <v>1584</v>
      </c>
      <c r="Q69" s="1872">
        <f ca="1">C39</f>
        <v>8</v>
      </c>
      <c r="R69" s="1872" t="s">
        <v>1529</v>
      </c>
    </row>
    <row r="70" spans="1:18" s="1828" customFormat="1" ht="13.5" thickBot="1">
      <c r="A70" s="1168"/>
      <c r="B70" s="1169"/>
      <c r="C70" s="355"/>
      <c r="D70" s="1180"/>
      <c r="E70" s="1164" t="s">
        <v>1477</v>
      </c>
      <c r="F70" s="1262"/>
      <c r="O70" s="1880" t="s">
        <v>1049</v>
      </c>
      <c r="P70" s="1920" t="s">
        <v>1585</v>
      </c>
      <c r="Q70" s="1872">
        <f ca="1">C13</f>
        <v>60</v>
      </c>
      <c r="R70" s="1872" t="s">
        <v>1529</v>
      </c>
    </row>
    <row r="71" spans="1:18" s="1828" customFormat="1" ht="13.5" thickBot="1">
      <c r="A71" s="1185" t="s">
        <v>1033</v>
      </c>
      <c r="B71" s="1186" t="s">
        <v>1487</v>
      </c>
      <c r="C71" s="382">
        <f ca="1">ROUND(C68*10000/F71,0)</f>
        <v>-7269</v>
      </c>
      <c r="D71" s="1187" t="s">
        <v>1488</v>
      </c>
      <c r="E71" s="1188" t="s">
        <v>1489</v>
      </c>
      <c r="F71" s="385">
        <f ca="1">F43</f>
        <v>88.04</v>
      </c>
      <c r="O71" s="1880" t="s">
        <v>1050</v>
      </c>
      <c r="P71" s="1920" t="s">
        <v>1586</v>
      </c>
      <c r="Q71" s="1883">
        <f ca="1">C76</f>
        <v>8.5000000000000006E-2</v>
      </c>
      <c r="R71" s="1872"/>
    </row>
    <row r="72" spans="1:18" s="1828" customFormat="1" ht="13.5" thickBot="1">
      <c r="B72" s="795"/>
      <c r="C72" s="795"/>
      <c r="O72" s="1880" t="s">
        <v>1044</v>
      </c>
      <c r="P72" s="1871" t="s">
        <v>1564</v>
      </c>
      <c r="Q72" s="1883">
        <f>L52</f>
        <v>0</v>
      </c>
      <c r="R72" s="1872"/>
    </row>
    <row r="73" spans="1:18" ht="16.5" thickBot="1">
      <c r="A73" s="1828"/>
      <c r="B73" s="795"/>
      <c r="C73" s="795"/>
      <c r="D73" s="1828"/>
      <c r="E73" s="1828"/>
      <c r="F73" s="1828"/>
      <c r="O73" s="1880" t="s">
        <v>1045</v>
      </c>
      <c r="P73" s="1871" t="s">
        <v>1567</v>
      </c>
      <c r="Q73" s="1872" t="e">
        <f ca="1">L58</f>
        <v>#DIV/0!</v>
      </c>
      <c r="R73" s="1872" t="s">
        <v>1568</v>
      </c>
    </row>
    <row r="74" spans="1:18" ht="13.5" thickBot="1">
      <c r="A74" s="1828"/>
      <c r="B74" s="317" t="s">
        <v>1587</v>
      </c>
      <c r="C74" s="1922"/>
      <c r="D74" s="1828"/>
      <c r="E74" s="1828"/>
      <c r="F74" s="1828"/>
      <c r="O74" s="1880" t="s">
        <v>1052</v>
      </c>
      <c r="P74" s="1871" t="str">
        <f>K59</f>
        <v>建筑物剩余耐用年限下的土地年期修正系数Kn</v>
      </c>
      <c r="Q74" s="1872" t="e">
        <f ca="1">L59</f>
        <v>#DIV/0!</v>
      </c>
      <c r="R74" s="1872" t="s">
        <v>1569</v>
      </c>
    </row>
    <row r="75" spans="1:18" ht="13.5" thickBot="1">
      <c r="A75" s="1828"/>
      <c r="B75" s="386" t="s">
        <v>1506</v>
      </c>
      <c r="C75" s="387">
        <f ca="1">ROUND(C13*C76,0)</f>
        <v>5</v>
      </c>
      <c r="D75" s="1828"/>
      <c r="E75" s="1828"/>
      <c r="F75" s="1828"/>
      <c r="K75" s="1854"/>
      <c r="L75" s="1828"/>
      <c r="O75" s="1870" t="s">
        <v>1046</v>
      </c>
      <c r="P75" s="1871" t="s">
        <v>1549</v>
      </c>
      <c r="Q75" s="1872">
        <f ca="1">Q65+Q66</f>
        <v>330</v>
      </c>
      <c r="R75" s="1872" t="s">
        <v>1047</v>
      </c>
    </row>
    <row r="76" spans="1:18">
      <c r="B76" s="388" t="s">
        <v>1507</v>
      </c>
      <c r="C76" s="389">
        <f ca="1">INDIRECT("'数据-取费表'!j"&amp;$G$1)</f>
        <v>8.5000000000000006E-2</v>
      </c>
      <c r="I76" s="1828"/>
      <c r="J76" s="1828"/>
      <c r="K76" s="1854"/>
      <c r="L76" s="1828"/>
    </row>
    <row r="77" spans="1:18">
      <c r="B77" s="390" t="s">
        <v>1508</v>
      </c>
      <c r="C77" s="391"/>
      <c r="I77" s="1828"/>
      <c r="J77" s="1828"/>
      <c r="K77" s="1854"/>
      <c r="L77" s="1828"/>
    </row>
    <row r="78" spans="1:18">
      <c r="B78" s="314" t="s">
        <v>1509</v>
      </c>
      <c r="C78" s="392"/>
    </row>
    <row r="79" spans="1:18">
      <c r="B79" s="386" t="s">
        <v>1510</v>
      </c>
      <c r="C79" s="318">
        <f ca="1">1-C80</f>
        <v>0.375</v>
      </c>
    </row>
    <row r="80" spans="1:18">
      <c r="B80" s="386" t="s">
        <v>1511</v>
      </c>
      <c r="C80" s="318">
        <f ca="1">ROUND(C75/C39,3)</f>
        <v>0.625</v>
      </c>
    </row>
    <row r="81" spans="2:3">
      <c r="B81" s="314" t="s">
        <v>1512</v>
      </c>
      <c r="C81" s="282"/>
    </row>
    <row r="82" spans="2:3">
      <c r="B82" s="317" t="s">
        <v>1513</v>
      </c>
      <c r="C82" s="319">
        <f ca="1">1-C83</f>
        <v>0.81800000000000006</v>
      </c>
    </row>
    <row r="83" spans="2:3">
      <c r="B83" s="317" t="s">
        <v>1514</v>
      </c>
      <c r="C83" s="318">
        <f ca="1">ROUND(C13/C40,3)</f>
        <v>0.182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85" zoomScaleNormal="100" zoomScaleSheetLayoutView="85" zoomScalePageLayoutView="80" workbookViewId="0">
      <selection activeCell="F154" sqref="F154"/>
    </sheetView>
  </sheetViews>
  <sheetFormatPr defaultColWidth="12.625" defaultRowHeight="21.75" customHeight="1"/>
  <cols>
    <col min="1" max="2" width="12.625" style="2307"/>
    <col min="3" max="4" width="12.625" style="2307" customWidth="1"/>
    <col min="5" max="9" width="12.625" style="2307"/>
    <col min="10" max="11" width="12.625" style="794" customWidth="1"/>
    <col min="12" max="12" width="12.625" style="794"/>
    <col min="13" max="13" width="14.125" style="794" bestFit="1" customWidth="1"/>
    <col min="14" max="26" width="12.625" style="794"/>
    <col min="27" max="35" width="12.625" style="2306"/>
    <col min="36" max="16384" width="12.625" style="2307"/>
  </cols>
  <sheetData>
    <row r="1" spans="1:12" ht="21.75" customHeight="1" thickBot="1">
      <c r="A1" s="2108" t="s">
        <v>2030</v>
      </c>
      <c r="B1" s="2301"/>
      <c r="C1" s="2302"/>
      <c r="D1" s="2301"/>
      <c r="E1" s="2301"/>
      <c r="F1" s="2303" t="s">
        <v>2031</v>
      </c>
      <c r="G1" s="2015" t="s">
        <v>3441</v>
      </c>
      <c r="H1" s="2304" t="str">
        <f>IF(G1="现房","——","估价对象范围")</f>
        <v>——</v>
      </c>
      <c r="I1" s="2305" t="s">
        <v>3595</v>
      </c>
    </row>
    <row r="2" spans="1:12" ht="21.75" customHeight="1" thickBot="1">
      <c r="A2" s="3175" t="str">
        <f>项目基本情况!S2</f>
        <v>北京市朝阳区东四环中路58号楼配套商业、酒店式公寓用房房地产</v>
      </c>
      <c r="B2" s="3176"/>
      <c r="C2" s="3176"/>
      <c r="D2" s="3176"/>
      <c r="E2" s="3176"/>
      <c r="F2" s="3176"/>
      <c r="G2" s="3176"/>
      <c r="H2" s="3176"/>
      <c r="I2" s="3177"/>
    </row>
    <row r="3" spans="1:12" ht="12.75">
      <c r="A3" s="3179" t="s">
        <v>2032</v>
      </c>
      <c r="B3" s="3180"/>
      <c r="C3" s="3180"/>
      <c r="D3" s="3180"/>
      <c r="E3" s="3180"/>
      <c r="F3" s="3180"/>
      <c r="G3" s="3180"/>
      <c r="H3" s="3180"/>
      <c r="I3" s="3180"/>
    </row>
    <row r="4" spans="1:12" ht="14.25">
      <c r="A4" s="2308" t="s">
        <v>2033</v>
      </c>
      <c r="B4" s="2309" t="s">
        <v>2034</v>
      </c>
      <c r="C4" s="2310" t="s">
        <v>3608</v>
      </c>
      <c r="D4" s="2310" t="s">
        <v>3539</v>
      </c>
      <c r="E4" s="3172" t="s">
        <v>2035</v>
      </c>
      <c r="F4" s="3173"/>
      <c r="G4" s="3173"/>
      <c r="H4" s="3173"/>
      <c r="I4" s="3181"/>
      <c r="K4" s="2311" t="str">
        <f>IF(ISNUMBER(FIND("比较法",'结果表 (2)'!C4)),"比较法",IF(ISNUMBER(FIND("成本法",'结果表 (2)'!C4)),"成本法",IF(ISNUMBER(FIND("假设开发法",'结果表 (2)'!C4)),"假设开发法",IF(ISNUMBER(FIND("收益法",'结果表 (2)'!C4)),"收益法","基准地价系数修正法"))))</f>
        <v>比较法</v>
      </c>
      <c r="L4" s="2311" t="str">
        <f>IF(ISNUMBER(FIND("比较法",'结果表 (2)'!D4)),"比较法",IF(ISNUMBER(FIND("成本法",'结果表 (2)'!D4)),"成本法",IF(ISNUMBER(FIND("假设开发法",'结果表 (2)'!D4)),"假设开发法",IF(ISNUMBER(FIND("收益法",'结果表 (2)'!D4)),"收益法","基准地价系数修正法"))))</f>
        <v>收益法</v>
      </c>
    </row>
    <row r="5" spans="1:12" ht="12.75" hidden="1">
      <c r="A5" s="3155" t="s">
        <v>2036</v>
      </c>
      <c r="B5" s="3142">
        <v>25</v>
      </c>
      <c r="C5" s="3158"/>
      <c r="D5" s="3178"/>
      <c r="E5" s="140" t="s">
        <v>2037</v>
      </c>
      <c r="F5" s="2312"/>
      <c r="G5" s="2312"/>
      <c r="H5" s="2312"/>
      <c r="I5" s="1817"/>
    </row>
    <row r="6" spans="1:12" ht="12.75" hidden="1">
      <c r="A6" s="3155"/>
      <c r="B6" s="3142"/>
      <c r="C6" s="3159"/>
      <c r="D6" s="3178"/>
      <c r="E6" s="140" t="s">
        <v>2038</v>
      </c>
      <c r="F6" s="2312"/>
      <c r="G6" s="2312"/>
      <c r="H6" s="2312"/>
      <c r="I6" s="1817"/>
    </row>
    <row r="7" spans="1:12" ht="12.75" hidden="1">
      <c r="A7" s="3155"/>
      <c r="B7" s="3142"/>
      <c r="C7" s="3160"/>
      <c r="D7" s="3178"/>
      <c r="E7" s="140" t="s">
        <v>2039</v>
      </c>
      <c r="F7" s="2312"/>
      <c r="G7" s="2312"/>
      <c r="H7" s="2312"/>
      <c r="I7" s="1817"/>
    </row>
    <row r="8" spans="1:12" ht="12.75" hidden="1">
      <c r="A8" s="3155" t="s">
        <v>2040</v>
      </c>
      <c r="B8" s="3142">
        <v>15</v>
      </c>
      <c r="C8" s="3158"/>
      <c r="D8" s="3178"/>
      <c r="E8" s="140" t="s">
        <v>2041</v>
      </c>
      <c r="F8" s="2312"/>
      <c r="G8" s="2312"/>
      <c r="H8" s="2312"/>
      <c r="I8" s="1817"/>
    </row>
    <row r="9" spans="1:12" ht="12.75" hidden="1">
      <c r="A9" s="3155"/>
      <c r="B9" s="3142"/>
      <c r="C9" s="3160"/>
      <c r="D9" s="3178"/>
      <c r="E9" s="140" t="s">
        <v>2042</v>
      </c>
      <c r="F9" s="2312"/>
      <c r="G9" s="2312"/>
      <c r="H9" s="2312"/>
      <c r="I9" s="1817"/>
    </row>
    <row r="10" spans="1:12" ht="12.75" hidden="1">
      <c r="A10" s="3155" t="s">
        <v>2043</v>
      </c>
      <c r="B10" s="3142">
        <v>15</v>
      </c>
      <c r="C10" s="3158"/>
      <c r="D10" s="3178"/>
      <c r="E10" s="140" t="s">
        <v>2044</v>
      </c>
      <c r="F10" s="2312"/>
      <c r="G10" s="2312"/>
      <c r="H10" s="2312"/>
      <c r="I10" s="1817"/>
    </row>
    <row r="11" spans="1:12" ht="12.75" hidden="1">
      <c r="A11" s="3155"/>
      <c r="B11" s="3142"/>
      <c r="C11" s="3160"/>
      <c r="D11" s="3178"/>
      <c r="E11" s="140" t="s">
        <v>2045</v>
      </c>
      <c r="F11" s="2312"/>
      <c r="G11" s="2312"/>
      <c r="H11" s="2312"/>
      <c r="I11" s="1817"/>
    </row>
    <row r="12" spans="1:12" ht="12.75" hidden="1">
      <c r="A12" s="3155" t="s">
        <v>2046</v>
      </c>
      <c r="B12" s="3142">
        <v>15</v>
      </c>
      <c r="C12" s="3158"/>
      <c r="D12" s="3178"/>
      <c r="E12" s="140" t="s">
        <v>2047</v>
      </c>
      <c r="F12" s="2312"/>
      <c r="G12" s="2312"/>
      <c r="H12" s="2312"/>
      <c r="I12" s="1817"/>
    </row>
    <row r="13" spans="1:12" ht="12.75" hidden="1">
      <c r="A13" s="3155"/>
      <c r="B13" s="3142"/>
      <c r="C13" s="3160"/>
      <c r="D13" s="3178"/>
      <c r="E13" s="140" t="s">
        <v>2048</v>
      </c>
      <c r="F13" s="2312"/>
      <c r="G13" s="2312"/>
      <c r="H13" s="2312"/>
      <c r="I13" s="1817"/>
    </row>
    <row r="14" spans="1:12" ht="12.75" hidden="1">
      <c r="A14" s="3155" t="s">
        <v>2049</v>
      </c>
      <c r="B14" s="3142">
        <v>30</v>
      </c>
      <c r="C14" s="3158">
        <v>50</v>
      </c>
      <c r="D14" s="3178">
        <f>100-C14</f>
        <v>50</v>
      </c>
      <c r="E14" s="140" t="s">
        <v>2050</v>
      </c>
      <c r="F14" s="2312"/>
      <c r="G14" s="2312"/>
      <c r="H14" s="2312"/>
      <c r="I14" s="1817"/>
    </row>
    <row r="15" spans="1:12" ht="12.75" hidden="1">
      <c r="A15" s="3155"/>
      <c r="B15" s="3142"/>
      <c r="C15" s="3159"/>
      <c r="D15" s="3178"/>
      <c r="E15" s="140" t="s">
        <v>2051</v>
      </c>
      <c r="F15" s="2312"/>
      <c r="G15" s="2312"/>
      <c r="H15" s="2312"/>
      <c r="I15" s="1817"/>
    </row>
    <row r="16" spans="1:12" ht="12.75">
      <c r="A16" s="3155"/>
      <c r="B16" s="3142"/>
      <c r="C16" s="3160"/>
      <c r="D16" s="3178"/>
      <c r="E16" s="140" t="s">
        <v>2052</v>
      </c>
      <c r="F16" s="2312"/>
      <c r="G16" s="2312"/>
      <c r="H16" s="2312"/>
      <c r="I16" s="1817"/>
    </row>
    <row r="17" spans="1:35" ht="15">
      <c r="A17" s="2313" t="s">
        <v>2053</v>
      </c>
      <c r="B17" s="64"/>
      <c r="C17" s="141">
        <f>SUM(C5:C16)</f>
        <v>50</v>
      </c>
      <c r="D17" s="141">
        <f>SUM(D5:D16)</f>
        <v>50</v>
      </c>
      <c r="E17" s="138"/>
      <c r="F17" s="138"/>
      <c r="G17" s="138"/>
      <c r="H17" s="138"/>
      <c r="I17" s="138"/>
      <c r="K17" s="2311"/>
      <c r="L17" s="2314" t="s">
        <v>2054</v>
      </c>
      <c r="M17" s="2314" t="s">
        <v>2055</v>
      </c>
    </row>
    <row r="18" spans="1:35" ht="15.75" thickBot="1">
      <c r="A18" s="2315" t="s">
        <v>2056</v>
      </c>
      <c r="B18" s="2316"/>
      <c r="C18" s="142">
        <f>ROUND(C17/SUM(C17:D17),2)</f>
        <v>0.5</v>
      </c>
      <c r="D18" s="142">
        <f>1-C18</f>
        <v>0.5</v>
      </c>
      <c r="E18" s="138"/>
      <c r="F18" s="138"/>
      <c r="G18" s="138"/>
      <c r="H18" s="138"/>
      <c r="I18" s="138"/>
      <c r="K18" s="2311" t="s">
        <v>2057</v>
      </c>
      <c r="L18" s="2311">
        <f>IF(C1="",'数据-汇总表'!E3,SUMIF(项目类型,C1,'数据-汇总表'!E17:E26)+SUMIF(项目类型,C1,'数据-汇总表'!I17:I26))</f>
        <v>26965.789999999986</v>
      </c>
      <c r="M18" s="2311">
        <f>IF(C1="",'数据-汇总表'!E3,SUMIF(项目类型,C1,'数据-汇总表'!E17:E26))</f>
        <v>26965.789999999986</v>
      </c>
    </row>
    <row r="19" spans="1:35" ht="15">
      <c r="A19" s="2317" t="s">
        <v>2058</v>
      </c>
      <c r="B19" s="2318" t="s">
        <v>2059</v>
      </c>
      <c r="C19" s="143">
        <f ca="1">SUMIF(INDIRECT("'"&amp;C4&amp;"'"&amp;"!A:A"),'结果表 (2)'!B19,INDIRECT("'"&amp;C4&amp;"'"&amp;"!B:B"))</f>
        <v>7071</v>
      </c>
      <c r="D19" s="144">
        <f ca="1">SUMIF(INDIRECT("'"&amp;D4&amp;"'"&amp;"!A:A"),'结果表 (2)'!B19,INDIRECT("'"&amp;D4&amp;"'"&amp;"!B:B"))</f>
        <v>7936</v>
      </c>
      <c r="E19" s="2317" t="s">
        <v>2060</v>
      </c>
      <c r="F19" s="2318" t="s">
        <v>2059</v>
      </c>
      <c r="G19" s="145">
        <f ca="1">ROUND(C19*$C$18+D19*$D$18,0)</f>
        <v>7504</v>
      </c>
      <c r="H19" s="2319" t="s">
        <v>2061</v>
      </c>
      <c r="I19" s="138"/>
      <c r="K19" s="2311" t="s">
        <v>2062</v>
      </c>
      <c r="L19" s="2311">
        <f>IF(C1="",'数据-汇总表'!D3,SUMIF(项目类型,C1,'数据-汇总表'!D17:D26)+SUMIF(项目类型,C1,'数据-汇总表'!H17:H27))</f>
        <v>2719.43</v>
      </c>
      <c r="M19" s="2311">
        <f>IF(C1="",'数据-汇总表'!D3,SUMIF(项目类型,C1,'数据-汇总表'!D17:D26))</f>
        <v>2719.43</v>
      </c>
    </row>
    <row r="20" spans="1:35" ht="15.75" thickBot="1">
      <c r="A20" s="2320"/>
      <c r="B20" s="1234" t="s">
        <v>2063</v>
      </c>
      <c r="C20" s="146">
        <f ca="1">SUMIF(INDIRECT("'"&amp;C4&amp;"'"&amp;"!A:A"),'结果表 (2)'!B20,INDIRECT("'"&amp;C4&amp;"'"&amp;"!B:B"))</f>
        <v>44315</v>
      </c>
      <c r="D20" s="147">
        <f ca="1">SUMIF(INDIRECT("'"&amp;D4&amp;"'"&amp;"!A:A"),'结果表 (2)'!B20,INDIRECT("'"&amp;D4&amp;"'"&amp;"!B:B"))</f>
        <v>49734</v>
      </c>
      <c r="E20" s="2320"/>
      <c r="F20" s="1234" t="s">
        <v>2063</v>
      </c>
      <c r="G20" s="148">
        <f ca="1">ROUND(C20*$C$18+D20*$D$18,0)</f>
        <v>47025</v>
      </c>
      <c r="H20" s="981" t="s">
        <v>2064</v>
      </c>
      <c r="I20" s="138"/>
    </row>
    <row r="21" spans="1:35" ht="15" hidden="1" customHeight="1" thickBot="1">
      <c r="A21" s="1001"/>
      <c r="B21" s="2321" t="s">
        <v>2065</v>
      </c>
      <c r="C21" s="788">
        <f ca="1">ROUND(C19*10000/L19,0)</f>
        <v>26002</v>
      </c>
      <c r="D21" s="789">
        <f ca="1">ROUND(D19*10000/L19,0)</f>
        <v>29183</v>
      </c>
      <c r="E21" s="1001"/>
      <c r="F21" s="2321" t="s">
        <v>2065</v>
      </c>
      <c r="G21" s="149">
        <f ca="1">ROUND(G19*10000/L19,0)</f>
        <v>27594</v>
      </c>
      <c r="H21" s="2322" t="s">
        <v>2064</v>
      </c>
      <c r="I21" s="138"/>
    </row>
    <row r="22" spans="1:35" ht="15" thickBot="1">
      <c r="A22" s="2163" t="s">
        <v>2066</v>
      </c>
      <c r="B22" s="2323"/>
      <c r="C22" s="2324"/>
      <c r="D22" s="790">
        <f ca="1">IF(C19&lt;D19,D19/C19-1,C19/D19-1)</f>
        <v>0.12233064630179613</v>
      </c>
      <c r="E22" s="138"/>
      <c r="F22" s="3007" t="s">
        <v>3678</v>
      </c>
      <c r="G22" s="138">
        <f ca="1">G20/0.9</f>
        <v>52250</v>
      </c>
      <c r="H22" s="138"/>
      <c r="I22" s="138"/>
    </row>
    <row r="23" spans="1:35" ht="13.5" hidden="1" thickBot="1">
      <c r="A23" s="2301"/>
      <c r="B23" s="2301"/>
      <c r="C23" s="2301"/>
      <c r="D23" s="2301"/>
      <c r="E23" s="138"/>
      <c r="F23" s="138"/>
      <c r="G23" s="138"/>
      <c r="H23" s="138"/>
      <c r="I23" s="138"/>
    </row>
    <row r="24" spans="1:35" ht="14.25" hidden="1">
      <c r="A24" s="3149" t="s">
        <v>2067</v>
      </c>
      <c r="B24" s="2318" t="s">
        <v>2059</v>
      </c>
      <c r="C24" s="145">
        <f>IF(B30=0,0,D30)</f>
        <v>0</v>
      </c>
      <c r="D24" s="2325"/>
      <c r="E24" s="138"/>
      <c r="F24" s="138"/>
      <c r="G24" s="138"/>
      <c r="H24" s="138"/>
      <c r="I24" s="138"/>
    </row>
    <row r="25" spans="1:35" ht="14.25" hidden="1">
      <c r="A25" s="3150"/>
      <c r="B25" s="1234" t="s">
        <v>2063</v>
      </c>
      <c r="C25" s="150">
        <f>IF(B30=0,0,C30)</f>
        <v>0</v>
      </c>
      <c r="D25" s="2326"/>
      <c r="E25" s="138"/>
      <c r="F25" s="138"/>
      <c r="G25" s="138"/>
      <c r="H25" s="138"/>
      <c r="I25" s="138"/>
    </row>
    <row r="26" spans="1:35" ht="13.5" hidden="1" customHeight="1">
      <c r="A26" s="2327" t="s">
        <v>2068</v>
      </c>
      <c r="B26" s="151" t="s">
        <v>2069</v>
      </c>
      <c r="C26" s="151" t="s">
        <v>2070</v>
      </c>
      <c r="D26" s="152" t="s">
        <v>2071</v>
      </c>
      <c r="E26" s="138"/>
      <c r="F26" s="138"/>
      <c r="G26" s="138"/>
      <c r="H26" s="138"/>
      <c r="I26" s="138"/>
    </row>
    <row r="27" spans="1:35" ht="14.25" hidden="1">
      <c r="A27" s="2327"/>
      <c r="B27" s="151">
        <v>0</v>
      </c>
      <c r="C27" s="151">
        <v>0</v>
      </c>
      <c r="D27" s="152">
        <f>ROUND(C27*B27/10000,0)</f>
        <v>0</v>
      </c>
      <c r="E27" s="138"/>
      <c r="F27" s="138"/>
      <c r="G27" s="138"/>
      <c r="H27" s="138"/>
      <c r="I27" s="138"/>
    </row>
    <row r="28" spans="1:35" ht="14.25" hidden="1">
      <c r="A28" s="2327"/>
      <c r="B28" s="151"/>
      <c r="C28" s="151"/>
      <c r="D28" s="152"/>
      <c r="E28" s="138"/>
      <c r="F28" s="138"/>
      <c r="G28" s="138"/>
      <c r="H28" s="138"/>
      <c r="I28" s="138"/>
    </row>
    <row r="29" spans="1:35" ht="14.25" hidden="1">
      <c r="A29" s="2327"/>
      <c r="B29" s="151"/>
      <c r="C29" s="151"/>
      <c r="D29" s="152"/>
      <c r="E29" s="138"/>
      <c r="F29" s="138"/>
      <c r="G29" s="138"/>
      <c r="H29" s="138"/>
      <c r="I29" s="138"/>
    </row>
    <row r="30" spans="1:35" ht="15" hidden="1" thickBot="1">
      <c r="A30" s="151" t="s">
        <v>2072</v>
      </c>
      <c r="B30" s="151"/>
      <c r="C30" s="151"/>
      <c r="D30" s="151"/>
      <c r="E30" s="2808" t="s">
        <v>2943</v>
      </c>
      <c r="F30" s="138"/>
      <c r="G30" s="138"/>
      <c r="H30" s="138"/>
      <c r="I30" s="138"/>
    </row>
    <row r="31" spans="1:35" s="2329" customFormat="1" ht="15" hidden="1" thickBot="1">
      <c r="A31" s="2328"/>
      <c r="B31" s="2328"/>
      <c r="C31" s="2328"/>
      <c r="D31" s="2328"/>
      <c r="E31" s="138"/>
      <c r="F31" s="138"/>
      <c r="G31" s="138"/>
      <c r="H31" s="138"/>
      <c r="I31" s="138"/>
      <c r="J31" s="794"/>
      <c r="K31" s="794"/>
      <c r="L31" s="794"/>
      <c r="M31" s="794"/>
      <c r="N31" s="794"/>
      <c r="O31" s="794"/>
      <c r="P31" s="794"/>
      <c r="Q31" s="794"/>
      <c r="R31" s="794"/>
      <c r="S31" s="794"/>
      <c r="T31" s="794"/>
      <c r="U31" s="794"/>
      <c r="V31" s="794"/>
      <c r="W31" s="794"/>
      <c r="X31" s="794"/>
      <c r="Y31" s="794"/>
      <c r="Z31" s="794"/>
      <c r="AA31" s="2306"/>
      <c r="AB31" s="2306"/>
      <c r="AC31" s="2306"/>
      <c r="AD31" s="2306"/>
      <c r="AE31" s="2306"/>
      <c r="AF31" s="2306"/>
      <c r="AG31" s="2306"/>
      <c r="AH31" s="2306"/>
      <c r="AI31" s="2306"/>
    </row>
    <row r="32" spans="1:35" ht="15.75" hidden="1" thickBot="1">
      <c r="A32" s="2330" t="s">
        <v>2073</v>
      </c>
      <c r="B32" s="2331"/>
      <c r="C32" s="153">
        <f ca="1">IF(D32="总价",G19-C24,G20-C25)</f>
        <v>7504</v>
      </c>
      <c r="D32" s="2332" t="s">
        <v>2074</v>
      </c>
      <c r="E32" s="138"/>
      <c r="F32" s="138"/>
      <c r="G32" s="138"/>
      <c r="H32" s="138"/>
      <c r="I32" s="138"/>
    </row>
    <row r="33" spans="1:15" ht="15.75" hidden="1" thickBot="1">
      <c r="A33" s="958" t="s">
        <v>2075</v>
      </c>
      <c r="B33" s="2333"/>
      <c r="C33" s="2334"/>
      <c r="D33" s="2335"/>
      <c r="E33" s="2336" t="s">
        <v>2076</v>
      </c>
      <c r="F33" s="2968" t="str">
        <f>IF(D32="楼面单价","取值（单价）","取值（总价）")</f>
        <v>取值（总价）</v>
      </c>
      <c r="G33" s="138"/>
      <c r="H33" s="138"/>
      <c r="I33" s="138"/>
    </row>
    <row r="34" spans="1:15" ht="15.75" hidden="1" thickBot="1">
      <c r="A34" s="2338"/>
      <c r="B34" s="2339" t="s">
        <v>2077</v>
      </c>
      <c r="C34" s="157" t="e">
        <f ca="1">IF(C33="自定义",F34,C32-C35)</f>
        <v>#REF!</v>
      </c>
      <c r="D34" s="1050" t="e">
        <f ca="1">IF(C33="自定义",ROUND(C34/C32,3),IF(C33="收益比率",SUMIF(INDIRECT("'"&amp;D33&amp;"'"&amp;"!b:b"),"土地收益比率",INDIRECT("'"&amp;D33&amp;"'"&amp;"!c:c")),SUMIF(INDIRECT("'"&amp;D33&amp;"'"&amp;"!b:b"),"土地成本比率",INDIRECT("'"&amp;D33&amp;"'"&amp;"!c:c"))))</f>
        <v>#REF!</v>
      </c>
      <c r="E34" s="2340" t="s">
        <v>2078</v>
      </c>
      <c r="F34" s="1722"/>
      <c r="G34" s="138"/>
      <c r="H34" s="138"/>
      <c r="I34" s="138"/>
    </row>
    <row r="35" spans="1:15" ht="15.75" hidden="1" thickBot="1">
      <c r="A35" s="2341"/>
      <c r="B35" s="2342" t="s">
        <v>2079</v>
      </c>
      <c r="C35" s="1428" t="e">
        <f ca="1">IF(C33="自定义",F35,ROUND(C32*D35,0))</f>
        <v>#REF!</v>
      </c>
      <c r="D35" s="1429" t="e">
        <f ca="1">IF(C33="自定义",ROUND(C35/C32,3),IF(C33="收益比率",SUMIF(INDIRECT("'"&amp;D33&amp;"'"&amp;"!b:b"),"建筑物收益比率",INDIRECT("'"&amp;D33&amp;"'"&amp;"!c:c")),SUMIF(INDIRECT("'"&amp;D33&amp;"'"&amp;"!b:b"),"建筑物成本比率",INDIRECT("'"&amp;D33&amp;"'"&amp;"!c:c"))))</f>
        <v>#REF!</v>
      </c>
      <c r="E35" s="2343" t="s">
        <v>2080</v>
      </c>
      <c r="F35" s="163"/>
      <c r="G35" s="138"/>
      <c r="H35" s="138"/>
      <c r="I35" s="138"/>
    </row>
    <row r="36" spans="1:15" ht="15.75" hidden="1" thickBot="1">
      <c r="A36" s="3167" t="s">
        <v>2081</v>
      </c>
      <c r="B36" s="2344" t="s">
        <v>2082</v>
      </c>
      <c r="C36" s="154"/>
      <c r="D36" s="2345"/>
      <c r="E36" s="2346"/>
      <c r="F36" s="2347"/>
      <c r="G36" s="138"/>
      <c r="H36" s="138"/>
      <c r="I36" s="138"/>
    </row>
    <row r="37" spans="1:15" ht="15.75" hidden="1" thickBot="1">
      <c r="A37" s="3168"/>
      <c r="B37" s="2149" t="s">
        <v>2083</v>
      </c>
      <c r="C37" s="156"/>
      <c r="D37" s="1379"/>
      <c r="E37" s="1379"/>
      <c r="F37" s="2347"/>
      <c r="G37" s="138"/>
      <c r="H37" s="138"/>
      <c r="I37" s="138"/>
    </row>
    <row r="38" spans="1:15" ht="15.75" hidden="1" thickBot="1">
      <c r="A38" s="3169"/>
      <c r="B38" s="2348" t="s">
        <v>2084</v>
      </c>
      <c r="C38" s="726"/>
      <c r="D38" s="2349" t="s">
        <v>2085</v>
      </c>
      <c r="E38" s="1379"/>
      <c r="F38" s="2347"/>
      <c r="G38" s="138"/>
      <c r="H38" s="138"/>
      <c r="I38" s="138"/>
    </row>
    <row r="39" spans="1:15" ht="15" hidden="1">
      <c r="A39" s="2320" t="s">
        <v>2086</v>
      </c>
      <c r="B39" s="2350" t="s">
        <v>2069</v>
      </c>
      <c r="C39" s="2351" t="s">
        <v>2070</v>
      </c>
      <c r="D39" s="2351" t="s">
        <v>2089</v>
      </c>
      <c r="E39" s="2352" t="s">
        <v>2071</v>
      </c>
      <c r="F39" s="2347"/>
      <c r="G39" s="138"/>
      <c r="H39" s="138"/>
      <c r="I39" s="138"/>
    </row>
    <row r="40" spans="1:15" ht="14.25" hidden="1">
      <c r="A40" s="2353" t="s">
        <v>2091</v>
      </c>
      <c r="B40" s="158"/>
      <c r="C40" s="159"/>
      <c r="D40" s="159"/>
      <c r="E40" s="160"/>
      <c r="F40" s="2347"/>
      <c r="G40" s="138"/>
      <c r="H40" s="138"/>
      <c r="I40" s="138"/>
    </row>
    <row r="41" spans="1:15" ht="14.25" hidden="1">
      <c r="A41" s="2353" t="s">
        <v>2092</v>
      </c>
      <c r="B41" s="158"/>
      <c r="C41" s="159"/>
      <c r="D41" s="159"/>
      <c r="E41" s="160"/>
      <c r="F41" s="2347"/>
      <c r="G41" s="138"/>
      <c r="H41" s="138"/>
      <c r="I41" s="138"/>
    </row>
    <row r="42" spans="1:15" ht="15" hidden="1" thickBot="1">
      <c r="A42" s="2354"/>
      <c r="B42" s="161"/>
      <c r="C42" s="162"/>
      <c r="D42" s="162"/>
      <c r="E42" s="163"/>
      <c r="F42" s="2347"/>
      <c r="G42" s="138"/>
      <c r="H42" s="138"/>
      <c r="I42" s="138"/>
    </row>
    <row r="43" spans="1:15" ht="12.75" hidden="1">
      <c r="A43" s="2048"/>
      <c r="B43" s="2048"/>
      <c r="C43" s="2048"/>
      <c r="D43" s="2048"/>
      <c r="E43" s="2048"/>
      <c r="F43" s="2355"/>
      <c r="G43" s="2355"/>
      <c r="H43" s="2355"/>
      <c r="I43" s="2356"/>
    </row>
    <row r="44" spans="1:15" ht="18.75" hidden="1">
      <c r="A44" s="2357" t="s">
        <v>2093</v>
      </c>
      <c r="B44" s="2358"/>
      <c r="C44" s="2358"/>
      <c r="D44" s="2359"/>
      <c r="E44" s="2359"/>
      <c r="F44" s="2360"/>
      <c r="G44" s="2360"/>
      <c r="H44" s="2360"/>
      <c r="I44" s="2360"/>
      <c r="J44" s="2361" t="s">
        <v>2094</v>
      </c>
      <c r="K44" s="2362"/>
      <c r="L44" s="2362"/>
      <c r="M44" s="2362"/>
      <c r="N44" s="2362"/>
      <c r="O44" s="2362"/>
    </row>
    <row r="45" spans="1:15" ht="14.25" hidden="1" customHeight="1" thickBot="1">
      <c r="A45" s="3146" t="s">
        <v>2095</v>
      </c>
      <c r="B45" s="3147"/>
      <c r="C45" s="3148"/>
      <c r="D45" s="164">
        <f ca="1">ROUND(H101*F45,0)</f>
        <v>7504</v>
      </c>
      <c r="E45" s="165" t="s">
        <v>2096</v>
      </c>
      <c r="F45" s="166">
        <v>1</v>
      </c>
      <c r="G45" s="167" t="s">
        <v>2097</v>
      </c>
      <c r="H45" s="138"/>
      <c r="I45" s="138"/>
      <c r="J45" s="3206" t="s">
        <v>2098</v>
      </c>
      <c r="K45" s="3206"/>
      <c r="L45" s="3206"/>
      <c r="M45" s="3206"/>
      <c r="N45" s="3206"/>
      <c r="O45" s="3206"/>
    </row>
    <row r="46" spans="1:15" ht="14.25" hidden="1" customHeight="1">
      <c r="A46" s="3143" t="s">
        <v>2099</v>
      </c>
      <c r="B46" s="3144"/>
      <c r="C46" s="3144"/>
      <c r="D46" s="3144"/>
      <c r="E46" s="3144"/>
      <c r="F46" s="3144"/>
      <c r="G46" s="3145"/>
      <c r="H46" s="2363"/>
      <c r="I46" s="168"/>
      <c r="J46" s="2979">
        <v>1</v>
      </c>
      <c r="K46" s="3206" t="s">
        <v>2100</v>
      </c>
      <c r="L46" s="3206"/>
      <c r="M46" s="3226"/>
      <c r="N46" s="3226"/>
      <c r="O46" s="3226"/>
    </row>
    <row r="47" spans="1:15" ht="12" hidden="1" customHeight="1">
      <c r="A47" s="169" t="s">
        <v>2101</v>
      </c>
      <c r="B47" s="170"/>
      <c r="C47" s="171"/>
      <c r="D47" s="172" t="s">
        <v>2102</v>
      </c>
      <c r="E47" s="24" t="s">
        <v>2103</v>
      </c>
      <c r="F47" s="173" t="s">
        <v>2104</v>
      </c>
      <c r="G47" s="174" t="s">
        <v>2105</v>
      </c>
      <c r="H47" s="2363"/>
      <c r="I47" s="168"/>
      <c r="J47" s="2979">
        <v>2</v>
      </c>
      <c r="K47" s="3206" t="s">
        <v>2106</v>
      </c>
      <c r="L47" s="3206"/>
      <c r="M47" s="3227">
        <f>'数据-取费表'!B2</f>
        <v>43161</v>
      </c>
      <c r="N47" s="3227"/>
      <c r="O47" s="3227"/>
    </row>
    <row r="48" spans="1:15" ht="25.5" hidden="1">
      <c r="A48" s="3174" t="s">
        <v>2107</v>
      </c>
      <c r="B48" s="3157"/>
      <c r="C48" s="3157"/>
      <c r="D48" s="140">
        <f>IF(H48="情况1",0,IF(H48="情况2",D52,IF(H48="情况3",D53,IF(H48="情况4",D54))))</f>
        <v>0</v>
      </c>
      <c r="E48" s="2973" t="str">
        <f>IF(H48="情况4","(销售额-原购置价)×税（费）率","销售额×税（费）率")</f>
        <v>销售额×税（费）率</v>
      </c>
      <c r="F48" s="175" t="str">
        <f>IF(H48="情况1","免征",'数据-取费表'!B41)</f>
        <v>免征</v>
      </c>
      <c r="G48" s="2364" t="s">
        <v>2108</v>
      </c>
      <c r="H48" s="2365" t="s">
        <v>2109</v>
      </c>
      <c r="I48" s="2363"/>
      <c r="J48" s="2979">
        <v>3</v>
      </c>
      <c r="K48" s="3206" t="s">
        <v>2110</v>
      </c>
      <c r="L48" s="3206"/>
      <c r="M48" s="3228">
        <f ca="1">H101</f>
        <v>7504</v>
      </c>
      <c r="N48" s="3228"/>
      <c r="O48" s="3228"/>
    </row>
    <row r="49" spans="1:35" ht="25.5" hidden="1" customHeight="1">
      <c r="A49" s="176" t="s">
        <v>2111</v>
      </c>
      <c r="B49" s="3141" t="s">
        <v>2112</v>
      </c>
      <c r="C49" s="3141"/>
      <c r="D49" s="177">
        <v>0</v>
      </c>
      <c r="E49" s="2967" t="s">
        <v>2113</v>
      </c>
      <c r="F49" s="28" t="s">
        <v>34</v>
      </c>
      <c r="G49" s="3212"/>
      <c r="H49" s="138"/>
      <c r="I49" s="2366"/>
      <c r="J49" s="2979">
        <v>4</v>
      </c>
      <c r="K49" s="3206" t="str">
        <f>IF(项目基本情况!E8="房地产抵押价值","房地产抵押价值","抵押担保权已注销时的房地产抵押价值")</f>
        <v>抵押担保权已注销时的房地产抵押价值</v>
      </c>
      <c r="L49" s="3206"/>
      <c r="M49" s="3228">
        <f ca="1">IF(项目基本情况!E8="房地产抵押价值",H107,H109)</f>
        <v>7504</v>
      </c>
      <c r="N49" s="3228"/>
      <c r="O49" s="3228"/>
    </row>
    <row r="50" spans="1:35" ht="25.5" hidden="1" customHeight="1">
      <c r="A50" s="178"/>
      <c r="B50" s="3141" t="s">
        <v>2114</v>
      </c>
      <c r="C50" s="3141"/>
      <c r="D50" s="179"/>
      <c r="E50" s="31"/>
      <c r="F50" s="180"/>
      <c r="G50" s="3213"/>
      <c r="H50" s="138"/>
      <c r="I50" s="2366"/>
      <c r="J50" s="3206" t="s">
        <v>2115</v>
      </c>
      <c r="K50" s="3206"/>
      <c r="L50" s="3206"/>
      <c r="M50" s="3206"/>
      <c r="N50" s="3206"/>
      <c r="O50" s="3206"/>
    </row>
    <row r="51" spans="1:35" ht="12" hidden="1" customHeight="1">
      <c r="A51" s="181"/>
      <c r="B51" s="3141" t="s">
        <v>2116</v>
      </c>
      <c r="C51" s="3141"/>
      <c r="D51" s="182"/>
      <c r="E51" s="30"/>
      <c r="F51" s="180"/>
      <c r="G51" s="3214"/>
      <c r="H51" s="138"/>
      <c r="I51" s="2366"/>
      <c r="J51" s="2978" t="s">
        <v>2117</v>
      </c>
      <c r="K51" s="3206" t="s">
        <v>2118</v>
      </c>
      <c r="L51" s="3206"/>
      <c r="M51" s="2978" t="s">
        <v>2119</v>
      </c>
      <c r="N51" s="2978" t="s">
        <v>2120</v>
      </c>
      <c r="O51" s="2978" t="s">
        <v>2121</v>
      </c>
    </row>
    <row r="52" spans="1:35" ht="24" hidden="1" customHeight="1">
      <c r="A52" s="183" t="s">
        <v>2122</v>
      </c>
      <c r="B52" s="3141" t="s">
        <v>2123</v>
      </c>
      <c r="C52" s="3141"/>
      <c r="D52" s="182">
        <f ca="1">ROUND(D45*'数据-取费表'!B41/(1+'数据-取费表'!C42),0)</f>
        <v>400</v>
      </c>
      <c r="E52" s="2966" t="s">
        <v>2124</v>
      </c>
      <c r="F52" s="184">
        <f>'数据-取费表'!B41</f>
        <v>5.6000000000000001E-2</v>
      </c>
      <c r="G52" s="2368"/>
      <c r="H52" s="138"/>
      <c r="I52" s="2366"/>
      <c r="J52" s="2979">
        <v>1</v>
      </c>
      <c r="K52" s="3207" t="s">
        <v>2125</v>
      </c>
      <c r="L52" s="3207"/>
      <c r="M52" s="1737">
        <f>D48</f>
        <v>0</v>
      </c>
      <c r="N52" s="2979" t="str">
        <f>E48</f>
        <v>销售额×税（费）率</v>
      </c>
      <c r="O52" s="1738" t="str">
        <f>F48</f>
        <v>免征</v>
      </c>
    </row>
    <row r="53" spans="1:35" ht="12" hidden="1" customHeight="1">
      <c r="A53" s="183" t="s">
        <v>2126</v>
      </c>
      <c r="B53" s="3165" t="s">
        <v>2127</v>
      </c>
      <c r="C53" s="3166"/>
      <c r="D53" s="182">
        <f ca="1">ROUND(D45*'数据-取费表'!B41/(1+'数据-取费表'!C42),0)</f>
        <v>400</v>
      </c>
      <c r="E53" s="2966" t="s">
        <v>2124</v>
      </c>
      <c r="F53" s="184">
        <f>'数据-取费表'!B41</f>
        <v>5.6000000000000001E-2</v>
      </c>
      <c r="G53" s="2368"/>
      <c r="H53" s="138"/>
      <c r="I53" s="2366"/>
      <c r="J53" s="2979">
        <v>2</v>
      </c>
      <c r="K53" s="3207" t="s">
        <v>2128</v>
      </c>
      <c r="L53" s="3207"/>
      <c r="M53" s="1737">
        <f t="shared" ref="M53:O54" ca="1" si="0">D55</f>
        <v>4</v>
      </c>
      <c r="N53" s="2979" t="str">
        <f t="shared" si="0"/>
        <v>销售额×税（费）率</v>
      </c>
      <c r="O53" s="1738">
        <f t="shared" si="0"/>
        <v>5.0000000000000001E-4</v>
      </c>
    </row>
    <row r="54" spans="1:35" ht="12" hidden="1" customHeight="1">
      <c r="A54" s="183" t="s">
        <v>2129</v>
      </c>
      <c r="B54" s="3165" t="s">
        <v>2130</v>
      </c>
      <c r="C54" s="3166"/>
      <c r="D54" s="182">
        <f ca="1">C68</f>
        <v>400</v>
      </c>
      <c r="E54" s="30" t="s">
        <v>2131</v>
      </c>
      <c r="F54" s="184">
        <f>'数据-取费表'!B41</f>
        <v>5.6000000000000001E-2</v>
      </c>
      <c r="G54" s="2368"/>
      <c r="H54" s="2369"/>
      <c r="I54" s="2366"/>
      <c r="J54" s="2979">
        <v>3</v>
      </c>
      <c r="K54" s="3207" t="s">
        <v>2132</v>
      </c>
      <c r="L54" s="3207"/>
      <c r="M54" s="1737">
        <f t="shared" ca="1" si="0"/>
        <v>4247</v>
      </c>
      <c r="N54" s="2979" t="str">
        <f t="shared" si="0"/>
        <v>增值额×税（费）率</v>
      </c>
      <c r="O54" s="1739" t="str">
        <f t="shared" si="0"/>
        <v>——</v>
      </c>
    </row>
    <row r="55" spans="1:35" ht="24" hidden="1" customHeight="1">
      <c r="A55" s="3156" t="s">
        <v>2133</v>
      </c>
      <c r="B55" s="3157"/>
      <c r="C55" s="3157"/>
      <c r="D55" s="185">
        <f ca="1">IF(H55="个人住宅",0,ROUND(D45*I55,0))</f>
        <v>4</v>
      </c>
      <c r="E55" s="2966" t="s">
        <v>2134</v>
      </c>
      <c r="F55" s="184">
        <f>IF(H55="正常",I55,"免征")</f>
        <v>5.0000000000000001E-4</v>
      </c>
      <c r="G55" s="2368"/>
      <c r="H55" s="2365" t="s">
        <v>2135</v>
      </c>
      <c r="I55" s="186">
        <f>'数据-取费表'!B49</f>
        <v>5.0000000000000001E-4</v>
      </c>
      <c r="J55" s="2979" t="str">
        <f>IF(H59="非个人房产","",4)</f>
        <v/>
      </c>
      <c r="K55" s="3207" t="str">
        <f>IF(H59="非个人房产","——","个人所得税")</f>
        <v>——</v>
      </c>
      <c r="L55" s="3207"/>
      <c r="M55" s="1740" t="str">
        <f>D59</f>
        <v>——</v>
      </c>
      <c r="N55" s="2980" t="str">
        <f>E59</f>
        <v>——</v>
      </c>
      <c r="O55" s="1741" t="str">
        <f>F59</f>
        <v>——</v>
      </c>
    </row>
    <row r="56" spans="1:35" ht="24.75" hidden="1">
      <c r="A56" s="3156" t="s">
        <v>2136</v>
      </c>
      <c r="B56" s="3157"/>
      <c r="C56" s="3157"/>
      <c r="D56" s="185">
        <f ca="1">IF(H56="个人住宅",D57,D58)</f>
        <v>4247</v>
      </c>
      <c r="E56" s="2966" t="s">
        <v>2137</v>
      </c>
      <c r="F56" s="184" t="str">
        <f>IF(H56="正常",F58,"免征")</f>
        <v>——</v>
      </c>
      <c r="G56" s="2370" t="s">
        <v>2138</v>
      </c>
      <c r="H56" s="2371" t="s">
        <v>2135</v>
      </c>
      <c r="I56" s="2372"/>
      <c r="J56" s="2979" t="str">
        <f>IF(项目基本情况!K6="上海银行",IF(J55="",4,J55+1),"")</f>
        <v/>
      </c>
      <c r="K56" s="3230" t="str">
        <f>IF(项目基本情况!K6="上海银行","其他处置费用","")</f>
        <v/>
      </c>
      <c r="L56" s="3231"/>
      <c r="M56" s="1737" t="str">
        <f>IF(项目基本情况!K6="上海银行",M69,"")</f>
        <v/>
      </c>
      <c r="N56" s="3233" t="str">
        <f>IF(项目基本情况!K6="上海银行","包含处置中涉及的律师、诉讼、拍卖、评估等费用","")</f>
        <v/>
      </c>
      <c r="O56" s="3234"/>
    </row>
    <row r="57" spans="1:35" ht="12.75" hidden="1">
      <c r="A57" s="183" t="s">
        <v>2111</v>
      </c>
      <c r="B57" s="3172" t="s">
        <v>2139</v>
      </c>
      <c r="C57" s="3181"/>
      <c r="D57" s="187">
        <v>0</v>
      </c>
      <c r="E57" s="2967" t="s">
        <v>2113</v>
      </c>
      <c r="F57" s="155"/>
      <c r="G57" s="2368"/>
      <c r="H57" s="2372"/>
      <c r="I57" s="2372"/>
      <c r="J57" s="3207">
        <f>IF(AND(J55="",J56=""),4,IF(项目基本情况!K6="上海银行",'结果表 (2)'!J56+1,'结果表 (2)'!J55+1))</f>
        <v>4</v>
      </c>
      <c r="K57" s="3207" t="s">
        <v>2140</v>
      </c>
      <c r="L57" s="2373" t="s">
        <v>2141</v>
      </c>
      <c r="M57" s="1742"/>
      <c r="N57" s="1743">
        <f ca="1">SUMIF(M52:M56,"&lt;9e307")</f>
        <v>4251</v>
      </c>
      <c r="O57" s="2374"/>
      <c r="P57" s="1736">
        <f ca="1">N57/M49</f>
        <v>0.56649786780383793</v>
      </c>
    </row>
    <row r="58" spans="1:35" ht="24.75" hidden="1">
      <c r="A58" s="183" t="s">
        <v>2122</v>
      </c>
      <c r="B58" s="3172" t="s">
        <v>2142</v>
      </c>
      <c r="C58" s="3173"/>
      <c r="D58" s="185">
        <f ca="1">IF(H58="转让取得",C81,C97)</f>
        <v>4247</v>
      </c>
      <c r="E58" s="2966" t="s">
        <v>2137</v>
      </c>
      <c r="F58" s="24" t="s">
        <v>34</v>
      </c>
      <c r="G58" s="2368"/>
      <c r="H58" s="2371" t="s">
        <v>2143</v>
      </c>
      <c r="I58" s="2372"/>
      <c r="J58" s="3207"/>
      <c r="K58" s="3207"/>
      <c r="L58" s="2373" t="s">
        <v>2144</v>
      </c>
      <c r="M58" s="1744"/>
      <c r="N58" s="2375" t="str">
        <f ca="1">NUMBERSTRING(INT(N57*10000),2)&amp;"元整"</f>
        <v>肆仟贰佰伍拾壹万元整</v>
      </c>
      <c r="O58" s="2376"/>
    </row>
    <row r="59" spans="1:35" ht="24.75" hidden="1" thickBot="1">
      <c r="A59" s="3210" t="s">
        <v>2145</v>
      </c>
      <c r="B59" s="3211"/>
      <c r="C59" s="3211"/>
      <c r="D59" s="188" t="str">
        <f>IF(H59="非个人房产","——",IF(H59="个人住宅",0,ROUND(D45*I59,0)))</f>
        <v>——</v>
      </c>
      <c r="E59" s="189" t="str">
        <f>IF(H59="非个人房产","——","销售额×税（费）率")</f>
        <v>——</v>
      </c>
      <c r="F59" s="190" t="str">
        <f>IF(H59="非个人房产","——",IF(H59="个人住宅","免征",I59))</f>
        <v>——</v>
      </c>
      <c r="G59" s="2377" t="s">
        <v>2138</v>
      </c>
      <c r="H59" s="2371" t="s">
        <v>2146</v>
      </c>
      <c r="I59" s="191">
        <v>0.01</v>
      </c>
      <c r="J59" s="3208">
        <f>J57+1</f>
        <v>5</v>
      </c>
      <c r="K59" s="3207" t="s">
        <v>2147</v>
      </c>
      <c r="L59" s="2979" t="s">
        <v>2141</v>
      </c>
      <c r="M59" s="1745"/>
      <c r="N59" s="1746">
        <f ca="1">M49-N57</f>
        <v>3253</v>
      </c>
      <c r="O59" s="2378"/>
    </row>
    <row r="60" spans="1:35" ht="12" hidden="1" customHeight="1">
      <c r="A60" s="2379"/>
      <c r="B60" s="2301"/>
      <c r="C60" s="2301"/>
      <c r="D60" s="2301"/>
      <c r="E60" s="2049"/>
      <c r="F60" s="2372"/>
      <c r="G60" s="2372"/>
      <c r="H60" s="2380"/>
      <c r="I60" s="138"/>
      <c r="J60" s="3209"/>
      <c r="K60" s="3207"/>
      <c r="L60" s="2373" t="s">
        <v>2144</v>
      </c>
      <c r="M60" s="1744"/>
      <c r="N60" s="2375" t="str">
        <f ca="1">NUMBERSTRING(INT(N59*10000),2)&amp;"元整"</f>
        <v>叁仟贰佰伍拾叁万元整</v>
      </c>
      <c r="O60" s="2376"/>
    </row>
    <row r="61" spans="1:35" ht="13.5" hidden="1" thickBot="1">
      <c r="A61" s="3154" t="s">
        <v>2148</v>
      </c>
      <c r="B61" s="3154"/>
      <c r="C61" s="3154"/>
      <c r="D61" s="3154"/>
      <c r="E61" s="3154"/>
      <c r="F61" s="2372"/>
      <c r="G61" s="2372"/>
      <c r="H61" s="2380"/>
      <c r="I61" s="138"/>
      <c r="J61" s="2979">
        <f>J59+1</f>
        <v>6</v>
      </c>
      <c r="K61" s="3207" t="s">
        <v>2149</v>
      </c>
      <c r="L61" s="3207"/>
      <c r="M61" s="1747"/>
      <c r="N61" s="1748">
        <f ca="1">ROUND(N59*10000/'数据-汇总表'!E3,0)</f>
        <v>1206</v>
      </c>
      <c r="O61" s="2381"/>
    </row>
    <row r="62" spans="1:35" ht="12.75" hidden="1">
      <c r="A62" s="3170" t="s">
        <v>2150</v>
      </c>
      <c r="B62" s="3171"/>
      <c r="C62" s="2976"/>
      <c r="D62" s="2976" t="s">
        <v>2151</v>
      </c>
      <c r="E62" s="192" t="s">
        <v>2152</v>
      </c>
      <c r="F62" s="2372"/>
      <c r="G62" s="2372"/>
      <c r="H62" s="2380"/>
      <c r="I62" s="138"/>
    </row>
    <row r="63" spans="1:35" ht="12.75" hidden="1">
      <c r="A63" s="203" t="s">
        <v>775</v>
      </c>
      <c r="B63" s="193" t="s">
        <v>2153</v>
      </c>
      <c r="C63" s="194">
        <f ca="1">ROUND((C64+C65)/(1+'数据-取费表'!C42),0)</f>
        <v>7147</v>
      </c>
      <c r="D63" s="195"/>
      <c r="E63" s="196"/>
      <c r="F63" s="2372"/>
      <c r="G63" s="2372"/>
      <c r="H63" s="2380"/>
      <c r="I63" s="138"/>
      <c r="J63" s="3232" t="s">
        <v>2154</v>
      </c>
      <c r="K63" s="2982" t="s">
        <v>2155</v>
      </c>
      <c r="L63" s="1735">
        <f ca="1">IF(M49&gt;10000,M49*0.5%,IF(AND(M49&gt;1000,M49&lt;=10000),M49*1%,IF(AND(M49&gt;100,M49&lt;=1000),M49*3%,IF(AND(M49&gt;10,M49&lt;=100),M49*5%,M49*8%))))</f>
        <v>75.040000000000006</v>
      </c>
      <c r="M63" s="24">
        <f ca="1">ROUND(L63,1)</f>
        <v>75</v>
      </c>
      <c r="Z63" s="2306"/>
      <c r="AI63" s="2307"/>
    </row>
    <row r="64" spans="1:35" ht="14.25" hidden="1" customHeight="1">
      <c r="A64" s="197" t="s">
        <v>770</v>
      </c>
      <c r="B64" s="198" t="s">
        <v>2156</v>
      </c>
      <c r="C64" s="199">
        <f ca="1">D45</f>
        <v>7504</v>
      </c>
      <c r="D64" s="200" t="s">
        <v>32</v>
      </c>
      <c r="E64" s="201"/>
      <c r="F64" s="2372"/>
      <c r="G64" s="2372"/>
      <c r="H64" s="2380"/>
      <c r="I64" s="138"/>
      <c r="J64" s="3232"/>
      <c r="K64" s="2982" t="s">
        <v>2157</v>
      </c>
      <c r="L64" s="1735">
        <f ca="1">IF(M49&gt;2000,M49*0.5%,IF(AND(M49&gt;1000,M49&lt;=2000),M49*0.6%,IF(AND(M49&gt;500,M49&lt;=1000),M49*0.7%,IF(AND(M49&gt;200,M49&lt;=500),M49*0.8%,IF(AND(M49&gt;100,M49&lt;=200),M49*0.9%,IF(AND(M49&gt;50,M49&lt;=100),M49*1%,IF(AND(M49&gt;20,M49&lt;=50),M49*1.5%,IF(AND(M49&gt;10,M49&lt;=20),M49*2%,IF(AND(M49&gt;1,M49&lt;=10),M49*2.5%)))))))))</f>
        <v>37.520000000000003</v>
      </c>
      <c r="M64" s="24">
        <f t="shared" ref="M64:M65" ca="1" si="1">ROUND(L64,1)</f>
        <v>37.5</v>
      </c>
      <c r="N64" s="138" t="s">
        <v>2158</v>
      </c>
      <c r="Z64" s="2306"/>
      <c r="AI64" s="2307"/>
    </row>
    <row r="65" spans="1:35" ht="14.25" hidden="1" customHeight="1">
      <c r="A65" s="197" t="s">
        <v>771</v>
      </c>
      <c r="B65" s="198" t="s">
        <v>2159</v>
      </c>
      <c r="C65" s="202"/>
      <c r="D65" s="200"/>
      <c r="E65" s="201"/>
      <c r="F65" s="2372"/>
      <c r="G65" s="2372"/>
      <c r="H65" s="2380"/>
      <c r="I65" s="138"/>
      <c r="J65" s="3232"/>
      <c r="K65" s="2982" t="s">
        <v>2160</v>
      </c>
      <c r="L65" s="1735">
        <f ca="1">IF(M49&gt;1000,M49*0.1%,IF(AND(M49&gt;500,M49&lt;=1000),M49*0.5%,IF(AND(M49&gt;50,M49&lt;=500),M49*1%,IF(AND(M49&gt;1,M49&lt;=50),M49*1.5%))))</f>
        <v>7.5040000000000004</v>
      </c>
      <c r="M65" s="24">
        <f t="shared" ca="1" si="1"/>
        <v>7.5</v>
      </c>
      <c r="N65" s="138" t="s">
        <v>2158</v>
      </c>
      <c r="Z65" s="2306"/>
      <c r="AI65" s="2307"/>
    </row>
    <row r="66" spans="1:35" ht="14.25" hidden="1" customHeight="1">
      <c r="A66" s="203" t="s">
        <v>772</v>
      </c>
      <c r="B66" s="204" t="s">
        <v>2161</v>
      </c>
      <c r="C66" s="205"/>
      <c r="D66" s="206" t="s">
        <v>32</v>
      </c>
      <c r="E66" s="1759" t="s">
        <v>1370</v>
      </c>
      <c r="F66" s="2372"/>
      <c r="G66" s="2372"/>
      <c r="H66" s="2380"/>
      <c r="I66" s="138"/>
      <c r="J66" s="3232"/>
      <c r="K66" s="2982" t="s">
        <v>2162</v>
      </c>
      <c r="L66" s="1735">
        <f ca="1">M49*0.5%</f>
        <v>37.520000000000003</v>
      </c>
      <c r="M66" s="24">
        <f ca="1">IF(L66&gt;0.5,0.5,ROUND(L66,0))</f>
        <v>0.5</v>
      </c>
      <c r="N66" s="138" t="s">
        <v>2163</v>
      </c>
      <c r="Z66" s="2306"/>
      <c r="AI66" s="2307"/>
    </row>
    <row r="67" spans="1:35" ht="14.25" hidden="1" customHeight="1">
      <c r="A67" s="203" t="s">
        <v>773</v>
      </c>
      <c r="B67" s="204" t="s">
        <v>2164</v>
      </c>
      <c r="C67" s="207">
        <f ca="1">C63-C66</f>
        <v>7147</v>
      </c>
      <c r="D67" s="200" t="s">
        <v>32</v>
      </c>
      <c r="E67" s="201"/>
      <c r="F67" s="2372"/>
      <c r="G67" s="2372"/>
      <c r="H67" s="2380"/>
      <c r="I67" s="138"/>
      <c r="J67" s="3232"/>
      <c r="K67" s="2982" t="s">
        <v>2165</v>
      </c>
      <c r="L67" s="1735">
        <f ca="1">IF(M49&gt;=10000,(8.25+(M49-10000)*0.01%),IF(AND(M49&gt;=8000,M49&lt;10000),(7.85+(M49-8000)*0.02%),IF(AND(M49&gt;=5000,M49&lt;8000),(6.65+(M49-5000)*0.04%),IF(AND(M49&gt;=2000,M49&lt;5000),(4.25+(PM49-2000)*0.08%),IF(AND(M49&gt;=1000,M49&lt;2000),(2.75+(M49-1000)*0.15%),IF(AND(M49&gt;=100,M49&lt;1000),(0.5+(M49-100)*0.25%),IF(AND(M49&gt;0,M49&lt;100),M49*0.5%)))))))</f>
        <v>7.6516000000000002</v>
      </c>
      <c r="M67" s="24">
        <f ca="1">ROUND(L67*0.9,1)</f>
        <v>6.9</v>
      </c>
      <c r="Z67" s="2306"/>
      <c r="AI67" s="2307"/>
    </row>
    <row r="68" spans="1:35" ht="14.25" hidden="1" customHeight="1" thickBot="1">
      <c r="A68" s="208" t="s">
        <v>774</v>
      </c>
      <c r="B68" s="209" t="s">
        <v>2166</v>
      </c>
      <c r="C68" s="210">
        <f ca="1">IF(C67&lt;=0,0,ROUND(C67*D68,0))</f>
        <v>400</v>
      </c>
      <c r="D68" s="211">
        <f>'数据-取费表'!B41</f>
        <v>5.6000000000000001E-2</v>
      </c>
      <c r="E68" s="212"/>
      <c r="F68" s="2372"/>
      <c r="G68" s="2372"/>
      <c r="H68" s="2380"/>
      <c r="I68" s="138"/>
      <c r="J68" s="3232"/>
      <c r="K68" s="2982" t="s">
        <v>2167</v>
      </c>
      <c r="L68" s="1735">
        <f ca="1">IF(M49&gt;10000,M49*0.5%,IF(AND(M49&gt;5000,M49&lt;=10000),M49*1%,IF(AND(M49&gt;1000,M49&lt;=5000),M49*2%,IF(AND(M49&gt;200,M49&lt;=1000),M49*3%,M49*5%))))</f>
        <v>75.040000000000006</v>
      </c>
      <c r="M68" s="24">
        <f ca="1">ROUND(L68,1)</f>
        <v>75</v>
      </c>
      <c r="Z68" s="2306"/>
      <c r="AI68" s="2307"/>
    </row>
    <row r="69" spans="1:35" s="2329" customFormat="1" ht="16.5" hidden="1" customHeight="1">
      <c r="A69" s="2383"/>
      <c r="B69" s="2384"/>
      <c r="C69" s="2385"/>
      <c r="D69" s="2386"/>
      <c r="E69" s="2387"/>
      <c r="F69" s="2049"/>
      <c r="G69" s="2049"/>
      <c r="H69" s="2048"/>
      <c r="I69" s="2301"/>
      <c r="J69" s="3232"/>
      <c r="K69" s="2982" t="s">
        <v>2168</v>
      </c>
      <c r="L69" s="2388"/>
      <c r="M69" s="24">
        <f ca="1">ROUND(SUM(M63:M68),0)</f>
        <v>202</v>
      </c>
      <c r="N69" s="1736">
        <f ca="1">M69/M49</f>
        <v>2.6918976545842216E-2</v>
      </c>
      <c r="O69" s="794"/>
      <c r="P69" s="794"/>
      <c r="Q69" s="794"/>
      <c r="R69" s="794"/>
      <c r="S69" s="794"/>
      <c r="T69" s="794"/>
      <c r="U69" s="794"/>
      <c r="V69" s="794"/>
      <c r="W69" s="794"/>
      <c r="X69" s="794"/>
      <c r="Y69" s="794"/>
      <c r="Z69" s="2306"/>
      <c r="AA69" s="2306"/>
      <c r="AB69" s="2306"/>
      <c r="AC69" s="2306"/>
      <c r="AD69" s="2306"/>
      <c r="AE69" s="2306"/>
      <c r="AF69" s="2306"/>
      <c r="AG69" s="2306"/>
      <c r="AH69" s="2306"/>
    </row>
    <row r="70" spans="1:35" s="2390" customFormat="1" ht="14.25" hidden="1">
      <c r="A70" s="3191" t="s">
        <v>2169</v>
      </c>
      <c r="B70" s="3192"/>
      <c r="C70" s="3192"/>
      <c r="D70" s="3192"/>
      <c r="E70" s="3192"/>
      <c r="F70" s="3192"/>
      <c r="G70" s="3192"/>
      <c r="H70" s="3192"/>
      <c r="I70" s="2389"/>
      <c r="N70" s="2391"/>
      <c r="O70" s="2391"/>
      <c r="P70" s="2391"/>
      <c r="Q70" s="2391"/>
      <c r="R70" s="2391"/>
      <c r="S70" s="2391"/>
      <c r="T70" s="2391"/>
      <c r="U70" s="2391"/>
      <c r="V70" s="2391"/>
      <c r="W70" s="2391"/>
      <c r="X70" s="2391"/>
      <c r="Y70" s="2391"/>
      <c r="Z70" s="2391"/>
      <c r="AA70" s="2392"/>
      <c r="AB70" s="2392"/>
      <c r="AC70" s="2392"/>
      <c r="AD70" s="2392"/>
      <c r="AE70" s="2392"/>
      <c r="AF70" s="2392"/>
      <c r="AG70" s="2392"/>
      <c r="AH70" s="2392"/>
      <c r="AI70" s="2392"/>
    </row>
    <row r="71" spans="1:35" s="2390" customFormat="1" ht="14.25" hidden="1">
      <c r="A71" s="3170" t="s">
        <v>2150</v>
      </c>
      <c r="B71" s="3171"/>
      <c r="C71" s="2976"/>
      <c r="D71" s="2976" t="s">
        <v>2151</v>
      </c>
      <c r="E71" s="213" t="s">
        <v>2152</v>
      </c>
      <c r="F71" s="214"/>
      <c r="G71" s="214"/>
      <c r="H71" s="215"/>
      <c r="I71" s="2393"/>
      <c r="N71" s="2391"/>
      <c r="O71" s="2391"/>
      <c r="P71" s="2391"/>
      <c r="Q71" s="2391"/>
      <c r="R71" s="2391"/>
      <c r="S71" s="2391"/>
      <c r="T71" s="2391"/>
      <c r="U71" s="2391"/>
      <c r="V71" s="2391"/>
      <c r="W71" s="2391"/>
      <c r="X71" s="2391"/>
      <c r="Y71" s="2391"/>
      <c r="Z71" s="2391"/>
      <c r="AA71" s="2392"/>
      <c r="AB71" s="2392"/>
      <c r="AC71" s="2392"/>
      <c r="AD71" s="2392"/>
      <c r="AE71" s="2392"/>
      <c r="AF71" s="2392"/>
      <c r="AG71" s="2392"/>
      <c r="AH71" s="2392"/>
      <c r="AI71" s="2392"/>
    </row>
    <row r="72" spans="1:35" s="2390" customFormat="1" ht="14.25" hidden="1">
      <c r="A72" s="203" t="s">
        <v>775</v>
      </c>
      <c r="B72" s="204" t="s">
        <v>2170</v>
      </c>
      <c r="C72" s="207">
        <f ca="1">ROUND(D45/(1+'数据-取费表'!C42),0)</f>
        <v>7147</v>
      </c>
      <c r="D72" s="200" t="s">
        <v>32</v>
      </c>
      <c r="E72" s="2975"/>
      <c r="F72" s="2969"/>
      <c r="G72" s="2969"/>
      <c r="H72" s="216"/>
      <c r="I72" s="2393"/>
      <c r="N72" s="2391"/>
      <c r="O72" s="2391"/>
      <c r="P72" s="2391"/>
      <c r="Q72" s="2391"/>
      <c r="R72" s="2391"/>
      <c r="S72" s="2391"/>
      <c r="T72" s="2391"/>
      <c r="U72" s="2391"/>
      <c r="V72" s="2391"/>
      <c r="W72" s="2391"/>
      <c r="X72" s="2391"/>
      <c r="Y72" s="2391"/>
      <c r="Z72" s="2391"/>
      <c r="AA72" s="2392"/>
      <c r="AB72" s="2392"/>
      <c r="AC72" s="2392"/>
      <c r="AD72" s="2392"/>
      <c r="AE72" s="2392"/>
      <c r="AF72" s="2392"/>
      <c r="AG72" s="2392"/>
      <c r="AH72" s="2392"/>
      <c r="AI72" s="2392"/>
    </row>
    <row r="73" spans="1:35" s="2390" customFormat="1" ht="14.25" hidden="1">
      <c r="A73" s="203" t="s">
        <v>772</v>
      </c>
      <c r="B73" s="173" t="s">
        <v>2171</v>
      </c>
      <c r="C73" s="207">
        <f ca="1">C74+C78</f>
        <v>43</v>
      </c>
      <c r="D73" s="200" t="s">
        <v>32</v>
      </c>
      <c r="E73" s="2975"/>
      <c r="F73" s="2969"/>
      <c r="G73" s="2969"/>
      <c r="H73" s="216"/>
      <c r="I73" s="2393"/>
      <c r="J73" s="2391"/>
      <c r="K73" s="2391"/>
      <c r="L73" s="2391"/>
      <c r="M73" s="2391"/>
      <c r="N73" s="2391"/>
      <c r="O73" s="2391"/>
      <c r="P73" s="2391"/>
      <c r="Q73" s="2391"/>
      <c r="R73" s="2391"/>
      <c r="S73" s="2391"/>
      <c r="T73" s="2391"/>
      <c r="U73" s="2391"/>
      <c r="V73" s="2391"/>
      <c r="W73" s="2391"/>
      <c r="X73" s="2391"/>
      <c r="Y73" s="2391"/>
      <c r="Z73" s="2391"/>
      <c r="AA73" s="2392"/>
      <c r="AB73" s="2392"/>
      <c r="AC73" s="2392"/>
      <c r="AD73" s="2392"/>
      <c r="AE73" s="2392"/>
      <c r="AF73" s="2392"/>
      <c r="AG73" s="2392"/>
      <c r="AH73" s="2392"/>
      <c r="AI73" s="2392"/>
    </row>
    <row r="74" spans="1:35" s="2390" customFormat="1" ht="24" hidden="1">
      <c r="A74" s="217" t="s">
        <v>770</v>
      </c>
      <c r="B74" s="198" t="s">
        <v>2172</v>
      </c>
      <c r="C74" s="200">
        <f>ROUND(IF(G77="2016年5月1日后购买",C75/(1+'数据-取费表'!C42)+C76+C77,C75+C76+C77),0)</f>
        <v>0</v>
      </c>
      <c r="D74" s="200" t="s">
        <v>32</v>
      </c>
      <c r="E74" s="2975"/>
      <c r="F74" s="2969"/>
      <c r="G74" s="2969"/>
      <c r="H74" s="216"/>
      <c r="I74" s="2393"/>
      <c r="J74" s="2391"/>
      <c r="K74" s="2391"/>
      <c r="L74" s="2391"/>
      <c r="M74" s="2391"/>
      <c r="N74" s="2391"/>
      <c r="O74" s="2391"/>
      <c r="P74" s="2391"/>
      <c r="Q74" s="2391"/>
      <c r="R74" s="2391"/>
      <c r="S74" s="2391"/>
      <c r="T74" s="2391"/>
      <c r="U74" s="2391"/>
      <c r="V74" s="2391"/>
      <c r="W74" s="2391"/>
      <c r="X74" s="2391"/>
      <c r="Y74" s="2391"/>
      <c r="Z74" s="2391"/>
      <c r="AA74" s="2392"/>
      <c r="AB74" s="2392"/>
      <c r="AC74" s="2392"/>
      <c r="AD74" s="2392"/>
      <c r="AE74" s="2392"/>
      <c r="AF74" s="2392"/>
      <c r="AG74" s="2392"/>
      <c r="AH74" s="2392"/>
      <c r="AI74" s="2392"/>
    </row>
    <row r="75" spans="1:35" s="2390" customFormat="1" ht="14.25" hidden="1">
      <c r="A75" s="217" t="s">
        <v>776</v>
      </c>
      <c r="B75" s="198" t="s">
        <v>2173</v>
      </c>
      <c r="C75" s="218"/>
      <c r="D75" s="200" t="s">
        <v>32</v>
      </c>
      <c r="E75" s="219" t="s">
        <v>2174</v>
      </c>
      <c r="F75" s="2394" t="s">
        <v>2175</v>
      </c>
      <c r="G75" s="219" t="s">
        <v>2176</v>
      </c>
      <c r="H75" s="220"/>
      <c r="I75" s="2395"/>
      <c r="J75" s="2391"/>
      <c r="K75" s="2391"/>
      <c r="L75" s="2391"/>
      <c r="M75" s="2391"/>
      <c r="N75" s="2391"/>
      <c r="O75" s="2391"/>
      <c r="P75" s="2391"/>
      <c r="Q75" s="2391"/>
      <c r="R75" s="2391"/>
      <c r="S75" s="2391"/>
      <c r="T75" s="2391"/>
      <c r="U75" s="2391"/>
      <c r="V75" s="2391"/>
      <c r="W75" s="2391"/>
      <c r="X75" s="2391"/>
      <c r="Y75" s="2391"/>
      <c r="Z75" s="2391"/>
      <c r="AA75" s="2392"/>
      <c r="AB75" s="2392"/>
      <c r="AC75" s="2392"/>
      <c r="AD75" s="2392"/>
      <c r="AE75" s="2392"/>
      <c r="AF75" s="2392"/>
      <c r="AG75" s="2392"/>
      <c r="AH75" s="2392"/>
      <c r="AI75" s="2392"/>
    </row>
    <row r="76" spans="1:35" s="2390" customFormat="1" ht="24.75" hidden="1" customHeight="1">
      <c r="A76" s="217" t="s">
        <v>777</v>
      </c>
      <c r="B76" s="221" t="s">
        <v>2177</v>
      </c>
      <c r="C76" s="200">
        <f>IF(F75="购房发票",ROUND(C75*H75*D76,0),0)</f>
        <v>0</v>
      </c>
      <c r="D76" s="222">
        <v>0.05</v>
      </c>
      <c r="E76" s="3165" t="s">
        <v>2178</v>
      </c>
      <c r="F76" s="3141"/>
      <c r="G76" s="3141"/>
      <c r="H76" s="3190"/>
      <c r="I76" s="2393"/>
      <c r="J76" s="2391"/>
      <c r="K76" s="2391"/>
      <c r="L76" s="2391"/>
      <c r="M76" s="2391"/>
      <c r="N76" s="2391"/>
      <c r="O76" s="2391"/>
      <c r="P76" s="2391"/>
      <c r="Q76" s="2391"/>
      <c r="R76" s="2391"/>
      <c r="S76" s="2391"/>
      <c r="T76" s="2391"/>
      <c r="U76" s="2391"/>
      <c r="V76" s="2391"/>
      <c r="W76" s="2391"/>
      <c r="X76" s="2391"/>
      <c r="Y76" s="2391"/>
      <c r="Z76" s="2391"/>
      <c r="AA76" s="2392"/>
      <c r="AB76" s="2392"/>
      <c r="AC76" s="2392"/>
      <c r="AD76" s="2392"/>
      <c r="AE76" s="2392"/>
      <c r="AF76" s="2392"/>
      <c r="AG76" s="2392"/>
      <c r="AH76" s="2392"/>
      <c r="AI76" s="2392"/>
    </row>
    <row r="77" spans="1:35" s="2390" customFormat="1" ht="24.75" hidden="1" customHeight="1">
      <c r="A77" s="217" t="s">
        <v>778</v>
      </c>
      <c r="B77" s="198" t="s">
        <v>2179</v>
      </c>
      <c r="C77" s="200">
        <f>ROUND(IF(G77="个人住宅",0,IF(G77="2016年5月1日前购买",C75*D77,C75*D77/(1+'数据-取费表'!C42))),0)</f>
        <v>0</v>
      </c>
      <c r="D77" s="223">
        <f>'数据-取费表'!B48+'数据-取费表'!B49</f>
        <v>3.0499999999999999E-2</v>
      </c>
      <c r="E77" s="2983" t="s">
        <v>2180</v>
      </c>
      <c r="F77" s="224"/>
      <c r="G77" s="2396" t="s">
        <v>2181</v>
      </c>
      <c r="H77" s="2977" t="str">
        <f>IF(G77="个人买卖住房","免征印花税"," ")</f>
        <v xml:space="preserve"> </v>
      </c>
      <c r="I77" s="2393"/>
      <c r="J77" s="2391"/>
      <c r="K77" s="2391"/>
      <c r="L77" s="2391"/>
      <c r="M77" s="2391"/>
      <c r="N77" s="2391"/>
      <c r="O77" s="2391"/>
      <c r="P77" s="2391"/>
      <c r="Q77" s="2391"/>
      <c r="R77" s="2391"/>
      <c r="S77" s="2391"/>
      <c r="T77" s="2391"/>
      <c r="U77" s="2391"/>
      <c r="V77" s="2391"/>
      <c r="W77" s="2391"/>
      <c r="X77" s="2391"/>
      <c r="Y77" s="2391"/>
      <c r="Z77" s="2391"/>
      <c r="AA77" s="2392"/>
      <c r="AB77" s="2392"/>
      <c r="AC77" s="2392"/>
      <c r="AD77" s="2392"/>
      <c r="AE77" s="2392"/>
      <c r="AF77" s="2392"/>
      <c r="AG77" s="2392"/>
      <c r="AH77" s="2392"/>
      <c r="AI77" s="2392"/>
    </row>
    <row r="78" spans="1:35" s="2390" customFormat="1" ht="24.75" hidden="1" customHeight="1">
      <c r="A78" s="217" t="s">
        <v>771</v>
      </c>
      <c r="B78" s="198" t="s">
        <v>2182</v>
      </c>
      <c r="C78" s="225">
        <f ca="1">ROUND(D45*D78/(1+'数据-取费表'!C42),0)</f>
        <v>43</v>
      </c>
      <c r="D78" s="226">
        <f>'数据-取费表'!B43</f>
        <v>6.000000000000001E-3</v>
      </c>
      <c r="E78" s="3151" t="s">
        <v>2183</v>
      </c>
      <c r="F78" s="3152"/>
      <c r="G78" s="3152"/>
      <c r="H78" s="3161"/>
      <c r="I78" s="2397"/>
      <c r="J78" s="2391"/>
      <c r="K78" s="2391"/>
      <c r="L78" s="2391"/>
      <c r="M78" s="2391"/>
      <c r="N78" s="2391"/>
      <c r="O78" s="2391"/>
      <c r="P78" s="2391"/>
      <c r="Q78" s="2391"/>
      <c r="R78" s="2391"/>
      <c r="S78" s="2391"/>
      <c r="T78" s="2391"/>
      <c r="U78" s="2391"/>
      <c r="V78" s="2391"/>
      <c r="W78" s="2391"/>
      <c r="X78" s="2391"/>
      <c r="Y78" s="2391"/>
      <c r="Z78" s="2391"/>
      <c r="AA78" s="2392"/>
      <c r="AB78" s="2392"/>
      <c r="AC78" s="2392"/>
      <c r="AD78" s="2392"/>
      <c r="AE78" s="2392"/>
      <c r="AF78" s="2392"/>
      <c r="AG78" s="2392"/>
      <c r="AH78" s="2392"/>
      <c r="AI78" s="2392"/>
    </row>
    <row r="79" spans="1:35" s="2390" customFormat="1" ht="14.25" hidden="1">
      <c r="A79" s="2398" t="s">
        <v>779</v>
      </c>
      <c r="B79" s="204" t="s">
        <v>2184</v>
      </c>
      <c r="C79" s="207">
        <f ca="1">C72-C73</f>
        <v>7104</v>
      </c>
      <c r="D79" s="200" t="s">
        <v>32</v>
      </c>
      <c r="E79" s="2975"/>
      <c r="F79" s="2969"/>
      <c r="G79" s="2969"/>
      <c r="H79" s="216"/>
      <c r="I79" s="2393"/>
      <c r="J79" s="2391"/>
      <c r="K79" s="2391"/>
      <c r="L79" s="2391"/>
      <c r="M79" s="2391"/>
      <c r="N79" s="2391"/>
      <c r="O79" s="2391"/>
      <c r="P79" s="2391"/>
      <c r="Q79" s="2391"/>
      <c r="R79" s="2391"/>
      <c r="S79" s="2391"/>
      <c r="T79" s="2391"/>
      <c r="U79" s="2391"/>
      <c r="V79" s="2391"/>
      <c r="W79" s="2391"/>
      <c r="X79" s="2391"/>
      <c r="Y79" s="2391"/>
      <c r="Z79" s="2391"/>
      <c r="AA79" s="2392"/>
      <c r="AB79" s="2392"/>
      <c r="AC79" s="2392"/>
      <c r="AD79" s="2392"/>
      <c r="AE79" s="2392"/>
      <c r="AF79" s="2392"/>
      <c r="AG79" s="2392"/>
      <c r="AH79" s="2392"/>
      <c r="AI79" s="2392"/>
    </row>
    <row r="80" spans="1:35" s="2390" customFormat="1" ht="24" hidden="1">
      <c r="A80" s="2398" t="s">
        <v>780</v>
      </c>
      <c r="B80" s="204" t="s">
        <v>2185</v>
      </c>
      <c r="C80" s="227">
        <f ca="1">IF(C79&lt;=0,0,C79/C73)</f>
        <v>165.2093023255814</v>
      </c>
      <c r="D80" s="200" t="s">
        <v>32</v>
      </c>
      <c r="E80" s="2983"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393"/>
      <c r="J80" s="2391"/>
      <c r="K80" s="2391"/>
      <c r="L80" s="2391"/>
      <c r="M80" s="2391"/>
      <c r="N80" s="2391"/>
      <c r="O80" s="2391"/>
      <c r="P80" s="2391"/>
      <c r="Q80" s="2391"/>
      <c r="R80" s="2391"/>
      <c r="S80" s="2391"/>
      <c r="T80" s="2391"/>
      <c r="U80" s="2391"/>
      <c r="V80" s="2391"/>
      <c r="W80" s="2391"/>
      <c r="X80" s="2391"/>
      <c r="Y80" s="2391"/>
      <c r="Z80" s="2391"/>
      <c r="AA80" s="2392"/>
      <c r="AB80" s="2392"/>
      <c r="AC80" s="2392"/>
      <c r="AD80" s="2392"/>
      <c r="AE80" s="2392"/>
      <c r="AF80" s="2392"/>
      <c r="AG80" s="2392"/>
      <c r="AH80" s="2392"/>
      <c r="AI80" s="2392"/>
    </row>
    <row r="81" spans="1:35" s="2390" customFormat="1" ht="24.75" hidden="1" thickBot="1">
      <c r="A81" s="2399" t="s">
        <v>781</v>
      </c>
      <c r="B81" s="209" t="s">
        <v>2186</v>
      </c>
      <c r="C81" s="228">
        <f ca="1">ROUND(IF(C79&lt;=0,0,IF(C80&gt;=200%,C79*60%-C73*35%,IF(C80&gt;=100%,C79*50%-C73*15%,IF(C80&gt;=50%,C79*40%-C73*5%,IF(C80&lt;50%,C79*30%,0))))),0)</f>
        <v>4247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93"/>
      <c r="J81" s="2391"/>
      <c r="K81" s="2391"/>
      <c r="L81" s="2391"/>
      <c r="M81" s="2391"/>
      <c r="N81" s="2391"/>
      <c r="O81" s="2391"/>
      <c r="P81" s="2391"/>
      <c r="Q81" s="2391"/>
      <c r="R81" s="2391"/>
      <c r="S81" s="2391"/>
      <c r="T81" s="2391"/>
      <c r="U81" s="2391"/>
      <c r="V81" s="2391"/>
      <c r="W81" s="2391"/>
      <c r="X81" s="2391"/>
      <c r="Y81" s="2391"/>
      <c r="Z81" s="2391"/>
      <c r="AA81" s="2392"/>
      <c r="AB81" s="2392"/>
      <c r="AC81" s="2392"/>
      <c r="AD81" s="2392"/>
      <c r="AE81" s="2392"/>
      <c r="AF81" s="2392"/>
      <c r="AG81" s="2392"/>
      <c r="AH81" s="2392"/>
      <c r="AI81" s="2392"/>
    </row>
    <row r="82" spans="1:35" s="2390" customFormat="1" ht="7.5" hidden="1" customHeight="1">
      <c r="A82" s="732"/>
      <c r="B82" s="733"/>
      <c r="C82" s="7"/>
      <c r="D82" s="7"/>
      <c r="E82" s="733"/>
      <c r="F82" s="733"/>
      <c r="G82" s="733"/>
      <c r="H82" s="734"/>
      <c r="I82" s="2397"/>
      <c r="J82" s="2391"/>
      <c r="K82" s="2391"/>
      <c r="L82" s="2391"/>
      <c r="M82" s="2391"/>
      <c r="N82" s="2391"/>
      <c r="O82" s="2391"/>
      <c r="P82" s="2391"/>
      <c r="Q82" s="2391"/>
      <c r="R82" s="2391"/>
      <c r="S82" s="2391"/>
      <c r="T82" s="2391"/>
      <c r="U82" s="2391"/>
      <c r="V82" s="2391"/>
      <c r="W82" s="2391"/>
      <c r="X82" s="2391"/>
      <c r="Y82" s="2391"/>
      <c r="Z82" s="2391"/>
      <c r="AA82" s="2392"/>
      <c r="AB82" s="2392"/>
      <c r="AC82" s="2392"/>
      <c r="AD82" s="2392"/>
      <c r="AE82" s="2392"/>
      <c r="AF82" s="2392"/>
      <c r="AG82" s="2392"/>
      <c r="AH82" s="2392"/>
      <c r="AI82" s="2392"/>
    </row>
    <row r="83" spans="1:35" s="2390" customFormat="1" ht="14.25" hidden="1">
      <c r="A83" s="3191" t="s">
        <v>2187</v>
      </c>
      <c r="B83" s="3192"/>
      <c r="C83" s="3192"/>
      <c r="D83" s="3192"/>
      <c r="E83" s="3192"/>
      <c r="F83" s="3192"/>
      <c r="G83" s="3192"/>
      <c r="H83" s="3192"/>
      <c r="I83" s="2395"/>
      <c r="J83" s="2391"/>
      <c r="K83" s="2391"/>
      <c r="L83" s="2391"/>
      <c r="M83" s="2391"/>
      <c r="N83" s="2391"/>
      <c r="O83" s="2391"/>
      <c r="P83" s="2391"/>
      <c r="Q83" s="2391"/>
      <c r="R83" s="2391"/>
      <c r="S83" s="2391"/>
      <c r="T83" s="2391"/>
      <c r="U83" s="2391"/>
      <c r="V83" s="2391"/>
      <c r="W83" s="2391"/>
      <c r="X83" s="2391"/>
      <c r="Y83" s="2391"/>
      <c r="Z83" s="2391"/>
      <c r="AA83" s="2392"/>
      <c r="AB83" s="2392"/>
      <c r="AC83" s="2392"/>
      <c r="AD83" s="2392"/>
      <c r="AE83" s="2392"/>
      <c r="AF83" s="2392"/>
      <c r="AG83" s="2392"/>
      <c r="AH83" s="2392"/>
      <c r="AI83" s="2392"/>
    </row>
    <row r="84" spans="1:35" s="2390" customFormat="1" ht="14.25" hidden="1">
      <c r="A84" s="3170" t="s">
        <v>2150</v>
      </c>
      <c r="B84" s="3171"/>
      <c r="C84" s="2976"/>
      <c r="D84" s="2976" t="s">
        <v>2151</v>
      </c>
      <c r="E84" s="213" t="s">
        <v>2152</v>
      </c>
      <c r="F84" s="214"/>
      <c r="G84" s="214"/>
      <c r="H84" s="233"/>
      <c r="I84" s="2395"/>
      <c r="J84" s="2391"/>
      <c r="K84" s="2391"/>
      <c r="L84" s="2391"/>
      <c r="M84" s="2391"/>
      <c r="N84" s="2391"/>
      <c r="O84" s="2391"/>
      <c r="P84" s="2391"/>
      <c r="Q84" s="2391"/>
      <c r="R84" s="2391"/>
      <c r="S84" s="2391"/>
      <c r="T84" s="2391"/>
      <c r="U84" s="2391"/>
      <c r="V84" s="2391"/>
      <c r="W84" s="2391"/>
      <c r="X84" s="2391"/>
      <c r="Y84" s="2391"/>
      <c r="Z84" s="2391"/>
      <c r="AA84" s="2392"/>
      <c r="AB84" s="2392"/>
      <c r="AC84" s="2392"/>
      <c r="AD84" s="2392"/>
      <c r="AE84" s="2392"/>
      <c r="AF84" s="2392"/>
      <c r="AG84" s="2392"/>
      <c r="AH84" s="2392"/>
      <c r="AI84" s="2392"/>
    </row>
    <row r="85" spans="1:35" s="2390" customFormat="1" ht="14.25" hidden="1">
      <c r="A85" s="203" t="s">
        <v>775</v>
      </c>
      <c r="B85" s="204" t="s">
        <v>2170</v>
      </c>
      <c r="C85" s="207">
        <f ca="1">ROUND(D45/(1+'数据-取费表'!C42),0)</f>
        <v>7147</v>
      </c>
      <c r="D85" s="200" t="s">
        <v>32</v>
      </c>
      <c r="E85" s="2975"/>
      <c r="F85" s="2969"/>
      <c r="G85" s="2969"/>
      <c r="H85" s="234"/>
      <c r="I85" s="2395"/>
      <c r="J85" s="2391"/>
      <c r="K85" s="2391"/>
      <c r="L85" s="2391"/>
      <c r="M85" s="2391"/>
      <c r="N85" s="2391"/>
      <c r="O85" s="2391"/>
      <c r="P85" s="2391"/>
      <c r="Q85" s="2391"/>
      <c r="R85" s="2391"/>
      <c r="S85" s="2391"/>
      <c r="T85" s="2391"/>
      <c r="U85" s="2391"/>
      <c r="V85" s="2391"/>
      <c r="W85" s="2391"/>
      <c r="X85" s="2391"/>
      <c r="Y85" s="2391"/>
      <c r="Z85" s="2391"/>
      <c r="AA85" s="2392"/>
      <c r="AB85" s="2392"/>
      <c r="AC85" s="2392"/>
      <c r="AD85" s="2392"/>
      <c r="AE85" s="2392"/>
      <c r="AF85" s="2392"/>
      <c r="AG85" s="2392"/>
      <c r="AH85" s="2392"/>
      <c r="AI85" s="2392"/>
    </row>
    <row r="86" spans="1:35" s="2390" customFormat="1" ht="14.25" hidden="1">
      <c r="A86" s="203" t="s">
        <v>772</v>
      </c>
      <c r="B86" s="173" t="s">
        <v>2171</v>
      </c>
      <c r="C86" s="207">
        <f ca="1">IF(H88="仅含出让金",C87+C90+C91+C92+C93+C94,C87+C91+C92+C93+C94)</f>
        <v>43</v>
      </c>
      <c r="D86" s="235"/>
      <c r="E86" s="2975"/>
      <c r="F86" s="2969"/>
      <c r="G86" s="2969"/>
      <c r="H86" s="234"/>
      <c r="I86" s="2395"/>
      <c r="J86" s="2391"/>
      <c r="K86" s="2391"/>
      <c r="L86" s="2391"/>
      <c r="M86" s="2391"/>
      <c r="N86" s="2391"/>
      <c r="O86" s="2391"/>
      <c r="P86" s="2391"/>
      <c r="Q86" s="2391"/>
      <c r="R86" s="2391"/>
      <c r="S86" s="2391"/>
      <c r="T86" s="2391"/>
      <c r="U86" s="2391"/>
      <c r="V86" s="2391"/>
      <c r="W86" s="2391"/>
      <c r="X86" s="2391"/>
      <c r="Y86" s="2391"/>
      <c r="Z86" s="2391"/>
      <c r="AA86" s="2392"/>
      <c r="AB86" s="2392"/>
      <c r="AC86" s="2392"/>
      <c r="AD86" s="2392"/>
      <c r="AE86" s="2392"/>
      <c r="AF86" s="2392"/>
      <c r="AG86" s="2392"/>
      <c r="AH86" s="2392"/>
      <c r="AI86" s="2392"/>
    </row>
    <row r="87" spans="1:35" s="2390" customFormat="1" ht="14.25" hidden="1">
      <c r="A87" s="217" t="s">
        <v>770</v>
      </c>
      <c r="B87" s="198" t="s">
        <v>2188</v>
      </c>
      <c r="C87" s="225">
        <f>C88+C89</f>
        <v>0</v>
      </c>
      <c r="D87" s="226"/>
      <c r="E87" s="2971"/>
      <c r="F87" s="2972"/>
      <c r="G87" s="2972"/>
      <c r="H87" s="2974"/>
      <c r="I87" s="2395"/>
      <c r="J87" s="2391"/>
      <c r="K87" s="2391"/>
      <c r="L87" s="2391"/>
      <c r="M87" s="2391"/>
      <c r="N87" s="2391"/>
      <c r="O87" s="2391"/>
      <c r="P87" s="2391"/>
      <c r="Q87" s="2391"/>
      <c r="R87" s="2391"/>
      <c r="S87" s="2391"/>
      <c r="T87" s="2391"/>
      <c r="U87" s="2391"/>
      <c r="V87" s="2391"/>
      <c r="W87" s="2391"/>
      <c r="X87" s="2391"/>
      <c r="Y87" s="2391"/>
      <c r="Z87" s="2391"/>
      <c r="AA87" s="2392"/>
      <c r="AB87" s="2392"/>
      <c r="AC87" s="2392"/>
      <c r="AD87" s="2392"/>
      <c r="AE87" s="2392"/>
      <c r="AF87" s="2392"/>
      <c r="AG87" s="2392"/>
      <c r="AH87" s="2392"/>
      <c r="AI87" s="2392"/>
    </row>
    <row r="88" spans="1:35" s="2390" customFormat="1" ht="14.25" hidden="1">
      <c r="A88" s="217" t="s">
        <v>776</v>
      </c>
      <c r="B88" s="198" t="s">
        <v>2189</v>
      </c>
      <c r="C88" s="236"/>
      <c r="D88" s="226"/>
      <c r="E88" s="237" t="s">
        <v>2190</v>
      </c>
      <c r="F88" s="2972"/>
      <c r="G88" s="238" t="s">
        <v>2191</v>
      </c>
      <c r="H88" s="2400"/>
      <c r="I88" s="2395"/>
      <c r="J88" s="2391"/>
      <c r="K88" s="2391"/>
      <c r="L88" s="2391"/>
      <c r="M88" s="2391"/>
      <c r="N88" s="2391"/>
      <c r="O88" s="2391"/>
      <c r="P88" s="2391"/>
      <c r="Q88" s="2391"/>
      <c r="R88" s="2391"/>
      <c r="S88" s="2391"/>
      <c r="T88" s="2391"/>
      <c r="U88" s="2391"/>
      <c r="V88" s="2391"/>
      <c r="W88" s="2391"/>
      <c r="X88" s="2391"/>
      <c r="Y88" s="2391"/>
      <c r="Z88" s="2391"/>
      <c r="AA88" s="2392"/>
      <c r="AB88" s="2392"/>
      <c r="AC88" s="2392"/>
      <c r="AD88" s="2392"/>
      <c r="AE88" s="2392"/>
      <c r="AF88" s="2392"/>
      <c r="AG88" s="2392"/>
      <c r="AH88" s="2392"/>
      <c r="AI88" s="2392"/>
    </row>
    <row r="89" spans="1:35" s="2390" customFormat="1" ht="14.25" hidden="1">
      <c r="A89" s="217" t="s">
        <v>777</v>
      </c>
      <c r="B89" s="198" t="s">
        <v>2179</v>
      </c>
      <c r="C89" s="225">
        <f>ROUND(C88*D89,0)</f>
        <v>0</v>
      </c>
      <c r="D89" s="226">
        <f>'数据-取费表'!B48+'数据-取费表'!B49</f>
        <v>3.0499999999999999E-2</v>
      </c>
      <c r="E89" s="237" t="s">
        <v>2192</v>
      </c>
      <c r="F89" s="2972"/>
      <c r="G89" s="2972"/>
      <c r="H89" s="2974"/>
      <c r="I89" s="2395"/>
      <c r="J89" s="2391"/>
      <c r="K89" s="2391"/>
      <c r="L89" s="2391"/>
      <c r="M89" s="2391"/>
      <c r="N89" s="2391"/>
      <c r="O89" s="2391"/>
      <c r="P89" s="2391"/>
      <c r="Q89" s="2391"/>
      <c r="R89" s="2391"/>
      <c r="S89" s="2391"/>
      <c r="T89" s="2391"/>
      <c r="U89" s="2391"/>
      <c r="V89" s="2391"/>
      <c r="W89" s="2391"/>
      <c r="X89" s="2391"/>
      <c r="Y89" s="2391"/>
      <c r="Z89" s="2391"/>
      <c r="AA89" s="2392"/>
      <c r="AB89" s="2392"/>
      <c r="AC89" s="2392"/>
      <c r="AD89" s="2392"/>
      <c r="AE89" s="2392"/>
      <c r="AF89" s="2392"/>
      <c r="AG89" s="2392"/>
      <c r="AH89" s="2392"/>
      <c r="AI89" s="2392"/>
    </row>
    <row r="90" spans="1:35" s="2390" customFormat="1" ht="14.25" hidden="1">
      <c r="A90" s="217" t="s">
        <v>771</v>
      </c>
      <c r="B90" s="198" t="s">
        <v>2193</v>
      </c>
      <c r="C90" s="236"/>
      <c r="D90" s="226"/>
      <c r="E90" s="237" t="str">
        <f>IF(H88="-","土地取得成本中已包含该笔费用"," ")</f>
        <v xml:space="preserve"> </v>
      </c>
      <c r="F90" s="2972"/>
      <c r="G90" s="2972"/>
      <c r="H90" s="2974"/>
      <c r="I90" s="2395"/>
      <c r="J90" s="2391"/>
      <c r="K90" s="2391"/>
      <c r="L90" s="2391"/>
      <c r="M90" s="2391"/>
      <c r="N90" s="2391"/>
      <c r="O90" s="2391"/>
      <c r="P90" s="2391"/>
      <c r="Q90" s="2391"/>
      <c r="R90" s="2391"/>
      <c r="S90" s="2391"/>
      <c r="T90" s="2391"/>
      <c r="U90" s="2391"/>
      <c r="V90" s="2391"/>
      <c r="W90" s="2391"/>
      <c r="X90" s="2391"/>
      <c r="Y90" s="2391"/>
      <c r="Z90" s="2391"/>
      <c r="AA90" s="2392"/>
      <c r="AB90" s="2392"/>
      <c r="AC90" s="2392"/>
      <c r="AD90" s="2392"/>
      <c r="AE90" s="2392"/>
      <c r="AF90" s="2392"/>
      <c r="AG90" s="2392"/>
      <c r="AH90" s="2392"/>
      <c r="AI90" s="2392"/>
    </row>
    <row r="91" spans="1:35" s="2390" customFormat="1" ht="27.75" hidden="1" customHeight="1">
      <c r="A91" s="217" t="s">
        <v>2194</v>
      </c>
      <c r="B91" s="198" t="s">
        <v>2195</v>
      </c>
      <c r="C91" s="225">
        <f>IF(H91="——",成本法!C33,I91)</f>
        <v>0</v>
      </c>
      <c r="D91" s="226"/>
      <c r="E91" s="3151" t="s">
        <v>2196</v>
      </c>
      <c r="F91" s="3152"/>
      <c r="G91" s="3152"/>
      <c r="H91" s="2401" t="s">
        <v>2197</v>
      </c>
      <c r="I91" s="2402"/>
      <c r="J91" s="2391"/>
      <c r="K91" s="2391"/>
      <c r="L91" s="2391"/>
      <c r="M91" s="2391"/>
      <c r="N91" s="2391"/>
      <c r="O91" s="2391"/>
      <c r="P91" s="2391"/>
      <c r="Q91" s="2391"/>
      <c r="R91" s="2391"/>
      <c r="S91" s="2391"/>
      <c r="T91" s="2391"/>
      <c r="U91" s="2391"/>
      <c r="V91" s="2391"/>
      <c r="W91" s="2391"/>
      <c r="X91" s="2391"/>
      <c r="Y91" s="2391"/>
      <c r="Z91" s="2391"/>
      <c r="AA91" s="2392"/>
      <c r="AB91" s="2392"/>
      <c r="AC91" s="2392"/>
      <c r="AD91" s="2392"/>
      <c r="AE91" s="2392"/>
      <c r="AF91" s="2392"/>
      <c r="AG91" s="2392"/>
      <c r="AH91" s="2392"/>
      <c r="AI91" s="2392"/>
    </row>
    <row r="92" spans="1:35" s="2390" customFormat="1" ht="25.5" hidden="1" customHeight="1">
      <c r="A92" s="217" t="s">
        <v>2198</v>
      </c>
      <c r="B92" s="198" t="s">
        <v>2199</v>
      </c>
      <c r="C92" s="225">
        <f>ROUND((C87+C90+C91)*D92,0)</f>
        <v>0</v>
      </c>
      <c r="D92" s="226">
        <v>0.1</v>
      </c>
      <c r="E92" s="3151" t="s">
        <v>2200</v>
      </c>
      <c r="F92" s="3152"/>
      <c r="G92" s="3152"/>
      <c r="H92" s="3161"/>
      <c r="I92" s="2395"/>
      <c r="J92" s="2391"/>
      <c r="K92" s="2391"/>
      <c r="L92" s="2391"/>
      <c r="M92" s="2391"/>
      <c r="N92" s="2391"/>
      <c r="O92" s="2391"/>
      <c r="P92" s="2391"/>
      <c r="Q92" s="2391"/>
      <c r="R92" s="2391"/>
      <c r="S92" s="2391"/>
      <c r="T92" s="2391"/>
      <c r="U92" s="2391"/>
      <c r="V92" s="2391"/>
      <c r="W92" s="2391"/>
      <c r="X92" s="2391"/>
      <c r="Y92" s="2391"/>
      <c r="Z92" s="2391"/>
      <c r="AA92" s="2392"/>
      <c r="AB92" s="2392"/>
      <c r="AC92" s="2392"/>
      <c r="AD92" s="2392"/>
      <c r="AE92" s="2392"/>
      <c r="AF92" s="2392"/>
      <c r="AG92" s="2392"/>
      <c r="AH92" s="2392"/>
      <c r="AI92" s="2392"/>
    </row>
    <row r="93" spans="1:35" s="2390" customFormat="1" ht="25.5" hidden="1" customHeight="1">
      <c r="A93" s="217" t="s">
        <v>2201</v>
      </c>
      <c r="B93" s="198" t="s">
        <v>2182</v>
      </c>
      <c r="C93" s="225">
        <f ca="1">ROUND(D45*D93/(1+'数据-取费表'!C42),0)</f>
        <v>43</v>
      </c>
      <c r="D93" s="226">
        <f>'数据-取费表'!B43</f>
        <v>6.000000000000001E-3</v>
      </c>
      <c r="E93" s="3151" t="s">
        <v>2183</v>
      </c>
      <c r="F93" s="3152"/>
      <c r="G93" s="3152"/>
      <c r="H93" s="3161"/>
      <c r="I93" s="2395"/>
      <c r="J93" s="2391"/>
      <c r="K93" s="2391"/>
      <c r="L93" s="2391"/>
      <c r="M93" s="2391"/>
      <c r="N93" s="2391"/>
      <c r="O93" s="2391"/>
      <c r="P93" s="2391"/>
      <c r="Q93" s="2391"/>
      <c r="R93" s="2391"/>
      <c r="S93" s="2391"/>
      <c r="T93" s="2391"/>
      <c r="U93" s="2391"/>
      <c r="V93" s="2391"/>
      <c r="W93" s="2391"/>
      <c r="X93" s="2391"/>
      <c r="Y93" s="2391"/>
      <c r="Z93" s="2391"/>
      <c r="AA93" s="2392"/>
      <c r="AB93" s="2392"/>
      <c r="AC93" s="2392"/>
      <c r="AD93" s="2392"/>
      <c r="AE93" s="2392"/>
      <c r="AF93" s="2392"/>
      <c r="AG93" s="2392"/>
      <c r="AH93" s="2392"/>
      <c r="AI93" s="2392"/>
    </row>
    <row r="94" spans="1:35" s="2390" customFormat="1" ht="36.75" hidden="1" customHeight="1">
      <c r="A94" s="217" t="s">
        <v>2202</v>
      </c>
      <c r="B94" s="198" t="s">
        <v>2203</v>
      </c>
      <c r="C94" s="236">
        <f>ROUND((C87+C90+C91)*D94,0)</f>
        <v>0</v>
      </c>
      <c r="D94" s="226">
        <v>0.2</v>
      </c>
      <c r="E94" s="3162" t="s">
        <v>2204</v>
      </c>
      <c r="F94" s="3163"/>
      <c r="G94" s="3163"/>
      <c r="H94" s="3164"/>
      <c r="I94" s="2395"/>
      <c r="J94" s="2391"/>
      <c r="K94" s="2391"/>
      <c r="L94" s="2391"/>
      <c r="M94" s="2391"/>
      <c r="N94" s="2391"/>
      <c r="O94" s="2391"/>
      <c r="P94" s="2391"/>
      <c r="Q94" s="2391"/>
      <c r="R94" s="2391"/>
      <c r="S94" s="2391"/>
      <c r="T94" s="2391"/>
      <c r="U94" s="2391"/>
      <c r="V94" s="2391"/>
      <c r="W94" s="2391"/>
      <c r="X94" s="2391"/>
      <c r="Y94" s="2391"/>
      <c r="Z94" s="2391"/>
      <c r="AA94" s="2392"/>
      <c r="AB94" s="2392"/>
      <c r="AC94" s="2392"/>
      <c r="AD94" s="2392"/>
      <c r="AE94" s="2392"/>
      <c r="AF94" s="2392"/>
      <c r="AG94" s="2392"/>
      <c r="AH94" s="2392"/>
      <c r="AI94" s="2392"/>
    </row>
    <row r="95" spans="1:35" s="2390" customFormat="1" ht="14.25" hidden="1">
      <c r="A95" s="2398" t="s">
        <v>779</v>
      </c>
      <c r="B95" s="204" t="s">
        <v>2184</v>
      </c>
      <c r="C95" s="207">
        <f ca="1">ROUND(C85-C86,0)</f>
        <v>7104</v>
      </c>
      <c r="D95" s="200" t="s">
        <v>32</v>
      </c>
      <c r="E95" s="2975"/>
      <c r="F95" s="2969"/>
      <c r="G95" s="2969"/>
      <c r="H95" s="234"/>
      <c r="I95" s="2395"/>
      <c r="J95" s="2391"/>
      <c r="K95" s="2391"/>
      <c r="L95" s="2391"/>
      <c r="M95" s="2391"/>
      <c r="N95" s="2391"/>
      <c r="O95" s="2391"/>
      <c r="P95" s="2391"/>
      <c r="Q95" s="2391"/>
      <c r="R95" s="2391"/>
      <c r="S95" s="2391"/>
      <c r="T95" s="2391"/>
      <c r="U95" s="2391"/>
      <c r="V95" s="2391"/>
      <c r="W95" s="2391"/>
      <c r="X95" s="2391"/>
      <c r="Y95" s="2391"/>
      <c r="Z95" s="2391"/>
      <c r="AA95" s="2392"/>
      <c r="AB95" s="2392"/>
      <c r="AC95" s="2392"/>
      <c r="AD95" s="2392"/>
      <c r="AE95" s="2392"/>
      <c r="AF95" s="2392"/>
      <c r="AG95" s="2392"/>
      <c r="AH95" s="2392"/>
      <c r="AI95" s="2392"/>
    </row>
    <row r="96" spans="1:35" s="2390" customFormat="1" ht="24" hidden="1">
      <c r="A96" s="2398" t="s">
        <v>780</v>
      </c>
      <c r="B96" s="204" t="s">
        <v>2185</v>
      </c>
      <c r="C96" s="227">
        <f ca="1">IF(C95&lt;=0,0,C95/C86)</f>
        <v>165.2093023255814</v>
      </c>
      <c r="D96" s="200" t="s">
        <v>32</v>
      </c>
      <c r="E96" s="2983"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395"/>
      <c r="J96" s="2391"/>
      <c r="K96" s="2391"/>
      <c r="L96" s="2391"/>
      <c r="M96" s="2391"/>
      <c r="N96" s="2391"/>
      <c r="O96" s="2391"/>
      <c r="P96" s="2391"/>
      <c r="Q96" s="2391"/>
      <c r="R96" s="2391"/>
      <c r="S96" s="2391"/>
      <c r="T96" s="2391"/>
      <c r="U96" s="2391"/>
      <c r="V96" s="2391"/>
      <c r="W96" s="2391"/>
      <c r="X96" s="2391"/>
      <c r="Y96" s="2391"/>
      <c r="Z96" s="2391"/>
      <c r="AA96" s="2392"/>
      <c r="AB96" s="2392"/>
      <c r="AC96" s="2392"/>
      <c r="AD96" s="2392"/>
      <c r="AE96" s="2392"/>
      <c r="AF96" s="2392"/>
      <c r="AG96" s="2392"/>
      <c r="AH96" s="2392"/>
      <c r="AI96" s="2392"/>
    </row>
    <row r="97" spans="1:35" s="2390" customFormat="1" ht="24.75" hidden="1" thickBot="1">
      <c r="A97" s="2399" t="s">
        <v>781</v>
      </c>
      <c r="B97" s="209" t="s">
        <v>2186</v>
      </c>
      <c r="C97" s="228">
        <f ca="1">ROUND(IF(C95&lt;=0,0,IF(C96&gt;=200%,C95*60%-C86*35%,IF(C96&gt;=100%,C95*50%-C86*15%,IF(C96&gt;=50%,C95*40%-C86*5%,IF(C96&lt;50%,C95*30%,0))))),0)</f>
        <v>4247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95"/>
      <c r="J97" s="2391"/>
      <c r="K97" s="2391"/>
      <c r="L97" s="2391"/>
      <c r="M97" s="2391"/>
      <c r="N97" s="2391"/>
      <c r="O97" s="2391"/>
      <c r="P97" s="2391"/>
      <c r="Q97" s="2391"/>
      <c r="R97" s="2391"/>
      <c r="S97" s="2391"/>
      <c r="T97" s="2391"/>
      <c r="U97" s="2391"/>
      <c r="V97" s="2391"/>
      <c r="W97" s="2391"/>
      <c r="X97" s="2391"/>
      <c r="Y97" s="2391"/>
      <c r="Z97" s="2391"/>
      <c r="AA97" s="2392"/>
      <c r="AB97" s="2392"/>
      <c r="AC97" s="2392"/>
      <c r="AD97" s="2392"/>
      <c r="AE97" s="2392"/>
      <c r="AF97" s="2392"/>
      <c r="AG97" s="2392"/>
      <c r="AH97" s="2392"/>
      <c r="AI97" s="2392"/>
    </row>
    <row r="98" spans="1:35" ht="21.75" hidden="1" customHeight="1">
      <c r="A98" s="2379"/>
      <c r="B98" s="2301"/>
      <c r="C98" s="2301"/>
      <c r="D98" s="2301"/>
      <c r="E98" s="2049"/>
      <c r="F98" s="2049"/>
      <c r="G98" s="2049"/>
      <c r="H98" s="2048"/>
      <c r="I98" s="138"/>
    </row>
    <row r="99" spans="1:35" ht="21.75" hidden="1" customHeight="1" thickBot="1">
      <c r="A99" s="2357" t="s">
        <v>2205</v>
      </c>
      <c r="B99" s="2301"/>
      <c r="C99" s="2301"/>
      <c r="D99" s="2301"/>
      <c r="E99" s="2049"/>
      <c r="F99" s="2049"/>
      <c r="G99" s="2049"/>
      <c r="H99" s="2048"/>
      <c r="I99" s="138"/>
    </row>
    <row r="100" spans="1:35" ht="18.75" hidden="1" customHeight="1">
      <c r="A100" s="3135" t="s">
        <v>2206</v>
      </c>
      <c r="B100" s="3136"/>
      <c r="C100" s="3136"/>
      <c r="D100" s="3153"/>
      <c r="E100" s="3136" t="s">
        <v>2207</v>
      </c>
      <c r="F100" s="3136"/>
      <c r="G100" s="3136"/>
      <c r="H100" s="3153"/>
      <c r="I100" s="138"/>
    </row>
    <row r="101" spans="1:35" ht="18.75" hidden="1" customHeight="1">
      <c r="A101" s="3215" t="s">
        <v>2208</v>
      </c>
      <c r="B101" s="3216"/>
      <c r="C101" s="735" t="str">
        <f>C4</f>
        <v>比较法-商业</v>
      </c>
      <c r="D101" s="736" t="str">
        <f>D4</f>
        <v>收益法</v>
      </c>
      <c r="E101" s="3229" t="s">
        <v>2209</v>
      </c>
      <c r="F101" s="3183"/>
      <c r="G101" s="2403" t="s">
        <v>2210</v>
      </c>
      <c r="H101" s="1043">
        <f ca="1">H118</f>
        <v>7504</v>
      </c>
      <c r="I101" s="138"/>
    </row>
    <row r="102" spans="1:35" ht="18.75" hidden="1" customHeight="1">
      <c r="A102" s="3185" t="s">
        <v>2211</v>
      </c>
      <c r="B102" s="2403" t="s">
        <v>2210</v>
      </c>
      <c r="C102" s="735">
        <f ca="1">C19</f>
        <v>7071</v>
      </c>
      <c r="D102" s="736">
        <f ca="1">D19</f>
        <v>7936</v>
      </c>
      <c r="E102" s="3229"/>
      <c r="F102" s="3183"/>
      <c r="G102" s="2403" t="s">
        <v>2212</v>
      </c>
      <c r="H102" s="371">
        <f ca="1">I118</f>
        <v>2783</v>
      </c>
      <c r="I102" s="138"/>
    </row>
    <row r="103" spans="1:35" ht="42.75" hidden="1" customHeight="1">
      <c r="A103" s="3185"/>
      <c r="B103" s="2403" t="s">
        <v>2212</v>
      </c>
      <c r="C103" s="737">
        <f ca="1">C20</f>
        <v>44315</v>
      </c>
      <c r="D103" s="738">
        <f ca="1">D20</f>
        <v>49734</v>
      </c>
      <c r="E103" s="3224" t="s">
        <v>2213</v>
      </c>
      <c r="F103" s="3225"/>
      <c r="G103" s="2404" t="s">
        <v>2214</v>
      </c>
      <c r="H103" s="1043">
        <f>IF(D36="正常操作",H104+H105+H106,H105+H106)</f>
        <v>0</v>
      </c>
      <c r="I103" s="138"/>
    </row>
    <row r="104" spans="1:35" ht="18.75" hidden="1" customHeight="1">
      <c r="A104" s="3185" t="s">
        <v>2215</v>
      </c>
      <c r="B104" s="2405" t="s">
        <v>2210</v>
      </c>
      <c r="C104" s="739">
        <f ca="1">H118</f>
        <v>7504</v>
      </c>
      <c r="D104" s="740"/>
      <c r="E104" s="2149" t="s">
        <v>2216</v>
      </c>
      <c r="F104" s="2141"/>
      <c r="G104" s="2404" t="s">
        <v>2214</v>
      </c>
      <c r="H104" s="1044">
        <f>IF(D36="同一抵押权人同一抵押物续贷",C36&amp;"（未扣减，详见特别提示）",C36)</f>
        <v>0</v>
      </c>
      <c r="I104" s="138"/>
    </row>
    <row r="105" spans="1:35" ht="18.75" hidden="1" customHeight="1" thickBot="1">
      <c r="A105" s="3186"/>
      <c r="B105" s="2406" t="s">
        <v>2212</v>
      </c>
      <c r="C105" s="741">
        <f ca="1">I118</f>
        <v>2783</v>
      </c>
      <c r="D105" s="742"/>
      <c r="E105" s="2149" t="s">
        <v>2217</v>
      </c>
      <c r="F105" s="2141"/>
      <c r="G105" s="2404" t="s">
        <v>2214</v>
      </c>
      <c r="H105" s="1044">
        <f>C37</f>
        <v>0</v>
      </c>
      <c r="I105" s="138"/>
    </row>
    <row r="106" spans="1:35" ht="18.75" hidden="1" customHeight="1">
      <c r="A106" s="2301" t="s">
        <v>2218</v>
      </c>
      <c r="B106" s="2301"/>
      <c r="C106" s="2301"/>
      <c r="D106" s="2301"/>
      <c r="E106" s="2407" t="s">
        <v>2219</v>
      </c>
      <c r="F106" s="2141"/>
      <c r="G106" s="2404" t="s">
        <v>2214</v>
      </c>
      <c r="H106" s="1044">
        <f>C38</f>
        <v>0</v>
      </c>
      <c r="I106" s="138"/>
    </row>
    <row r="107" spans="1:35" ht="18.75" hidden="1" customHeight="1">
      <c r="A107" s="138"/>
      <c r="B107" s="138"/>
      <c r="C107" s="138"/>
      <c r="D107" s="138"/>
      <c r="E107" s="3182" t="str">
        <f>IF(项目基本情况!E8="已注销","——","3.房地产抵押价值")</f>
        <v>——</v>
      </c>
      <c r="F107" s="3183"/>
      <c r="G107" s="2403" t="s">
        <v>2210</v>
      </c>
      <c r="H107" s="1043" t="str">
        <f>IF(E107="——","——",H101-H103)</f>
        <v>——</v>
      </c>
      <c r="I107" s="138"/>
    </row>
    <row r="108" spans="1:35" ht="18.75" hidden="1" customHeight="1">
      <c r="A108" s="138"/>
      <c r="B108" s="138"/>
      <c r="C108" s="138"/>
      <c r="D108" s="138"/>
      <c r="E108" s="3182"/>
      <c r="F108" s="3183"/>
      <c r="G108" s="2403" t="s">
        <v>2212</v>
      </c>
      <c r="H108" s="371" t="e">
        <f>ROUND(H107*10000/'数据-汇总表'!E3,0)</f>
        <v>#VALUE!</v>
      </c>
      <c r="I108" s="138"/>
    </row>
    <row r="109" spans="1:35" ht="18.75" hidden="1" customHeight="1">
      <c r="A109" s="138"/>
      <c r="B109" s="138"/>
      <c r="C109" s="138"/>
      <c r="D109" s="138"/>
      <c r="E109" s="3182" t="str">
        <f>IF(项目基本情况!E8="已注销及未注销","4.抵押担保权已注销时的房地产抵押价值",IF(项目基本情况!E8="已注销","3.抵押担保权已注销时的房地产抵押价值","——"))</f>
        <v>3.抵押担保权已注销时的房地产抵押价值</v>
      </c>
      <c r="F109" s="3183"/>
      <c r="G109" s="2403" t="s">
        <v>2210</v>
      </c>
      <c r="H109" s="348">
        <f ca="1">IF(E109="——","——",H101-H105-H106)</f>
        <v>7504</v>
      </c>
      <c r="I109" s="138"/>
    </row>
    <row r="110" spans="1:35" ht="18.75" hidden="1" customHeight="1" thickBot="1">
      <c r="A110" s="138"/>
      <c r="B110" s="138"/>
      <c r="C110" s="138"/>
      <c r="D110" s="138"/>
      <c r="E110" s="3182"/>
      <c r="F110" s="3183"/>
      <c r="G110" s="2403" t="s">
        <v>2212</v>
      </c>
      <c r="H110" s="371">
        <f ca="1">IF(H109="——","——",ROUND(H109*10000/'数据-汇总表'!E3,0))</f>
        <v>2783</v>
      </c>
      <c r="I110" s="138"/>
    </row>
    <row r="111" spans="1:35" ht="18.75" hidden="1" customHeight="1">
      <c r="A111" s="138"/>
      <c r="B111" s="138"/>
      <c r="C111" s="138"/>
      <c r="D111" s="138"/>
      <c r="E111" s="3217" t="str">
        <f>IF(项目基本情况!E9="抵押净值",IF(OR(项目基本情况!E8="已注销",项目基本情况!E8="房地产抵押价值"),"4.抵押净值","5.抵押净值"),"——")</f>
        <v>——</v>
      </c>
      <c r="F111" s="3218"/>
      <c r="G111" s="2403" t="s">
        <v>2210</v>
      </c>
      <c r="H111" s="1043" t="str">
        <f>IF(E111="——","——",N59)</f>
        <v>——</v>
      </c>
      <c r="I111" s="138"/>
    </row>
    <row r="112" spans="1:35" ht="18.75" hidden="1" customHeight="1" thickBot="1">
      <c r="A112" s="138"/>
      <c r="B112" s="138"/>
      <c r="C112" s="138"/>
      <c r="D112" s="138"/>
      <c r="E112" s="3219"/>
      <c r="F112" s="3220"/>
      <c r="G112" s="2408" t="s">
        <v>2212</v>
      </c>
      <c r="H112" s="789" t="str">
        <f>IF(E111="——","——",N61)</f>
        <v>——</v>
      </c>
      <c r="I112" s="138"/>
    </row>
    <row r="113" spans="1:11" ht="18.75" hidden="1" customHeight="1">
      <c r="A113" s="138"/>
      <c r="B113" s="138"/>
      <c r="C113" s="138"/>
      <c r="D113" s="138"/>
      <c r="E113" s="3187" t="s">
        <v>2218</v>
      </c>
      <c r="F113" s="3187"/>
      <c r="G113" s="3187"/>
      <c r="H113" s="3187"/>
      <c r="I113" s="138"/>
    </row>
    <row r="114" spans="1:11" ht="3.75" hidden="1" customHeight="1">
      <c r="A114" s="2301"/>
      <c r="B114" s="2301"/>
      <c r="C114" s="2301"/>
      <c r="D114" s="2301"/>
      <c r="E114" s="2379"/>
      <c r="F114" s="2379"/>
      <c r="G114" s="2379"/>
      <c r="H114" s="2379"/>
      <c r="I114" s="2301"/>
    </row>
    <row r="115" spans="1:11" ht="18.75" hidden="1" customHeight="1">
      <c r="A115" s="3200" t="s">
        <v>2220</v>
      </c>
      <c r="B115" s="3201"/>
      <c r="C115" s="3201"/>
      <c r="D115" s="3201"/>
      <c r="E115" s="3201"/>
      <c r="F115" s="3201"/>
      <c r="G115" s="3201"/>
      <c r="H115" s="3201"/>
      <c r="I115" s="3202"/>
    </row>
    <row r="116" spans="1:11" ht="27" hidden="1" customHeight="1">
      <c r="A116" s="3142" t="s">
        <v>2221</v>
      </c>
      <c r="B116" s="3188" t="s">
        <v>2222</v>
      </c>
      <c r="C116" s="3188" t="s">
        <v>2223</v>
      </c>
      <c r="D116" s="3204" t="s">
        <v>2224</v>
      </c>
      <c r="E116" s="3205"/>
      <c r="F116" s="3196" t="s">
        <v>2225</v>
      </c>
      <c r="G116" s="3196"/>
      <c r="H116" s="3142" t="s">
        <v>2226</v>
      </c>
      <c r="I116" s="3142"/>
    </row>
    <row r="117" spans="1:11" ht="18.75" hidden="1" customHeight="1">
      <c r="A117" s="3142"/>
      <c r="B117" s="3189"/>
      <c r="C117" s="3189"/>
      <c r="D117" s="2970" t="s">
        <v>2227</v>
      </c>
      <c r="E117" s="2970" t="s">
        <v>2228</v>
      </c>
      <c r="F117" s="2970" t="s">
        <v>2227</v>
      </c>
      <c r="G117" s="2970" t="s">
        <v>2229</v>
      </c>
      <c r="H117" s="2970" t="s">
        <v>2227</v>
      </c>
      <c r="I117" s="2970" t="s">
        <v>2229</v>
      </c>
    </row>
    <row r="118" spans="1:11" ht="24.75" hidden="1" customHeight="1">
      <c r="A118" s="2409" t="str">
        <f>项目基本情况!S2</f>
        <v>北京市朝阳区东四环中路58号楼配套商业、酒店式公寓用房房地产</v>
      </c>
      <c r="B118" s="2970">
        <f>M18</f>
        <v>26965.789999999986</v>
      </c>
      <c r="C118" s="2970">
        <f>M19</f>
        <v>2719.43</v>
      </c>
      <c r="D118" s="2970" t="e">
        <f ca="1">ROUND(IF(D32="总价",C34,E118*B118/10000),0)</f>
        <v>#REF!</v>
      </c>
      <c r="E118" s="2970" t="e">
        <f ca="1">ROUND(IF(C33="自定义",IF(D32="楼面单价",C34,D118*10000/B118),I118-G118),0)</f>
        <v>#REF!</v>
      </c>
      <c r="F118" s="2970" t="e">
        <f ca="1">ROUND(IF(D32="总价",C35,G118*B118/10000),0)</f>
        <v>#REF!</v>
      </c>
      <c r="G118" s="2970" t="e">
        <f ca="1">ROUND(IF(D32="楼面单价",C35,F118*10000/B118),0)</f>
        <v>#REF!</v>
      </c>
      <c r="H118" s="2970">
        <f ca="1">ROUND(IF(D32="总价",C32,I118*B118/10000),0)</f>
        <v>7504</v>
      </c>
      <c r="I118" s="2970">
        <f ca="1">ROUND(IF(D32="楼面单价",C32,H118*10000/B118),0)</f>
        <v>2783</v>
      </c>
    </row>
    <row r="119" spans="1:11" ht="18.75" hidden="1" customHeight="1">
      <c r="A119" s="3142" t="s">
        <v>2230</v>
      </c>
      <c r="B119" s="3142"/>
      <c r="C119" s="3142"/>
      <c r="D119" s="3193" t="e">
        <f ca="1">NUMBERSTRING(INT(D118*10000),2)&amp;"元整"</f>
        <v>#REF!</v>
      </c>
      <c r="E119" s="3195"/>
      <c r="F119" s="3193" t="e">
        <f ca="1">NUMBERSTRING(INT(F118*10000),2)&amp;"元整"</f>
        <v>#REF!</v>
      </c>
      <c r="G119" s="3195"/>
      <c r="H119" s="3193" t="str">
        <f ca="1">NUMBERSTRING(INT(H118*10000),2)&amp;"元整"</f>
        <v>柒仟伍佰零肆万元整</v>
      </c>
      <c r="I119" s="3195"/>
    </row>
    <row r="120" spans="1:11" ht="18.75" hidden="1" customHeight="1">
      <c r="A120" s="3221" t="str">
        <f>IF(项目基本情况!B9="房地产市场价值","",MID(E103,3,LEN(E103)-2))</f>
        <v>估价师知悉的法定优先受偿款</v>
      </c>
      <c r="B120" s="3222"/>
      <c r="C120" s="3223"/>
      <c r="D120" s="3221">
        <f>H103</f>
        <v>0</v>
      </c>
      <c r="E120" s="3222"/>
      <c r="F120" s="3222"/>
      <c r="G120" s="3222"/>
      <c r="H120" s="3222"/>
      <c r="I120" s="3223"/>
      <c r="K120" s="2306" t="str">
        <f>IF(D120=0,"故，本次评估不存在"&amp;A120,"故，本次评估"&amp;A120&amp;"为人民币"&amp;D120&amp;"万元整。")</f>
        <v>故，本次评估不存在估价师知悉的法定优先受偿款</v>
      </c>
    </row>
    <row r="121" spans="1:11" ht="18.75" hidden="1" customHeight="1">
      <c r="A121" s="3197" t="s">
        <v>2230</v>
      </c>
      <c r="B121" s="3198"/>
      <c r="C121" s="3199"/>
      <c r="D121" s="3193" t="str">
        <f>IF(D120=0,"零元整",NUMBERSTRING(INT(D120*10000),2)&amp;"元整")</f>
        <v>零元整</v>
      </c>
      <c r="E121" s="3194"/>
      <c r="F121" s="3194"/>
      <c r="G121" s="3194"/>
      <c r="H121" s="3194"/>
      <c r="I121" s="3195"/>
    </row>
    <row r="122" spans="1:11" ht="18.75" hidden="1" customHeight="1">
      <c r="A122" s="3184" t="str">
        <f>IF(项目基本情况!B9="房地产市场价值","",MID(E107,3,LEN(E107)-2))</f>
        <v/>
      </c>
      <c r="B122" s="3184"/>
      <c r="C122" s="3184"/>
      <c r="D122" s="3221" t="str">
        <f>H107</f>
        <v>——</v>
      </c>
      <c r="E122" s="3222"/>
      <c r="F122" s="3222"/>
      <c r="G122" s="3222"/>
      <c r="H122" s="3222"/>
      <c r="I122" s="3223"/>
    </row>
    <row r="123" spans="1:11" ht="18.75" hidden="1" customHeight="1">
      <c r="A123" s="3142" t="s">
        <v>2230</v>
      </c>
      <c r="B123" s="3142"/>
      <c r="C123" s="3142"/>
      <c r="D123" s="3193" t="e">
        <f>NUMBERSTRING(INT(D122*10000),2)&amp;"元整"</f>
        <v>#VALUE!</v>
      </c>
      <c r="E123" s="3194"/>
      <c r="F123" s="3194"/>
      <c r="G123" s="3194"/>
      <c r="H123" s="3194"/>
      <c r="I123" s="3195"/>
    </row>
    <row r="124" spans="1:11" ht="18.75" hidden="1" customHeight="1">
      <c r="A124" s="3184" t="str">
        <f>IF(项目基本情况!B9="房地产市场价值","",MID(E109,3,LEN(E109)-2))</f>
        <v>抵押担保权已注销时的房地产抵押价值</v>
      </c>
      <c r="B124" s="3184"/>
      <c r="C124" s="3184"/>
      <c r="D124" s="3221">
        <f ca="1">H109</f>
        <v>7504</v>
      </c>
      <c r="E124" s="3222"/>
      <c r="F124" s="3222"/>
      <c r="G124" s="3222"/>
      <c r="H124" s="3222"/>
      <c r="I124" s="3223"/>
    </row>
    <row r="125" spans="1:11" ht="18.75" hidden="1" customHeight="1">
      <c r="A125" s="3142" t="s">
        <v>2230</v>
      </c>
      <c r="B125" s="3142"/>
      <c r="C125" s="3142"/>
      <c r="D125" s="3193" t="str">
        <f ca="1">NUMBERSTRING(INT(D124*10000),2)&amp;"元整"</f>
        <v>柒仟伍佰零肆万元整</v>
      </c>
      <c r="E125" s="3194"/>
      <c r="F125" s="3194"/>
      <c r="G125" s="3194"/>
      <c r="H125" s="3194"/>
      <c r="I125" s="3195"/>
    </row>
    <row r="126" spans="1:11" ht="18.75" hidden="1" customHeight="1">
      <c r="A126" s="3184" t="str">
        <f>IF(项目基本情况!B9="房地产市场价值","",MID(E111,3,LEN(E111)-2))</f>
        <v/>
      </c>
      <c r="B126" s="3184"/>
      <c r="C126" s="3184"/>
      <c r="D126" s="3221" t="str">
        <f>H111</f>
        <v>——</v>
      </c>
      <c r="E126" s="3222"/>
      <c r="F126" s="3222"/>
      <c r="G126" s="3222"/>
      <c r="H126" s="3222"/>
      <c r="I126" s="3223"/>
    </row>
    <row r="127" spans="1:11" ht="18.75" hidden="1" customHeight="1">
      <c r="A127" s="3142" t="s">
        <v>2230</v>
      </c>
      <c r="B127" s="3142"/>
      <c r="C127" s="3142"/>
      <c r="D127" s="3193" t="e">
        <f>NUMBERSTRING(INT(D126*10000),2)&amp;"元整"</f>
        <v>#VALUE!</v>
      </c>
      <c r="E127" s="3194"/>
      <c r="F127" s="3194"/>
      <c r="G127" s="3194"/>
      <c r="H127" s="3194"/>
      <c r="I127" s="3195"/>
    </row>
    <row r="128" spans="1:11" ht="21.75" hidden="1" customHeight="1">
      <c r="A128" s="3203" t="s">
        <v>2231</v>
      </c>
      <c r="B128" s="3203"/>
      <c r="C128" s="3203"/>
      <c r="D128" s="3203"/>
      <c r="E128" s="3203"/>
      <c r="F128" s="3203"/>
      <c r="G128" s="3203"/>
      <c r="H128" s="3203"/>
      <c r="I128" s="3203"/>
    </row>
    <row r="129" spans="1:35" ht="21.75" hidden="1" customHeight="1">
      <c r="A129" s="2410" t="s">
        <v>2232</v>
      </c>
      <c r="B129" s="2411"/>
      <c r="C129" s="2412" t="s">
        <v>2233</v>
      </c>
      <c r="D129" s="2413"/>
      <c r="E129" s="2413"/>
      <c r="F129" s="2413"/>
      <c r="G129" s="2413"/>
      <c r="H129" s="2414"/>
      <c r="I129" s="2415"/>
    </row>
    <row r="130" spans="1:35" ht="21.75" hidden="1" customHeight="1">
      <c r="A130" s="2416">
        <v>1</v>
      </c>
      <c r="B130" s="2417"/>
      <c r="C130" s="2417"/>
      <c r="D130" s="2418"/>
      <c r="E130" s="2418"/>
      <c r="F130" s="2418"/>
      <c r="G130" s="2418"/>
      <c r="H130" s="2419"/>
      <c r="I130" s="2420"/>
    </row>
    <row r="131" spans="1:35" ht="21.75" hidden="1" customHeight="1">
      <c r="A131" s="2416">
        <v>2</v>
      </c>
      <c r="B131" s="2417"/>
      <c r="C131" s="2417"/>
      <c r="D131" s="2418"/>
      <c r="E131" s="2418"/>
      <c r="F131" s="2418"/>
      <c r="G131" s="2418"/>
      <c r="H131" s="2419"/>
      <c r="I131" s="2420"/>
    </row>
    <row r="132" spans="1:35" ht="21.75" hidden="1" customHeight="1">
      <c r="A132" s="2416">
        <v>3</v>
      </c>
      <c r="B132" s="2417"/>
      <c r="C132" s="2417"/>
      <c r="D132" s="2418"/>
      <c r="E132" s="2418"/>
      <c r="F132" s="2418"/>
      <c r="G132" s="2418"/>
      <c r="H132" s="2419"/>
      <c r="I132" s="2420"/>
    </row>
    <row r="133" spans="1:35" ht="21.75" hidden="1" customHeight="1">
      <c r="A133" s="2421"/>
      <c r="B133" s="2422"/>
      <c r="C133" s="2422"/>
      <c r="D133" s="2423"/>
      <c r="E133" s="2423"/>
      <c r="F133" s="2423"/>
      <c r="G133" s="2423"/>
      <c r="H133" s="2424"/>
      <c r="I133" s="2425"/>
    </row>
    <row r="134" spans="1:35" ht="21.75" hidden="1" customHeight="1">
      <c r="A134" s="2417"/>
      <c r="B134" s="2417"/>
      <c r="C134" s="2417"/>
      <c r="D134" s="2418"/>
      <c r="E134" s="2418"/>
      <c r="F134" s="2418"/>
      <c r="G134" s="2418"/>
      <c r="H134" s="2419"/>
      <c r="I134" s="794"/>
    </row>
    <row r="135" spans="1:35" ht="21.75" hidden="1" customHeight="1">
      <c r="A135" s="794"/>
      <c r="B135" s="794"/>
      <c r="C135" s="794"/>
      <c r="D135" s="794"/>
      <c r="E135" s="794"/>
      <c r="F135" s="2426" t="s">
        <v>2234</v>
      </c>
      <c r="G135" s="2427"/>
      <c r="H135" s="2427"/>
      <c r="I135" s="2428" t="s">
        <v>2235</v>
      </c>
    </row>
    <row r="136" spans="1:35" ht="21.75" hidden="1" customHeight="1">
      <c r="A136" s="794"/>
      <c r="B136" s="2429" t="s">
        <v>2236</v>
      </c>
      <c r="C136" s="794"/>
      <c r="D136" s="794"/>
      <c r="E136" s="794"/>
      <c r="F136" s="794"/>
      <c r="G136" s="794"/>
      <c r="H136" s="794"/>
      <c r="I136" s="794"/>
    </row>
    <row r="137" spans="1:35" ht="21.75" hidden="1" customHeight="1">
      <c r="A137" s="794"/>
      <c r="B137" s="794"/>
      <c r="C137" s="794"/>
      <c r="D137" s="794"/>
      <c r="E137" s="794"/>
      <c r="F137" s="794"/>
      <c r="G137" s="794"/>
      <c r="H137" s="794"/>
      <c r="I137" s="794"/>
    </row>
    <row r="138" spans="1:35" ht="21.75" hidden="1" customHeight="1">
      <c r="A138" s="794"/>
      <c r="B138" s="2427"/>
      <c r="C138" s="2427"/>
      <c r="D138" s="2427"/>
      <c r="E138" s="2427"/>
      <c r="F138" s="2427"/>
      <c r="G138" s="2427"/>
      <c r="H138" s="2427"/>
      <c r="I138" s="2428" t="s">
        <v>2237</v>
      </c>
    </row>
    <row r="139" spans="1:35" ht="21.75" hidden="1" customHeight="1">
      <c r="A139" s="794"/>
      <c r="B139" s="2429" t="s">
        <v>2238</v>
      </c>
      <c r="C139" s="794"/>
      <c r="D139" s="794"/>
      <c r="E139" s="794"/>
      <c r="F139" s="794"/>
      <c r="G139" s="794"/>
      <c r="H139" s="794"/>
      <c r="I139" s="794"/>
    </row>
    <row r="140" spans="1:35" ht="21.75" hidden="1" customHeight="1">
      <c r="A140" s="794"/>
      <c r="B140" s="2429"/>
      <c r="C140" s="794"/>
      <c r="D140" s="794"/>
      <c r="E140" s="794"/>
      <c r="F140" s="794"/>
      <c r="G140" s="794"/>
      <c r="H140" s="794"/>
      <c r="I140" s="794"/>
    </row>
    <row r="141" spans="1:35" ht="21.75" hidden="1" customHeight="1">
      <c r="A141" s="794"/>
      <c r="B141" s="2427"/>
      <c r="C141" s="2427"/>
      <c r="D141" s="2427"/>
      <c r="E141" s="2427"/>
      <c r="F141" s="2427"/>
      <c r="G141" s="2427"/>
      <c r="H141" s="2427"/>
      <c r="I141" s="2428" t="s">
        <v>2237</v>
      </c>
    </row>
    <row r="142" spans="1:35" ht="21.75" hidden="1" customHeight="1">
      <c r="A142" s="794"/>
      <c r="B142" s="2429"/>
      <c r="C142" s="2430"/>
      <c r="D142" s="2431"/>
      <c r="E142" s="2431"/>
      <c r="F142" s="2223"/>
      <c r="G142" s="794"/>
      <c r="H142" s="794"/>
      <c r="I142" s="794"/>
    </row>
    <row r="143" spans="1:35" s="139" customFormat="1" ht="21.75" customHeight="1">
      <c r="A143" s="794"/>
      <c r="B143" s="2429"/>
      <c r="C143" s="2430"/>
      <c r="D143" s="2431"/>
      <c r="E143" s="2431"/>
      <c r="F143" s="222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30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30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30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30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30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30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30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30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30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30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30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30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30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30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30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30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30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30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30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30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30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30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30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30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30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30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30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30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30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30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30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30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30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30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30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30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30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30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30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30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30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30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30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30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30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30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30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30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30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30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30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30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30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30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30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30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30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30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30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30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30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30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30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30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30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30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30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30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30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30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30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30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30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30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30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30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30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30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30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30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30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30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30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30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30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30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30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30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30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30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30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30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30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30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30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30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30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30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30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30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30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30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30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30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22"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90" zoomScaleSheetLayoutView="70" workbookViewId="0">
      <selection activeCell="I36" sqref="I3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1" customWidth="1"/>
    <col min="12" max="12" width="16.375" style="302" customWidth="1"/>
    <col min="13" max="13" width="13" style="302"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2"/>
  </cols>
  <sheetData>
    <row r="1" spans="1:37" s="337" customFormat="1" ht="21">
      <c r="A1" s="1819" t="s">
        <v>1589</v>
      </c>
      <c r="B1" s="781"/>
      <c r="C1" s="1823" t="s">
        <v>3437</v>
      </c>
      <c r="D1" s="1806" t="s">
        <v>70</v>
      </c>
      <c r="E1" s="1807" t="s">
        <v>1386</v>
      </c>
      <c r="F1" s="1270">
        <f ca="1">J53</f>
        <v>25.85</v>
      </c>
      <c r="G1" s="182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9" t="s">
        <v>1515</v>
      </c>
      <c r="B2" s="1830">
        <f ca="1">C40+J29+L46</f>
        <v>7936</v>
      </c>
      <c r="C2" s="1831" t="s">
        <v>1516</v>
      </c>
      <c r="D2" s="1831"/>
      <c r="E2" s="1832"/>
      <c r="F2" s="1833"/>
      <c r="G2" s="1834"/>
      <c r="H2" s="1826"/>
      <c r="I2" s="1826"/>
      <c r="J2" s="1826"/>
      <c r="K2" s="1827"/>
      <c r="L2" s="1826"/>
      <c r="M2" s="1826"/>
    </row>
    <row r="3" spans="1:37" ht="18" customHeight="1" thickBot="1">
      <c r="A3" s="1835" t="s">
        <v>1517</v>
      </c>
      <c r="B3" s="1836">
        <f ca="1">IF(ISERROR(B2*10000/F43),0,ROUND(B2*10000/F43,0))</f>
        <v>49734</v>
      </c>
      <c r="C3" s="1831" t="s">
        <v>1518</v>
      </c>
      <c r="D3" s="1831"/>
      <c r="E3" s="1832"/>
      <c r="F3" s="1833"/>
      <c r="G3" s="1834"/>
      <c r="H3" s="743" t="s">
        <v>1588</v>
      </c>
      <c r="I3" s="1826"/>
      <c r="J3" s="1826"/>
      <c r="K3" s="1827"/>
      <c r="L3" s="1826"/>
      <c r="M3" s="1826"/>
    </row>
    <row r="4" spans="1:37" ht="18" customHeight="1">
      <c r="A4" s="340" t="s">
        <v>1395</v>
      </c>
      <c r="B4" s="341" t="s">
        <v>1396</v>
      </c>
      <c r="C4" s="341" t="s">
        <v>1397</v>
      </c>
      <c r="D4" s="341" t="s">
        <v>1398</v>
      </c>
      <c r="E4" s="342" t="s">
        <v>1399</v>
      </c>
      <c r="F4" s="343"/>
      <c r="G4" s="1837"/>
      <c r="H4" s="340" t="s">
        <v>1395</v>
      </c>
      <c r="I4" s="341" t="s">
        <v>1396</v>
      </c>
      <c r="J4" s="341" t="s">
        <v>1397</v>
      </c>
      <c r="K4" s="341" t="s">
        <v>1398</v>
      </c>
      <c r="L4" s="342" t="s">
        <v>1399</v>
      </c>
      <c r="M4" s="343"/>
    </row>
    <row r="5" spans="1:37" ht="18" customHeight="1">
      <c r="A5" s="344">
        <v>1</v>
      </c>
      <c r="B5" s="345" t="s">
        <v>1400</v>
      </c>
      <c r="C5" s="1279">
        <f ca="1">C6+C10+C12</f>
        <v>568</v>
      </c>
      <c r="D5" s="1808" t="s">
        <v>1401</v>
      </c>
      <c r="E5" s="1280"/>
      <c r="F5" s="1281"/>
      <c r="G5" s="1837"/>
      <c r="H5" s="344">
        <v>1</v>
      </c>
      <c r="I5" s="345" t="s">
        <v>1400</v>
      </c>
      <c r="J5" s="1279">
        <f ca="1">J6+J10+J12</f>
        <v>0</v>
      </c>
      <c r="K5" s="1808" t="s">
        <v>1401</v>
      </c>
      <c r="L5" s="1280"/>
      <c r="M5" s="1281"/>
    </row>
    <row r="6" spans="1:37" ht="18" customHeight="1">
      <c r="A6" s="1278" t="s">
        <v>1035</v>
      </c>
      <c r="B6" s="3311" t="s">
        <v>1402</v>
      </c>
      <c r="C6" s="1283">
        <f ca="1">ROUND(F6*F8*F7*(1-F9)/10000,0)</f>
        <v>566</v>
      </c>
      <c r="D6" s="164" t="s">
        <v>2937</v>
      </c>
      <c r="E6" s="347" t="s">
        <v>1404</v>
      </c>
      <c r="F6" s="348">
        <f ca="1">INDIRECT("'数据-取费表'!u"&amp;$G$1)</f>
        <v>10.8</v>
      </c>
      <c r="G6" s="1837"/>
      <c r="H6" s="1278" t="s">
        <v>1035</v>
      </c>
      <c r="I6" s="3311" t="s">
        <v>1402</v>
      </c>
      <c r="J6" s="346">
        <f ca="1">ROUND(M6*M8*M7*(1-M9)/10000,0)</f>
        <v>0</v>
      </c>
      <c r="K6" s="164" t="s">
        <v>2936</v>
      </c>
      <c r="L6" s="347" t="s">
        <v>1404</v>
      </c>
      <c r="M6" s="348">
        <f ca="1">INDIRECT("'数据-取费表'!z"&amp;$G$1)</f>
        <v>0</v>
      </c>
    </row>
    <row r="7" spans="1:37" ht="18" customHeight="1">
      <c r="A7" s="1282"/>
      <c r="B7" s="3312"/>
      <c r="C7" s="1284"/>
      <c r="D7" s="352"/>
      <c r="E7" s="1285" t="s">
        <v>1405</v>
      </c>
      <c r="F7" s="348">
        <f ca="1">IF(INDIRECT("'数据-取费表'!ah"&amp;$G$1)="",INDIRECT("'数据-取费表'!k"&amp;$G$1),INDIRECT("'数据-取费表'!ah"&amp;$G$1))</f>
        <v>1595.68</v>
      </c>
      <c r="G7" s="1837"/>
      <c r="H7" s="349"/>
      <c r="I7" s="3312"/>
      <c r="J7" s="351"/>
      <c r="K7" s="352"/>
      <c r="L7" s="347" t="s">
        <v>1405</v>
      </c>
      <c r="M7" s="348">
        <f ca="1">F7</f>
        <v>1595.68</v>
      </c>
    </row>
    <row r="8" spans="1:37" ht="18" customHeight="1">
      <c r="A8" s="349"/>
      <c r="B8" s="3312"/>
      <c r="C8" s="351"/>
      <c r="D8" s="352"/>
      <c r="E8" s="347" t="s">
        <v>1406</v>
      </c>
      <c r="F8" s="348">
        <f ca="1">INDIRECT("'数据-取费表'!ai"&amp;$G$1)</f>
        <v>365</v>
      </c>
      <c r="G8" s="1837"/>
      <c r="H8" s="349"/>
      <c r="I8" s="3312"/>
      <c r="J8" s="351"/>
      <c r="K8" s="352"/>
      <c r="L8" s="347" t="s">
        <v>1406</v>
      </c>
      <c r="M8" s="348">
        <f ca="1">INDIRECT("'数据-取费表'!ai"&amp;$G$1)</f>
        <v>365</v>
      </c>
    </row>
    <row r="9" spans="1:37" ht="18" customHeight="1">
      <c r="A9" s="349"/>
      <c r="B9" s="3313"/>
      <c r="C9" s="351"/>
      <c r="D9" s="352"/>
      <c r="E9" s="347" t="s">
        <v>1407</v>
      </c>
      <c r="F9" s="357">
        <f ca="1">INDIRECT("'数据-取费表'!w"&amp;$G$1)</f>
        <v>0.1</v>
      </c>
      <c r="G9" s="1837"/>
      <c r="H9" s="349"/>
      <c r="I9" s="3313"/>
      <c r="J9" s="351"/>
      <c r="K9" s="352"/>
      <c r="L9" s="358" t="s">
        <v>1407</v>
      </c>
      <c r="M9" s="359">
        <f ca="1">INDIRECT("'数据-取费表'!ab"&amp;$G$1)</f>
        <v>0</v>
      </c>
    </row>
    <row r="10" spans="1:37" ht="18" customHeight="1">
      <c r="A10" s="1278" t="s">
        <v>1039</v>
      </c>
      <c r="B10" s="1809" t="s">
        <v>1408</v>
      </c>
      <c r="C10" s="361">
        <f ca="1">ROUND(IF(F10="押一",F6*F8*F7/12*F11,IF(F10="押二",F6*F8*F7/12*2*F11,IF(F10="押三",F6*F8*F7/12*3*F11,C11*F11)))/10000,0)</f>
        <v>2</v>
      </c>
      <c r="D10" s="1810" t="s">
        <v>2938</v>
      </c>
      <c r="E10" s="358" t="s">
        <v>1410</v>
      </c>
      <c r="F10" s="1353" t="s">
        <v>3605</v>
      </c>
      <c r="G10" s="1837"/>
      <c r="H10" s="1278" t="s">
        <v>1039</v>
      </c>
      <c r="I10" s="1809" t="s">
        <v>1408</v>
      </c>
      <c r="J10" s="346">
        <f ca="1">ROUND(IF(M10="押一",M6*M8*M7/12*M11,IF(M10="押二",M6*M8*M7/12*2*M11,IF(M10="押三",M6*M8*M7/12*3*M11,J11*M11)))/10000,0)</f>
        <v>0</v>
      </c>
      <c r="K10" s="1810" t="s">
        <v>2939</v>
      </c>
      <c r="L10" s="358" t="s">
        <v>1410</v>
      </c>
      <c r="M10" s="1353" t="s">
        <v>1411</v>
      </c>
    </row>
    <row r="11" spans="1:37" ht="18" customHeight="1">
      <c r="A11" s="353"/>
      <c r="B11" s="1811" t="s">
        <v>1387</v>
      </c>
      <c r="C11" s="1173"/>
      <c r="D11" s="1812"/>
      <c r="E11" s="358" t="s">
        <v>1412</v>
      </c>
      <c r="F11" s="359">
        <f ca="1">'数据-取费表'!B39</f>
        <v>1.4999999999999999E-2</v>
      </c>
      <c r="G11" s="1837"/>
      <c r="H11" s="1286"/>
      <c r="I11" s="1811" t="s">
        <v>1387</v>
      </c>
      <c r="J11" s="1173"/>
      <c r="K11" s="747"/>
      <c r="L11" s="358" t="s">
        <v>1412</v>
      </c>
      <c r="M11" s="1051">
        <f ca="1">'数据-取费表'!B39</f>
        <v>1.4999999999999999E-2</v>
      </c>
    </row>
    <row r="12" spans="1:37" ht="18" customHeight="1" thickBot="1">
      <c r="A12" s="1320" t="s">
        <v>1075</v>
      </c>
      <c r="B12" s="1813" t="s">
        <v>1413</v>
      </c>
      <c r="C12" s="1321"/>
      <c r="D12" s="1322"/>
      <c r="E12" s="1327"/>
      <c r="F12" s="1323"/>
      <c r="G12" s="1837"/>
      <c r="H12" s="1320" t="s">
        <v>1075</v>
      </c>
      <c r="I12" s="1813" t="s">
        <v>1413</v>
      </c>
      <c r="J12" s="1321"/>
      <c r="K12" s="1335"/>
      <c r="L12" s="1327"/>
      <c r="M12" s="1336"/>
    </row>
    <row r="13" spans="1:37" ht="18" customHeight="1" thickTop="1">
      <c r="A13" s="1316">
        <v>2</v>
      </c>
      <c r="B13" s="1317" t="s">
        <v>1414</v>
      </c>
      <c r="C13" s="355">
        <f ca="1">ROUND(C29*F13,0)</f>
        <v>1131</v>
      </c>
      <c r="D13" s="1318" t="s">
        <v>1415</v>
      </c>
      <c r="E13" s="1318" t="s">
        <v>1416</v>
      </c>
      <c r="F13" s="1319">
        <f ca="1">INDIRECT("'数据-取费表'!y"&amp;$G$1)</f>
        <v>0.88</v>
      </c>
      <c r="G13" s="1837"/>
      <c r="H13" s="1316">
        <v>2</v>
      </c>
      <c r="I13" s="1317" t="s">
        <v>1414</v>
      </c>
      <c r="J13" s="1277">
        <f ca="1">ROUND(J14*J15,0)</f>
        <v>0</v>
      </c>
      <c r="K13" s="1324" t="s">
        <v>1415</v>
      </c>
      <c r="L13" s="1838"/>
      <c r="M13" s="1839"/>
    </row>
    <row r="14" spans="1:37" ht="18" customHeight="1">
      <c r="A14" s="1196" t="s">
        <v>1034</v>
      </c>
      <c r="B14" s="347" t="s">
        <v>1417</v>
      </c>
      <c r="C14" s="363">
        <f ca="1">INDIRECT("'数据-取费表'!m"&amp;$G$1)+INDIRECT("'数据-取费表'!t"&amp;$G$1)</f>
        <v>750</v>
      </c>
      <c r="D14" s="1786" t="s">
        <v>1418</v>
      </c>
      <c r="E14" s="1780"/>
      <c r="F14" s="364"/>
      <c r="G14" s="1837"/>
      <c r="H14" s="1196" t="s">
        <v>1035</v>
      </c>
      <c r="I14" s="347" t="s">
        <v>1419</v>
      </c>
      <c r="J14" s="24">
        <f ca="1">C29</f>
        <v>1285</v>
      </c>
      <c r="K14" s="15"/>
      <c r="L14" s="980"/>
      <c r="M14" s="981"/>
    </row>
    <row r="15" spans="1:37" s="1844" customFormat="1" ht="18" customHeight="1" thickBot="1">
      <c r="A15" s="1196" t="s">
        <v>1036</v>
      </c>
      <c r="B15" s="347" t="s">
        <v>1420</v>
      </c>
      <c r="C15" s="24">
        <f ca="1">ROUND(C14*F15,0)</f>
        <v>38</v>
      </c>
      <c r="D15" s="365" t="s">
        <v>1421</v>
      </c>
      <c r="E15" s="365" t="s">
        <v>1422</v>
      </c>
      <c r="F15" s="366">
        <f>'数据-取费表'!B33</f>
        <v>0.05</v>
      </c>
      <c r="G15" s="1840"/>
      <c r="H15" s="1326" t="s">
        <v>1039</v>
      </c>
      <c r="I15" s="1327" t="s">
        <v>1416</v>
      </c>
      <c r="J15" s="1336">
        <f ca="1">INDIRECT("'数据-取费表'!ad"&amp;$G$1)</f>
        <v>0</v>
      </c>
      <c r="K15" s="1337"/>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1388</v>
      </c>
      <c r="B16" s="347" t="s">
        <v>1423</v>
      </c>
      <c r="C16" s="24">
        <f ca="1">ROUND(INDIRECT("'数据-取费表'!m"&amp;$G$1)*F16,0)</f>
        <v>0</v>
      </c>
      <c r="D16" s="347" t="s">
        <v>1421</v>
      </c>
      <c r="E16" s="347" t="s">
        <v>1422</v>
      </c>
      <c r="F16" s="367">
        <f ca="1">IF(INDIRECT("'数据-取费表'!c"&amp;$G$1)="住宅",'数据-取费表'!B34,0)</f>
        <v>0</v>
      </c>
      <c r="G16" s="1837"/>
      <c r="H16" s="1316" t="s">
        <v>1030</v>
      </c>
      <c r="I16" s="1317" t="s">
        <v>1424</v>
      </c>
      <c r="J16" s="355">
        <f ca="1">ROUND(J17+J22+J23+J24,0)</f>
        <v>43</v>
      </c>
      <c r="K16" s="1324" t="s">
        <v>1425</v>
      </c>
      <c r="L16" s="1325"/>
      <c r="M16" s="1281"/>
    </row>
    <row r="17" spans="1:37" s="1844" customFormat="1" ht="18" customHeight="1">
      <c r="A17" s="1196" t="s">
        <v>1389</v>
      </c>
      <c r="B17" s="347" t="s">
        <v>1426</v>
      </c>
      <c r="C17" s="24">
        <f ca="1">ROUND(F17*(F43+INDIRECT("'数据-取费表'!S"&amp;$G$1))/10000,0)</f>
        <v>32</v>
      </c>
      <c r="D17" s="347" t="s">
        <v>1427</v>
      </c>
      <c r="E17" s="347" t="s">
        <v>1428</v>
      </c>
      <c r="F17" s="26">
        <f>'数据-取费表'!B35</f>
        <v>200</v>
      </c>
      <c r="G17" s="1840"/>
      <c r="H17" s="1196" t="s">
        <v>1035</v>
      </c>
      <c r="I17" s="347" t="s">
        <v>1429</v>
      </c>
      <c r="J17" s="24">
        <f ca="1">ROUND(IF(项目基本情况!B11="自然人",J5*M17,J18+J19+J20),1)</f>
        <v>11</v>
      </c>
      <c r="K17" s="1786" t="s">
        <v>1430</v>
      </c>
      <c r="L17" s="1784" t="s">
        <v>1431</v>
      </c>
      <c r="M17" s="368"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1390</v>
      </c>
      <c r="B18" s="347" t="s">
        <v>1432</v>
      </c>
      <c r="C18" s="24">
        <f ca="1">ROUND(C14*F18,0)</f>
        <v>11</v>
      </c>
      <c r="D18" s="347" t="s">
        <v>1421</v>
      </c>
      <c r="E18" s="347" t="s">
        <v>1422</v>
      </c>
      <c r="F18" s="367">
        <f>'数据-取费表'!B36</f>
        <v>1.4999999999999999E-2</v>
      </c>
      <c r="G18" s="1840"/>
      <c r="H18" s="1196" t="s">
        <v>1034</v>
      </c>
      <c r="I18" s="347" t="s">
        <v>1433</v>
      </c>
      <c r="J18" s="24">
        <f ca="1">ROUND(J5*M18/(1+'数据-取费表'!C42),2)</f>
        <v>0</v>
      </c>
      <c r="K18" s="1784" t="s">
        <v>1434</v>
      </c>
      <c r="L18" s="347" t="s">
        <v>1422</v>
      </c>
      <c r="M18" s="367">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1035</v>
      </c>
      <c r="B19" s="347" t="s">
        <v>1435</v>
      </c>
      <c r="C19" s="24">
        <f ca="1">SUM(C14:C18)</f>
        <v>831</v>
      </c>
      <c r="D19" s="140" t="s">
        <v>1436</v>
      </c>
      <c r="E19" s="1804"/>
      <c r="F19" s="26"/>
      <c r="G19" s="1837"/>
      <c r="H19" s="1196" t="s">
        <v>1036</v>
      </c>
      <c r="I19" s="347" t="s">
        <v>1437</v>
      </c>
      <c r="J19" s="24">
        <f ca="1">IF(K19="按租金收入计税",ROUND(J5*M19,2),ROUND(C29*M19*0.7,2))</f>
        <v>10.79</v>
      </c>
      <c r="K19" s="1814" t="s">
        <v>1438</v>
      </c>
      <c r="L19" s="347" t="s">
        <v>1422</v>
      </c>
      <c r="M19" s="367">
        <f>IF(K19="按租金收入计税",'数据-取费表'!B51,'数据-取费表'!B50)</f>
        <v>1.2E-2</v>
      </c>
    </row>
    <row r="20" spans="1:37" s="1844" customFormat="1" ht="18" customHeight="1">
      <c r="A20" s="1196" t="s">
        <v>1039</v>
      </c>
      <c r="B20" s="347" t="s">
        <v>1439</v>
      </c>
      <c r="C20" s="24">
        <f ca="1">ROUND(C19*F20,0)</f>
        <v>25</v>
      </c>
      <c r="D20" s="369" t="s">
        <v>1440</v>
      </c>
      <c r="E20" s="347" t="s">
        <v>1422</v>
      </c>
      <c r="F20" s="367">
        <f>'数据-取费表'!B37</f>
        <v>0.03</v>
      </c>
      <c r="G20" s="1840"/>
      <c r="H20" s="1196" t="s">
        <v>1388</v>
      </c>
      <c r="I20" s="164" t="s">
        <v>1441</v>
      </c>
      <c r="J20" s="25">
        <f ca="1">ROUND(M20*M21/10000,2)</f>
        <v>0.19</v>
      </c>
      <c r="K20" s="370" t="s">
        <v>1442</v>
      </c>
      <c r="L20" s="347" t="s">
        <v>1443</v>
      </c>
      <c r="M20" s="371">
        <f>'数据-取费表'!B52</f>
        <v>12</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1075</v>
      </c>
      <c r="B21" s="347" t="s">
        <v>1444</v>
      </c>
      <c r="C21" s="24" t="s">
        <v>18</v>
      </c>
      <c r="D21" s="369" t="s">
        <v>1445</v>
      </c>
      <c r="E21" s="347" t="s">
        <v>1446</v>
      </c>
      <c r="F21" s="367">
        <f>'数据-取费表'!B38</f>
        <v>0.03</v>
      </c>
      <c r="G21" s="1840"/>
      <c r="H21" s="372"/>
      <c r="I21" s="356"/>
      <c r="J21" s="29"/>
      <c r="K21" s="373"/>
      <c r="L21" s="347" t="s">
        <v>1447</v>
      </c>
      <c r="M21" s="348">
        <f ca="1">INDIRECT("'数据-取费表'!r"&amp;$G$1)</f>
        <v>160.91999999999999</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1391</v>
      </c>
      <c r="B22" s="347" t="s">
        <v>1448</v>
      </c>
      <c r="C22" s="24"/>
      <c r="D22" s="140" t="str">
        <f>IF(F23&lt;=1,"单利计息。","复利计息。")&amp;"建造成本、管理费用、销售费用产生的利息。"</f>
        <v>复利计息。建造成本、管理费用、销售费用产生的利息。</v>
      </c>
      <c r="E22" s="1804"/>
      <c r="F22" s="26"/>
      <c r="G22" s="1837"/>
      <c r="H22" s="1196" t="s">
        <v>1039</v>
      </c>
      <c r="I22" s="347" t="s">
        <v>1449</v>
      </c>
      <c r="J22" s="24">
        <f ca="1">ROUND(J14*M22,1)</f>
        <v>32.1</v>
      </c>
      <c r="K22" s="1784" t="s">
        <v>1450</v>
      </c>
      <c r="L22" s="347" t="s">
        <v>1422</v>
      </c>
      <c r="M22" s="374">
        <f ca="1">INDIRECT("'数据-取费表'!Ak"&amp;$G$1)</f>
        <v>2.5000000000000001E-2</v>
      </c>
    </row>
    <row r="23" spans="1:37" s="1844" customFormat="1" ht="18" customHeight="1">
      <c r="A23" s="1196" t="s">
        <v>1034</v>
      </c>
      <c r="B23" s="347" t="s">
        <v>1451</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1452</v>
      </c>
      <c r="F23" s="371">
        <f>'数据-取费表'!B20</f>
        <v>2.5</v>
      </c>
      <c r="G23" s="1840"/>
      <c r="H23" s="1196" t="s">
        <v>1075</v>
      </c>
      <c r="I23" s="347" t="s">
        <v>1453</v>
      </c>
      <c r="J23" s="24">
        <f ca="1">ROUND(J13*M23,1)</f>
        <v>0</v>
      </c>
      <c r="K23" s="1784" t="s">
        <v>1454</v>
      </c>
      <c r="L23" s="347" t="s">
        <v>1455</v>
      </c>
      <c r="M23" s="376">
        <f ca="1">INDIRECT("'数据-取费表'!Al"&amp;$G$1)</f>
        <v>3.0000000000000001E-3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40"/>
      <c r="H24" s="1326" t="s">
        <v>1392</v>
      </c>
      <c r="I24" s="1327" t="s">
        <v>1439</v>
      </c>
      <c r="J24" s="1328">
        <f ca="1">ROUND(J5*M24,1)</f>
        <v>0</v>
      </c>
      <c r="K24" s="1329" t="s">
        <v>1459</v>
      </c>
      <c r="L24" s="1327" t="s">
        <v>1455</v>
      </c>
      <c r="M24" s="1323">
        <f ca="1">INDIRECT("'数据-取费表'!Am"&amp;$G$1)</f>
        <v>0.03</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6" t="s">
        <v>1460</v>
      </c>
      <c r="B25" s="347" t="s">
        <v>1461</v>
      </c>
      <c r="C25" s="24"/>
      <c r="D25" s="140" t="s">
        <v>1462</v>
      </c>
      <c r="E25" s="1804"/>
      <c r="F25" s="26"/>
      <c r="G25" s="1837"/>
      <c r="H25" s="1316" t="s">
        <v>1031</v>
      </c>
      <c r="I25" s="1331" t="s">
        <v>1463</v>
      </c>
      <c r="J25" s="355">
        <f ca="1">J5-J16</f>
        <v>-43</v>
      </c>
      <c r="K25" s="1332" t="s">
        <v>1464</v>
      </c>
      <c r="L25" s="1333"/>
      <c r="M25" s="1334"/>
    </row>
    <row r="26" spans="1:37">
      <c r="A26" s="1196" t="s">
        <v>1034</v>
      </c>
      <c r="B26" s="347" t="s">
        <v>1465</v>
      </c>
      <c r="C26" s="24">
        <f ca="1">ROUND((C19+C20)*F26,0)</f>
        <v>257</v>
      </c>
      <c r="D26" s="369" t="s">
        <v>1466</v>
      </c>
      <c r="E26" s="358" t="s">
        <v>1467</v>
      </c>
      <c r="F26" s="357">
        <f ca="1">INDIRECT("'数据-取费表'!q"&amp;$G$1)</f>
        <v>0.3</v>
      </c>
      <c r="G26" s="1837"/>
      <c r="H26" s="344" t="s">
        <v>1032</v>
      </c>
      <c r="I26" s="345" t="s">
        <v>1468</v>
      </c>
      <c r="J26" s="346">
        <f ca="1">IF(J5&lt;&gt;0,ROUND(J25*(1-((1+M28)/(1+M26))^M27)/(M26-M28),0),0)</f>
        <v>0</v>
      </c>
      <c r="K26" s="370" t="s">
        <v>1469</v>
      </c>
      <c r="L26" s="347" t="s">
        <v>1470</v>
      </c>
      <c r="M26" s="357">
        <f ca="1">INDIRECT("'数据-取费表'!I"&amp;$G$1)</f>
        <v>5.5E-2</v>
      </c>
    </row>
    <row r="27" spans="1:37" ht="18" customHeight="1">
      <c r="A27" s="1196" t="s">
        <v>1036</v>
      </c>
      <c r="B27" s="347" t="s">
        <v>1471</v>
      </c>
      <c r="C27" s="24">
        <f ca="1">ROUND(F21*F26,4)</f>
        <v>8.9999999999999993E-3</v>
      </c>
      <c r="D27" s="369" t="s">
        <v>1472</v>
      </c>
      <c r="E27" s="365"/>
      <c r="F27" s="366"/>
      <c r="G27" s="1837"/>
      <c r="H27" s="349"/>
      <c r="I27" s="350"/>
      <c r="J27" s="351"/>
      <c r="K27" s="378" t="s">
        <v>1473</v>
      </c>
      <c r="L27" s="347" t="s">
        <v>1474</v>
      </c>
      <c r="M27" s="379">
        <f ca="1">INDIRECT("'数据-取费表'!ag"&amp;$G$1)</f>
        <v>0</v>
      </c>
    </row>
    <row r="28" spans="1:37" s="1844" customFormat="1" ht="18" customHeight="1">
      <c r="A28" s="1196" t="s">
        <v>1037</v>
      </c>
      <c r="B28" s="347" t="s">
        <v>1475</v>
      </c>
      <c r="C28" s="24">
        <f>ROUND(F28/(1+'数据-取费表'!C42),4)</f>
        <v>5.33E-2</v>
      </c>
      <c r="D28" s="369" t="s">
        <v>1476</v>
      </c>
      <c r="E28" s="347" t="s">
        <v>1422</v>
      </c>
      <c r="F28" s="367">
        <f>'数据-取费表'!B41</f>
        <v>5.6000000000000001E-2</v>
      </c>
      <c r="G28" s="1840"/>
      <c r="H28" s="353"/>
      <c r="I28" s="354"/>
      <c r="J28" s="355"/>
      <c r="K28" s="373"/>
      <c r="L28" s="347" t="s">
        <v>1477</v>
      </c>
      <c r="M28" s="357">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6" t="s">
        <v>1038</v>
      </c>
      <c r="B29" s="1327" t="s">
        <v>1478</v>
      </c>
      <c r="C29" s="1328">
        <f ca="1">ROUND((C19+C20+C23+C26)/(1-F21-C24-C27-C28),0)</f>
        <v>1285</v>
      </c>
      <c r="D29" s="1329"/>
      <c r="E29" s="1327"/>
      <c r="F29" s="1330"/>
      <c r="G29" s="1840"/>
      <c r="H29" s="380" t="s">
        <v>1033</v>
      </c>
      <c r="I29" s="381" t="s">
        <v>1479</v>
      </c>
      <c r="J29" s="382">
        <f ca="1">ROUND(J26/(1+F40)^F41,0)</f>
        <v>0</v>
      </c>
      <c r="K29" s="383" t="s">
        <v>1480</v>
      </c>
      <c r="L29" s="384"/>
      <c r="M29" s="385">
        <f ca="1">INDIRECT("'数据-取费表'!k"&amp;$G$1)</f>
        <v>1595.68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6" t="s">
        <v>1030</v>
      </c>
      <c r="B30" s="1317" t="s">
        <v>1424</v>
      </c>
      <c r="C30" s="355">
        <f ca="1">ROUND(C31+C36+C37+C38,0)</f>
        <v>94</v>
      </c>
      <c r="D30" s="1324" t="s">
        <v>1425</v>
      </c>
      <c r="E30" s="1325"/>
      <c r="F30" s="1281"/>
      <c r="G30" s="1837"/>
      <c r="H30" s="744"/>
      <c r="I30" s="745"/>
      <c r="J30" s="746"/>
      <c r="K30" s="747"/>
      <c r="L30" s="748"/>
      <c r="M30" s="749"/>
    </row>
    <row r="31" spans="1:37" ht="18" customHeight="1">
      <c r="A31" s="1196" t="s">
        <v>1035</v>
      </c>
      <c r="B31" s="347" t="s">
        <v>1429</v>
      </c>
      <c r="C31" s="24">
        <f ca="1">ROUND(IF(项目基本情况!B11="自然人",C5*F31,C32+C33+C34),1)</f>
        <v>41.3</v>
      </c>
      <c r="D31" s="1786" t="s">
        <v>1430</v>
      </c>
      <c r="E31" s="1784" t="s">
        <v>1481</v>
      </c>
      <c r="F31" s="368" t="str">
        <f ca="1">IF(项目基本情况!B11="企业","",IF(INDIRECT("'数据-取费表'!c"&amp;$G$1)="住宅",5%,IF(F6*F7*F8/12/(1+'数据-取费表'!C42)&gt;20000,12%,7%)))</f>
        <v/>
      </c>
      <c r="G31" s="1837"/>
      <c r="H31" s="744"/>
      <c r="I31" s="745"/>
      <c r="J31" s="746"/>
      <c r="K31" s="747"/>
      <c r="L31" s="748"/>
      <c r="M31" s="749"/>
    </row>
    <row r="32" spans="1:37" ht="18" customHeight="1">
      <c r="A32" s="1196" t="s">
        <v>1034</v>
      </c>
      <c r="B32" s="347" t="s">
        <v>1433</v>
      </c>
      <c r="C32" s="24">
        <f ca="1">IF(项目基本情况!B11="自然人","——",ROUND(C5*F32/(1+'数据-取费表'!C42),2))</f>
        <v>30.29</v>
      </c>
      <c r="D32" s="1784" t="s">
        <v>1434</v>
      </c>
      <c r="E32" s="347" t="s">
        <v>1422</v>
      </c>
      <c r="F32" s="377">
        <f>'数据-取费表'!B41</f>
        <v>5.6000000000000001E-2</v>
      </c>
      <c r="G32" s="1837"/>
      <c r="H32" s="744"/>
      <c r="I32" s="745"/>
      <c r="J32" s="746"/>
      <c r="K32" s="747"/>
      <c r="L32" s="748"/>
      <c r="M32" s="749"/>
    </row>
    <row r="33" spans="1:18" ht="18" customHeight="1">
      <c r="A33" s="1196" t="s">
        <v>1036</v>
      </c>
      <c r="B33" s="347" t="s">
        <v>1437</v>
      </c>
      <c r="C33" s="24">
        <f ca="1">IF(项目基本情况!B11="自然人","——",IF(D33="按租金收入计税",ROUND(C5*F33,2),IF(D33="按房产原值计税",ROUND(C29*F33*0.7,2),INDIRECT("'数据-取费表'!Aj"&amp;$G$1))))</f>
        <v>10.79</v>
      </c>
      <c r="D33" s="1814" t="s">
        <v>1438</v>
      </c>
      <c r="E33" s="347" t="s">
        <v>1422</v>
      </c>
      <c r="F33" s="367">
        <f>IF(D33="按票据","——",IF(D33="按租金收入计税",'数据-取费表'!B51,'数据-取费表'!B50))</f>
        <v>1.2E-2</v>
      </c>
      <c r="G33" s="1837"/>
      <c r="H33" s="1845"/>
      <c r="I33" s="1846"/>
      <c r="J33" s="1847"/>
      <c r="K33" s="1848"/>
      <c r="L33" s="1845"/>
      <c r="M33" s="1845"/>
    </row>
    <row r="34" spans="1:18" ht="18" customHeight="1">
      <c r="A34" s="1278" t="s">
        <v>1388</v>
      </c>
      <c r="B34" s="164" t="s">
        <v>1441</v>
      </c>
      <c r="C34" s="25">
        <f ca="1">IF(项目基本情况!B11="自然人","——",ROUND(F34*F35/10000,2))</f>
        <v>0.19</v>
      </c>
      <c r="D34" s="370" t="s">
        <v>1442</v>
      </c>
      <c r="E34" s="347" t="s">
        <v>1443</v>
      </c>
      <c r="F34" s="371">
        <f>'数据-取费表'!B52</f>
        <v>12</v>
      </c>
      <c r="G34" s="1837"/>
      <c r="H34" s="744"/>
      <c r="I34" s="1846"/>
      <c r="J34" s="1847"/>
      <c r="K34" s="1849"/>
      <c r="L34" s="1850"/>
      <c r="M34" s="1850"/>
    </row>
    <row r="35" spans="1:18" ht="18" customHeight="1">
      <c r="A35" s="1340"/>
      <c r="B35" s="1338"/>
      <c r="C35" s="29"/>
      <c r="D35" s="373"/>
      <c r="E35" s="347" t="s">
        <v>1447</v>
      </c>
      <c r="F35" s="348">
        <f ca="1">INDIRECT("'数据-取费表'!r"&amp;$G$1)</f>
        <v>160.91999999999999</v>
      </c>
      <c r="G35" s="1837"/>
      <c r="H35" s="744"/>
      <c r="I35" s="1846"/>
      <c r="J35" s="1847"/>
      <c r="K35" s="1848"/>
      <c r="L35" s="1845"/>
      <c r="M35" s="1845"/>
    </row>
    <row r="36" spans="1:18" ht="18" customHeight="1">
      <c r="A36" s="1339" t="s">
        <v>1039</v>
      </c>
      <c r="B36" s="347" t="s">
        <v>1449</v>
      </c>
      <c r="C36" s="24">
        <f ca="1">ROUND(C29*F36,1)</f>
        <v>32.1</v>
      </c>
      <c r="D36" s="1784" t="s">
        <v>1482</v>
      </c>
      <c r="E36" s="347" t="s">
        <v>1422</v>
      </c>
      <c r="F36" s="374">
        <f ca="1">INDIRECT("'数据-取费表'!Ak"&amp;$G$1)</f>
        <v>2.5000000000000001E-2</v>
      </c>
      <c r="G36" s="1837"/>
      <c r="H36" s="1845"/>
      <c r="I36" s="1846"/>
      <c r="J36" s="1847"/>
      <c r="K36" s="750"/>
      <c r="L36" s="1845"/>
      <c r="M36" s="1845"/>
    </row>
    <row r="37" spans="1:18" ht="18" customHeight="1">
      <c r="A37" s="1196" t="s">
        <v>1075</v>
      </c>
      <c r="B37" s="347" t="s">
        <v>1453</v>
      </c>
      <c r="C37" s="24">
        <f ca="1">ROUND(C13*F37,1)</f>
        <v>3.4</v>
      </c>
      <c r="D37" s="1784" t="s">
        <v>1454</v>
      </c>
      <c r="E37" s="347" t="s">
        <v>1455</v>
      </c>
      <c r="F37" s="376">
        <f ca="1">INDIRECT("'数据-取费表'!Al"&amp;$G$1)</f>
        <v>3.0000000000000001E-3</v>
      </c>
      <c r="G37" s="1837"/>
      <c r="H37" s="1845"/>
      <c r="I37" s="1846"/>
      <c r="J37" s="1847"/>
      <c r="K37" s="750"/>
      <c r="L37" s="1845"/>
      <c r="M37" s="1845"/>
    </row>
    <row r="38" spans="1:18" ht="18" customHeight="1" thickBot="1">
      <c r="A38" s="1326" t="s">
        <v>1392</v>
      </c>
      <c r="B38" s="1327" t="s">
        <v>1439</v>
      </c>
      <c r="C38" s="1328">
        <f ca="1">ROUND(C5*F38,1)</f>
        <v>17</v>
      </c>
      <c r="D38" s="1329" t="s">
        <v>1459</v>
      </c>
      <c r="E38" s="1327" t="s">
        <v>1455</v>
      </c>
      <c r="F38" s="1323">
        <f ca="1">INDIRECT("'数据-取费表'!Am"&amp;$G$1)</f>
        <v>0.03</v>
      </c>
      <c r="G38" s="1837"/>
      <c r="H38" s="1845"/>
      <c r="I38" s="1846"/>
      <c r="J38" s="1847"/>
      <c r="K38" s="1851"/>
      <c r="L38" s="1845"/>
      <c r="M38" s="1845"/>
    </row>
    <row r="39" spans="1:18" ht="24.6" customHeight="1" thickTop="1">
      <c r="A39" s="1316" t="s">
        <v>1031</v>
      </c>
      <c r="B39" s="1331" t="s">
        <v>1483</v>
      </c>
      <c r="C39" s="355">
        <f ca="1">C5-C30</f>
        <v>474</v>
      </c>
      <c r="D39" s="1332" t="s">
        <v>1484</v>
      </c>
      <c r="E39" s="1333"/>
      <c r="F39" s="1334"/>
      <c r="G39" s="1837"/>
      <c r="H39" s="1845"/>
      <c r="I39" s="1846"/>
      <c r="J39" s="1847"/>
      <c r="K39" s="1851"/>
      <c r="L39" s="1845"/>
      <c r="M39" s="1845"/>
    </row>
    <row r="40" spans="1:18" ht="18" customHeight="1">
      <c r="A40" s="344" t="s">
        <v>1032</v>
      </c>
      <c r="B40" s="345" t="s">
        <v>1485</v>
      </c>
      <c r="C40" s="346">
        <f ca="1">ROUND(C39*(1-((1+F42)/(1+F40))^F41)/(F40-F42),0)</f>
        <v>7881</v>
      </c>
      <c r="D40" s="370" t="s">
        <v>1469</v>
      </c>
      <c r="E40" s="347" t="s">
        <v>1470</v>
      </c>
      <c r="F40" s="357">
        <f ca="1">INDIRECT("'数据-取费表'!I"&amp;$G$1)</f>
        <v>5.5E-2</v>
      </c>
      <c r="G40" s="1837"/>
      <c r="H40" s="1825"/>
      <c r="I40" s="1846"/>
      <c r="J40" s="1847"/>
      <c r="K40" s="1851"/>
      <c r="L40" s="1825"/>
      <c r="M40" s="1825"/>
    </row>
    <row r="41" spans="1:18" ht="18" customHeight="1">
      <c r="A41" s="349"/>
      <c r="B41" s="350"/>
      <c r="C41" s="351"/>
      <c r="D41" s="378" t="s">
        <v>1486</v>
      </c>
      <c r="E41" s="347" t="s">
        <v>1474</v>
      </c>
      <c r="F41" s="379">
        <f ca="1">IF(INDIRECT("'数据-取费表'!af"&amp;$G$1)=0,INDIRECT("'数据-取费表'!ae"&amp;$G$1),INDIRECT("'数据-取费表'!af"&amp;$G$1))</f>
        <v>25.85</v>
      </c>
      <c r="G41" s="1837"/>
      <c r="H41" s="731"/>
      <c r="I41" s="1846"/>
      <c r="J41" s="1847"/>
      <c r="K41" s="750"/>
      <c r="L41" s="731"/>
      <c r="M41" s="731"/>
    </row>
    <row r="42" spans="1:18" ht="18" customHeight="1">
      <c r="A42" s="353"/>
      <c r="B42" s="354"/>
      <c r="C42" s="355"/>
      <c r="D42" s="373"/>
      <c r="E42" s="347" t="s">
        <v>1477</v>
      </c>
      <c r="F42" s="357">
        <f ca="1">INDIRECT("'数据-取费表'!v"&amp;$G$1)</f>
        <v>0.02</v>
      </c>
      <c r="G42" s="1837"/>
      <c r="H42" s="731"/>
      <c r="I42" s="1846"/>
      <c r="J42" s="1847"/>
      <c r="K42" s="750"/>
      <c r="L42" s="731"/>
      <c r="M42" s="731"/>
    </row>
    <row r="43" spans="1:18" ht="18" customHeight="1" thickBot="1">
      <c r="A43" s="380" t="s">
        <v>1033</v>
      </c>
      <c r="B43" s="381" t="s">
        <v>1487</v>
      </c>
      <c r="C43" s="382">
        <f ca="1">ROUND(C40*10000/F43,0)</f>
        <v>49390</v>
      </c>
      <c r="D43" s="383" t="s">
        <v>1488</v>
      </c>
      <c r="E43" s="384" t="s">
        <v>1489</v>
      </c>
      <c r="F43" s="385">
        <f ca="1">INDIRECT("'数据-取费表'!k"&amp;$G$1)</f>
        <v>1595.68</v>
      </c>
      <c r="G43" s="1837"/>
      <c r="H43" s="731"/>
      <c r="I43" s="731"/>
      <c r="J43" s="731"/>
      <c r="K43" s="750"/>
      <c r="L43" s="731"/>
      <c r="M43" s="731"/>
    </row>
    <row r="44" spans="1:18" s="1828" customFormat="1" ht="18" hidden="1" customHeight="1">
      <c r="A44" s="1852"/>
      <c r="B44" s="1852"/>
      <c r="C44" s="1853"/>
      <c r="D44" s="1852"/>
      <c r="E44" s="1852"/>
      <c r="F44" s="1852"/>
      <c r="K44" s="1854"/>
    </row>
    <row r="45" spans="1:18" s="1828" customFormat="1" ht="18" hidden="1" customHeight="1" thickBot="1">
      <c r="A45" s="1852"/>
      <c r="B45" s="1852"/>
      <c r="C45" s="1853"/>
      <c r="D45" s="1852"/>
      <c r="E45" s="1852"/>
      <c r="F45" s="1852"/>
      <c r="J45" s="795"/>
      <c r="O45" s="1855" t="s">
        <v>1519</v>
      </c>
      <c r="P45" s="1825"/>
      <c r="Q45" s="1825"/>
      <c r="R45" s="1825"/>
    </row>
    <row r="46" spans="1:18" s="1828" customFormat="1" ht="13.5" thickBot="1">
      <c r="A46" s="1856" t="s">
        <v>1520</v>
      </c>
      <c r="C46" s="1857">
        <f ca="1">C68-C40</f>
        <v>-8521</v>
      </c>
      <c r="D46" s="1858" t="str">
        <f>C2</f>
        <v>万元</v>
      </c>
      <c r="E46" s="1852"/>
      <c r="F46" s="1852"/>
      <c r="I46" s="1859" t="s">
        <v>1521</v>
      </c>
      <c r="J46" s="1860"/>
      <c r="K46" s="1861"/>
      <c r="L46" s="1862">
        <f ca="1">IF(M47="住宅",0,IF(L48&gt;J51,L60,J60))</f>
        <v>55</v>
      </c>
      <c r="O46" s="1863" t="s">
        <v>1522</v>
      </c>
      <c r="P46" s="1864" t="s">
        <v>1523</v>
      </c>
      <c r="Q46" s="1865" t="s">
        <v>1524</v>
      </c>
      <c r="R46" s="1865" t="s">
        <v>1525</v>
      </c>
    </row>
    <row r="47" spans="1:18" s="1828" customFormat="1" ht="13.5" thickBot="1">
      <c r="A47" s="1160" t="s">
        <v>1395</v>
      </c>
      <c r="B47" s="1192" t="s">
        <v>1396</v>
      </c>
      <c r="C47" s="1354" t="s">
        <v>1397</v>
      </c>
      <c r="D47" s="1192" t="s">
        <v>1398</v>
      </c>
      <c r="E47" s="1266" t="s">
        <v>1399</v>
      </c>
      <c r="F47" s="1267"/>
      <c r="G47" s="791"/>
      <c r="I47" s="1866" t="s">
        <v>1526</v>
      </c>
      <c r="J47" s="3008" t="s">
        <v>3604</v>
      </c>
      <c r="K47" s="1868" t="s">
        <v>1527</v>
      </c>
      <c r="L47" s="1869">
        <f ca="1">INDIRECT("'数据-取费表'!d"&amp;$G$1)</f>
        <v>40</v>
      </c>
      <c r="M47" s="1824" t="str">
        <f>IF(ISNUMBER(FIND("住宅",C1)),"住宅","非住宅")</f>
        <v>非住宅</v>
      </c>
      <c r="O47" s="1870" t="s">
        <v>1040</v>
      </c>
      <c r="P47" s="1871" t="s">
        <v>1528</v>
      </c>
      <c r="Q47" s="1872">
        <f ca="1">C40+J29</f>
        <v>7881</v>
      </c>
      <c r="R47" s="1872" t="s">
        <v>1529</v>
      </c>
    </row>
    <row r="48" spans="1:18" s="1828" customFormat="1" ht="28.5" thickBot="1">
      <c r="A48" s="1347" t="s">
        <v>1135</v>
      </c>
      <c r="B48" s="345" t="s">
        <v>1400</v>
      </c>
      <c r="C48" s="1803">
        <f ca="1">C49+C53+C55</f>
        <v>0</v>
      </c>
      <c r="D48" s="1349"/>
      <c r="E48" s="1350"/>
      <c r="F48" s="1176"/>
      <c r="G48" s="791"/>
      <c r="H48" s="792"/>
      <c r="I48" s="1873" t="s">
        <v>1530</v>
      </c>
      <c r="J48" s="1874" t="s">
        <v>3594</v>
      </c>
      <c r="K48" s="1875" t="s">
        <v>1531</v>
      </c>
      <c r="L48" s="1876">
        <f ca="1">INDIRECT("'数据-取费表'!f"&amp;$G$1)</f>
        <v>25.85</v>
      </c>
      <c r="O48" s="1870" t="s">
        <v>1041</v>
      </c>
      <c r="P48" s="1871" t="s">
        <v>1532</v>
      </c>
      <c r="Q48" s="1872">
        <f ca="1">J60</f>
        <v>55</v>
      </c>
      <c r="R48" s="1872" t="s">
        <v>1533</v>
      </c>
    </row>
    <row r="49" spans="1:18" s="1828" customFormat="1" ht="13.5" thickBot="1">
      <c r="A49" s="1189" t="s">
        <v>1136</v>
      </c>
      <c r="B49" s="1815" t="s">
        <v>1490</v>
      </c>
      <c r="C49" s="1351">
        <f ca="1">ROUND(F49*F51*F50*(1-F52)/10000,0)</f>
        <v>0</v>
      </c>
      <c r="D49" s="1263" t="s">
        <v>2940</v>
      </c>
      <c r="E49" s="1816" t="s">
        <v>1491</v>
      </c>
      <c r="F49" s="1268"/>
      <c r="G49" s="1877"/>
      <c r="H49" s="792"/>
      <c r="I49" s="1873" t="s">
        <v>1534</v>
      </c>
      <c r="J49" s="1878">
        <v>2006</v>
      </c>
      <c r="K49" s="1875" t="s">
        <v>1535</v>
      </c>
      <c r="L49" s="1879"/>
      <c r="O49" s="1880" t="s">
        <v>1042</v>
      </c>
      <c r="P49" s="1871" t="s">
        <v>1536</v>
      </c>
      <c r="Q49" s="1872">
        <f ca="1">C29</f>
        <v>1285</v>
      </c>
      <c r="R49" s="1872" t="s">
        <v>1529</v>
      </c>
    </row>
    <row r="50" spans="1:18" s="1828" customFormat="1" ht="13.5" thickBot="1">
      <c r="A50" s="1190"/>
      <c r="B50" s="1193"/>
      <c r="C50" s="1355"/>
      <c r="D50" s="1167"/>
      <c r="E50" s="1264" t="s">
        <v>1405</v>
      </c>
      <c r="F50" s="1265">
        <f ca="1">F7</f>
        <v>1595.68</v>
      </c>
      <c r="H50" s="792"/>
      <c r="I50" s="1873" t="s">
        <v>1537</v>
      </c>
      <c r="J50" s="1881">
        <f>SUMPRODUCT((I63:I65=J47)*(J62:L62=J48)*(J63:L65))</f>
        <v>60</v>
      </c>
      <c r="K50" s="1875" t="s">
        <v>1538</v>
      </c>
      <c r="L50" s="1879"/>
      <c r="M50" s="1882"/>
      <c r="O50" s="1880" t="s">
        <v>1043</v>
      </c>
      <c r="P50" s="1871" t="s">
        <v>1539</v>
      </c>
      <c r="Q50" s="1883">
        <f ca="1">J58</f>
        <v>0.4</v>
      </c>
      <c r="R50" s="1872"/>
    </row>
    <row r="51" spans="1:18" s="1828" customFormat="1" ht="13.5" thickBot="1">
      <c r="A51" s="1191"/>
      <c r="B51" s="1193"/>
      <c r="C51" s="1194"/>
      <c r="D51" s="1167"/>
      <c r="E51" s="1195" t="s">
        <v>1406</v>
      </c>
      <c r="F51" s="348">
        <f ca="1">F8</f>
        <v>365</v>
      </c>
      <c r="I51" s="1884" t="s">
        <v>1540</v>
      </c>
      <c r="J51" s="1885">
        <f>IF(J49="",J50,J49+J50-YEAR('数据-取费表'!B2))</f>
        <v>48</v>
      </c>
      <c r="K51" s="1886" t="s">
        <v>1541</v>
      </c>
      <c r="L51" s="1887">
        <f ca="1">ROUND(-PV(INDIRECT("'数据-取费表'!h"&amp;$G$1),L48,(C39-C13*C76),0),0)</f>
        <v>5706</v>
      </c>
      <c r="M51" s="1888"/>
      <c r="O51" s="1880" t="s">
        <v>1044</v>
      </c>
      <c r="P51" s="1871" t="s">
        <v>1542</v>
      </c>
      <c r="Q51" s="1883">
        <f>J52</f>
        <v>0.09</v>
      </c>
      <c r="R51" s="1872"/>
    </row>
    <row r="52" spans="1:18" s="1828" customFormat="1" ht="13.5" thickBot="1">
      <c r="A52" s="1191"/>
      <c r="B52" s="1193"/>
      <c r="C52" s="1194"/>
      <c r="D52" s="1167"/>
      <c r="E52" s="1195" t="s">
        <v>1407</v>
      </c>
      <c r="F52" s="1262"/>
      <c r="I52" s="1889" t="s">
        <v>1543</v>
      </c>
      <c r="J52" s="1890">
        <v>0.09</v>
      </c>
      <c r="K52" s="1889" t="s">
        <v>1544</v>
      </c>
      <c r="L52" s="1890"/>
      <c r="O52" s="1880" t="s">
        <v>1045</v>
      </c>
      <c r="P52" s="1871" t="s">
        <v>1545</v>
      </c>
      <c r="Q52" s="1872">
        <f ca="1">J53</f>
        <v>25.85</v>
      </c>
      <c r="R52" s="1872" t="s">
        <v>1546</v>
      </c>
    </row>
    <row r="53" spans="1:18" s="1828" customFormat="1" ht="24.75" thickBot="1">
      <c r="A53" s="1392" t="s">
        <v>1137</v>
      </c>
      <c r="B53" s="1817" t="s">
        <v>1408</v>
      </c>
      <c r="C53" s="361">
        <f ca="1">ROUND(IF(F53="押一",F49*F51*F50/12*F11,IF(F53="押二",F49*F51*F50/12*2*F11,IF(F53="押三",F49*F51*F50/12*3*F11,C54*F11)))/10000,0)</f>
        <v>0</v>
      </c>
      <c r="D53" s="1810" t="s">
        <v>2938</v>
      </c>
      <c r="E53" s="358" t="s">
        <v>1410</v>
      </c>
      <c r="F53" s="1353"/>
      <c r="I53" s="1891" t="s">
        <v>1547</v>
      </c>
      <c r="J53" s="1892">
        <f ca="1">IF(M47="住宅",J51,IF(D1="——",MIN(J51,L48),IF(D1="在建（套用方法）",MIN(J51,L48-'数据-取费表'!B24),IF(D1="土地（套用方法）",MIN(J51,L48-'数据-取费表'!B20)))))</f>
        <v>25.85</v>
      </c>
      <c r="K53" s="3314" t="s">
        <v>1548</v>
      </c>
      <c r="L53" s="3315"/>
      <c r="O53" s="1870" t="s">
        <v>1046</v>
      </c>
      <c r="P53" s="1871" t="s">
        <v>1549</v>
      </c>
      <c r="Q53" s="1872">
        <f ca="1">Q47+Q48</f>
        <v>7936</v>
      </c>
      <c r="R53" s="1872" t="s">
        <v>1047</v>
      </c>
    </row>
    <row r="54" spans="1:18" s="1828" customFormat="1" ht="13.5" thickBot="1">
      <c r="A54" s="1393"/>
      <c r="B54" s="1811" t="s">
        <v>1387</v>
      </c>
      <c r="C54" s="1173"/>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1550</v>
      </c>
      <c r="P54" s="1825"/>
      <c r="Q54" s="1825"/>
      <c r="R54" s="1825"/>
    </row>
    <row r="55" spans="1:18" s="1828" customFormat="1" ht="13.5" thickBot="1">
      <c r="A55" s="1320" t="s">
        <v>1075</v>
      </c>
      <c r="B55" s="1813" t="s">
        <v>1413</v>
      </c>
      <c r="C55" s="1321"/>
      <c r="D55" s="1810"/>
      <c r="E55" s="1818"/>
      <c r="F55" s="1893"/>
      <c r="I55" s="1896" t="s">
        <v>1551</v>
      </c>
      <c r="J55" s="1897">
        <f ca="1">ROUND(IF(J47="钢混",J57/J50,1-(1-2%)*(J50-J57)/J50),3)</f>
        <v>0.36899999999999999</v>
      </c>
      <c r="K55" s="1898" t="s">
        <v>1552</v>
      </c>
      <c r="L55" s="1899" t="s">
        <v>1553</v>
      </c>
      <c r="O55" s="1863" t="s">
        <v>1522</v>
      </c>
      <c r="P55" s="1864" t="s">
        <v>1523</v>
      </c>
      <c r="Q55" s="1865" t="s">
        <v>1524</v>
      </c>
      <c r="R55" s="1865" t="s">
        <v>1525</v>
      </c>
    </row>
    <row r="56" spans="1:18" s="1828" customFormat="1" ht="25.5" thickTop="1" thickBot="1">
      <c r="A56" s="1171">
        <v>2</v>
      </c>
      <c r="B56" s="1172" t="s">
        <v>1414</v>
      </c>
      <c r="C56" s="276">
        <f ca="1">C13</f>
        <v>1131</v>
      </c>
      <c r="D56" s="1900"/>
      <c r="E56" s="1901"/>
      <c r="F56" s="1893"/>
      <c r="I56" s="1902" t="s">
        <v>1554</v>
      </c>
      <c r="J56" s="1903"/>
      <c r="K56" s="1873" t="s">
        <v>1555</v>
      </c>
      <c r="L56" s="1876" t="str">
        <f ca="1">IF(L48&lt;J51,"——",L48-J53)</f>
        <v>——</v>
      </c>
      <c r="O56" s="1870" t="s">
        <v>1040</v>
      </c>
      <c r="P56" s="1871" t="s">
        <v>1528</v>
      </c>
      <c r="Q56" s="1872">
        <f ca="1">C40+J29</f>
        <v>7881</v>
      </c>
      <c r="R56" s="1872" t="s">
        <v>1529</v>
      </c>
    </row>
    <row r="57" spans="1:18" s="1828" customFormat="1" ht="24.75" thickBot="1">
      <c r="A57" s="1904"/>
      <c r="B57" s="1164" t="s">
        <v>1478</v>
      </c>
      <c r="C57" s="282">
        <f ca="1">C29</f>
        <v>1285</v>
      </c>
      <c r="D57" s="1905"/>
      <c r="E57" s="1906"/>
      <c r="F57" s="1907"/>
      <c r="I57" s="1908" t="s">
        <v>1556</v>
      </c>
      <c r="J57" s="1909">
        <f ca="1">IF(OR(M47="住宅",J51&lt;L48,J56="是"),"——",J51-L48)</f>
        <v>22.15</v>
      </c>
      <c r="K57" s="1873" t="s">
        <v>1557</v>
      </c>
      <c r="L57" s="1876" t="str">
        <f ca="1">IF(L48&lt;J51,"——",IF(L55="比较法",L49,IF(L55="基准地价",L50,L51)))</f>
        <v>——</v>
      </c>
      <c r="O57" s="1870" t="s">
        <v>1041</v>
      </c>
      <c r="P57" s="1871" t="s">
        <v>1558</v>
      </c>
      <c r="Q57" s="1872">
        <f ca="1">L60</f>
        <v>0</v>
      </c>
      <c r="R57" s="1872" t="s">
        <v>1559</v>
      </c>
    </row>
    <row r="58" spans="1:18" s="1828" customFormat="1" ht="24.75" thickBot="1">
      <c r="A58" s="360" t="s">
        <v>1030</v>
      </c>
      <c r="B58" s="1172" t="s">
        <v>1424</v>
      </c>
      <c r="C58" s="361">
        <f ca="1">ROUND(C59+C64+C65+C66,0)</f>
        <v>47</v>
      </c>
      <c r="D58" s="1174" t="s">
        <v>1425</v>
      </c>
      <c r="E58" s="1175"/>
      <c r="F58" s="1176"/>
      <c r="I58" s="1908" t="s">
        <v>1560</v>
      </c>
      <c r="J58" s="1910">
        <f ca="1">IF(J55&lt;0.4,0.4,J55)</f>
        <v>0.4</v>
      </c>
      <c r="K58" s="1886" t="s">
        <v>1561</v>
      </c>
      <c r="L58" s="1876" t="e">
        <f ca="1">ROUND(POWER(1+L52,L47-L48)*(POWER(1+L52,L48)-1)/(POWER(1+L52,L47)-1),4)</f>
        <v>#DIV/0!</v>
      </c>
      <c r="O58" s="1880" t="s">
        <v>1042</v>
      </c>
      <c r="P58" s="1871" t="s">
        <v>1562</v>
      </c>
      <c r="Q58" s="1872">
        <f>IF(L55="比较法",L49,IF(L55="基准地价",L50,0))</f>
        <v>0</v>
      </c>
      <c r="R58" s="1872" t="s">
        <v>1529</v>
      </c>
    </row>
    <row r="59" spans="1:18" s="1828" customFormat="1" ht="24.75" thickBot="1">
      <c r="A59" s="1196" t="s">
        <v>1035</v>
      </c>
      <c r="B59" s="1164" t="s">
        <v>1429</v>
      </c>
      <c r="C59" s="24">
        <f ca="1">ROUND(IF(项目基本情况!B11="自然人",C48*F59,C60+C61+C62),1)</f>
        <v>11</v>
      </c>
      <c r="D59" s="1177" t="s">
        <v>1430</v>
      </c>
      <c r="E59" s="1178" t="s">
        <v>1431</v>
      </c>
      <c r="F59" s="368" t="str">
        <f ca="1">IF(项目基本情况!B11="企业","",IF(INDIRECT("'数据-取费表'!c"&amp;$G$1)="住宅",5%,IF(F49*F50*F51/12/(1+'数据-取费表'!C42)&gt;20000,12%,7%)))</f>
        <v/>
      </c>
      <c r="I59" s="1908" t="s">
        <v>1563</v>
      </c>
      <c r="J59" s="1909">
        <f ca="1">IF(OR(M47="住宅",J51&lt;L48,J56="是"),"——",ROUND(C29*J58,0))</f>
        <v>514</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1564</v>
      </c>
      <c r="Q59" s="1883">
        <f>L52</f>
        <v>0</v>
      </c>
      <c r="R59" s="1872"/>
    </row>
    <row r="60" spans="1:18" s="1828" customFormat="1" ht="16.5" thickBot="1">
      <c r="A60" s="1196" t="s">
        <v>1034</v>
      </c>
      <c r="B60" s="1164" t="s">
        <v>1433</v>
      </c>
      <c r="C60" s="24">
        <f ca="1">IF(项目基本情况!B11="自然人","——",ROUND(C48*F60/(1+'数据-取费表'!C42),2))</f>
        <v>0</v>
      </c>
      <c r="D60" s="1178" t="s">
        <v>1434</v>
      </c>
      <c r="E60" s="1164" t="s">
        <v>1422</v>
      </c>
      <c r="F60" s="377">
        <f t="shared" ref="F60:F66" si="0">F32</f>
        <v>5.6000000000000001E-2</v>
      </c>
      <c r="I60" s="1911" t="s">
        <v>1565</v>
      </c>
      <c r="J60" s="1912">
        <f ca="1">IF(OR(M47="住宅",J51&lt;L48,J56="是"),"0",ROUND(J59/(1+J52)^J53,0))</f>
        <v>55</v>
      </c>
      <c r="K60" s="1913" t="s">
        <v>1566</v>
      </c>
      <c r="L60" s="1912">
        <f ca="1">IF(OR(M47="住宅",L48&lt;J51),0,ROUND(L57*(L58/L59-1),0))</f>
        <v>0</v>
      </c>
      <c r="O60" s="1880" t="s">
        <v>1044</v>
      </c>
      <c r="P60" s="1871" t="s">
        <v>1567</v>
      </c>
      <c r="Q60" s="1872" t="e">
        <f ca="1">L58</f>
        <v>#DIV/0!</v>
      </c>
      <c r="R60" s="1872" t="s">
        <v>1568</v>
      </c>
    </row>
    <row r="61" spans="1:18" s="1828" customFormat="1" ht="13.5" thickBot="1">
      <c r="A61" s="1196" t="s">
        <v>1492</v>
      </c>
      <c r="B61" s="1164" t="s">
        <v>1493</v>
      </c>
      <c r="C61" s="24">
        <f ca="1">IF(项目基本情况!B11="自然人","——",IF(D61="按租金收入计税",ROUND(C48*F61,2),IF(D61="按房产原值计税",ROUND(C57*F61*0.7,2),INDIRECT("'数据-取费表'!Aj"&amp;$G$1))))</f>
        <v>10.79</v>
      </c>
      <c r="D61" s="1814" t="s">
        <v>1438</v>
      </c>
      <c r="E61" s="1164" t="s">
        <v>1494</v>
      </c>
      <c r="F61" s="367">
        <f t="shared" si="0"/>
        <v>1.2E-2</v>
      </c>
      <c r="I61" s="1914"/>
      <c r="J61" s="1914"/>
      <c r="K61" s="1914"/>
      <c r="L61" s="1914"/>
      <c r="O61" s="1880" t="s">
        <v>1045</v>
      </c>
      <c r="P61" s="1871" t="str">
        <f>K59</f>
        <v>建筑物剩余耐用年限下的土地年期修正系数Kn</v>
      </c>
      <c r="Q61" s="1872" t="e">
        <f ca="1">L59</f>
        <v>#DIV/0!</v>
      </c>
      <c r="R61" s="1872" t="s">
        <v>1569</v>
      </c>
    </row>
    <row r="62" spans="1:18" s="1828" customFormat="1" ht="13.5" thickBot="1">
      <c r="A62" s="1196" t="s">
        <v>1495</v>
      </c>
      <c r="B62" s="1163" t="s">
        <v>1496</v>
      </c>
      <c r="C62" s="25">
        <f ca="1">IF(项目基本情况!B11="自然人","——",ROUND(F62*F63/10000,2))</f>
        <v>0.19</v>
      </c>
      <c r="D62" s="1179" t="s">
        <v>1497</v>
      </c>
      <c r="E62" s="1164" t="s">
        <v>1498</v>
      </c>
      <c r="F62" s="371">
        <f t="shared" si="0"/>
        <v>12</v>
      </c>
      <c r="I62" s="1915" t="s">
        <v>1570</v>
      </c>
      <c r="J62" s="1916" t="s">
        <v>1571</v>
      </c>
      <c r="K62" s="1916" t="s">
        <v>1572</v>
      </c>
      <c r="L62" s="1916" t="s">
        <v>1573</v>
      </c>
      <c r="M62" s="1917" t="s">
        <v>1574</v>
      </c>
      <c r="O62" s="1870" t="s">
        <v>1046</v>
      </c>
      <c r="P62" s="1871" t="s">
        <v>1575</v>
      </c>
      <c r="Q62" s="1872">
        <f ca="1">Q56+Q57</f>
        <v>7881</v>
      </c>
      <c r="R62" s="1872" t="s">
        <v>1047</v>
      </c>
    </row>
    <row r="63" spans="1:18" s="1828" customFormat="1" ht="13.5" thickBot="1">
      <c r="A63" s="372"/>
      <c r="B63" s="1170"/>
      <c r="C63" s="29"/>
      <c r="D63" s="1180"/>
      <c r="E63" s="1164" t="s">
        <v>1499</v>
      </c>
      <c r="F63" s="348">
        <f t="shared" ca="1" si="0"/>
        <v>160.91999999999999</v>
      </c>
      <c r="I63" s="1915" t="s">
        <v>1576</v>
      </c>
      <c r="J63" s="1916">
        <v>70</v>
      </c>
      <c r="K63" s="1916">
        <v>50</v>
      </c>
      <c r="L63" s="1916">
        <v>80</v>
      </c>
      <c r="M63" s="1918">
        <v>0.02</v>
      </c>
      <c r="O63" s="1855" t="s">
        <v>1577</v>
      </c>
      <c r="P63" s="1825"/>
      <c r="Q63" s="1825"/>
      <c r="R63" s="1825"/>
    </row>
    <row r="64" spans="1:18" s="1828" customFormat="1" ht="13.5" thickBot="1">
      <c r="A64" s="1196" t="s">
        <v>1500</v>
      </c>
      <c r="B64" s="1164" t="s">
        <v>1501</v>
      </c>
      <c r="C64" s="24">
        <f ca="1">ROUND(C57*F64,1)</f>
        <v>32.1</v>
      </c>
      <c r="D64" s="1178" t="s">
        <v>1502</v>
      </c>
      <c r="E64" s="1164" t="s">
        <v>1494</v>
      </c>
      <c r="F64" s="374">
        <f t="shared" ca="1" si="0"/>
        <v>2.5000000000000001E-2</v>
      </c>
      <c r="I64" s="1915" t="s">
        <v>1578</v>
      </c>
      <c r="J64" s="1916">
        <v>50</v>
      </c>
      <c r="K64" s="1916">
        <v>35</v>
      </c>
      <c r="L64" s="1916">
        <v>60</v>
      </c>
      <c r="M64" s="1917">
        <v>0</v>
      </c>
      <c r="O64" s="1863" t="s">
        <v>1522</v>
      </c>
      <c r="P64" s="1864" t="s">
        <v>1523</v>
      </c>
      <c r="Q64" s="1865" t="s">
        <v>1524</v>
      </c>
      <c r="R64" s="1865" t="s">
        <v>1525</v>
      </c>
    </row>
    <row r="65" spans="1:18" s="1828" customFormat="1" ht="13.5" thickBot="1">
      <c r="A65" s="1196" t="s">
        <v>1503</v>
      </c>
      <c r="B65" s="1164" t="s">
        <v>1453</v>
      </c>
      <c r="C65" s="24">
        <f ca="1">ROUND(C56*F65,1)</f>
        <v>3.4</v>
      </c>
      <c r="D65" s="1178" t="s">
        <v>1454</v>
      </c>
      <c r="E65" s="1164" t="s">
        <v>1455</v>
      </c>
      <c r="F65" s="376">
        <f t="shared" ca="1" si="0"/>
        <v>3.0000000000000001E-3</v>
      </c>
      <c r="I65" s="1915" t="s">
        <v>1579</v>
      </c>
      <c r="J65" s="1916">
        <v>40</v>
      </c>
      <c r="K65" s="1916">
        <v>30</v>
      </c>
      <c r="L65" s="1916">
        <v>50</v>
      </c>
      <c r="M65" s="1918">
        <v>0.02</v>
      </c>
      <c r="O65" s="1870" t="s">
        <v>1040</v>
      </c>
      <c r="P65" s="1871" t="s">
        <v>1580</v>
      </c>
      <c r="Q65" s="1872">
        <f ca="1">C40+J29</f>
        <v>7881</v>
      </c>
      <c r="R65" s="1872" t="s">
        <v>1529</v>
      </c>
    </row>
    <row r="66" spans="1:18" s="1828" customFormat="1" ht="16.5" thickBot="1">
      <c r="A66" s="1196" t="s">
        <v>1504</v>
      </c>
      <c r="B66" s="1164" t="s">
        <v>1439</v>
      </c>
      <c r="C66" s="24">
        <f ca="1">ROUND(C48*F66,1)</f>
        <v>0</v>
      </c>
      <c r="D66" s="1178" t="s">
        <v>1505</v>
      </c>
      <c r="E66" s="1164" t="s">
        <v>1422</v>
      </c>
      <c r="F66" s="357">
        <f t="shared" ca="1" si="0"/>
        <v>0.03</v>
      </c>
      <c r="O66" s="1870" t="s">
        <v>1041</v>
      </c>
      <c r="P66" s="1871" t="s">
        <v>1558</v>
      </c>
      <c r="Q66" s="1872">
        <f ca="1">L60</f>
        <v>0</v>
      </c>
      <c r="R66" s="1872" t="s">
        <v>1581</v>
      </c>
    </row>
    <row r="67" spans="1:18" s="1828" customFormat="1" ht="16.5" thickBot="1">
      <c r="A67" s="1171" t="s">
        <v>1031</v>
      </c>
      <c r="B67" s="1181" t="s">
        <v>1463</v>
      </c>
      <c r="C67" s="361">
        <f ca="1">C48-C58</f>
        <v>-47</v>
      </c>
      <c r="D67" s="1177" t="s">
        <v>1464</v>
      </c>
      <c r="E67" s="1182"/>
      <c r="F67" s="1183"/>
      <c r="O67" s="1880" t="s">
        <v>1042</v>
      </c>
      <c r="P67" s="1871" t="s">
        <v>1562</v>
      </c>
      <c r="Q67" s="1919">
        <f ca="1">L51</f>
        <v>5706</v>
      </c>
      <c r="R67" s="1872" t="s">
        <v>1582</v>
      </c>
    </row>
    <row r="68" spans="1:18" s="1828" customFormat="1" ht="16.5" thickBot="1">
      <c r="A68" s="1161" t="s">
        <v>1032</v>
      </c>
      <c r="B68" s="1162" t="s">
        <v>1485</v>
      </c>
      <c r="C68" s="346">
        <f ca="1">ROUND(C67*(1-((1+F70)/(1+F68))^F69)/(F68-F70),0)</f>
        <v>-640</v>
      </c>
      <c r="D68" s="1179" t="s">
        <v>1469</v>
      </c>
      <c r="E68" s="1164" t="s">
        <v>1470</v>
      </c>
      <c r="F68" s="357">
        <f ca="1">F40</f>
        <v>5.5E-2</v>
      </c>
      <c r="O68" s="1880" t="s">
        <v>1043</v>
      </c>
      <c r="P68" s="1920" t="s">
        <v>1583</v>
      </c>
      <c r="Q68" s="1872">
        <f ca="1">ROUND(Q69-Q70*Q71,0)</f>
        <v>378</v>
      </c>
      <c r="R68" s="1872" t="s">
        <v>1051</v>
      </c>
    </row>
    <row r="69" spans="1:18" s="1828" customFormat="1" ht="13.5" thickBot="1">
      <c r="A69" s="1165"/>
      <c r="B69" s="1166"/>
      <c r="C69" s="351"/>
      <c r="D69" s="1184" t="s">
        <v>1473</v>
      </c>
      <c r="E69" s="1164" t="s">
        <v>1474</v>
      </c>
      <c r="F69" s="379">
        <f ca="1">F41</f>
        <v>25.85</v>
      </c>
      <c r="O69" s="1880" t="s">
        <v>1048</v>
      </c>
      <c r="P69" s="1920" t="s">
        <v>1584</v>
      </c>
      <c r="Q69" s="1872">
        <f ca="1">C39</f>
        <v>474</v>
      </c>
      <c r="R69" s="1872" t="s">
        <v>1529</v>
      </c>
    </row>
    <row r="70" spans="1:18" s="1828" customFormat="1" ht="13.5" thickBot="1">
      <c r="A70" s="1168"/>
      <c r="B70" s="1169"/>
      <c r="C70" s="355"/>
      <c r="D70" s="1180"/>
      <c r="E70" s="1164" t="s">
        <v>1477</v>
      </c>
      <c r="F70" s="1262"/>
      <c r="O70" s="1880" t="s">
        <v>1049</v>
      </c>
      <c r="P70" s="1920" t="s">
        <v>1585</v>
      </c>
      <c r="Q70" s="1872">
        <f ca="1">C13</f>
        <v>1131</v>
      </c>
      <c r="R70" s="1872" t="s">
        <v>1529</v>
      </c>
    </row>
    <row r="71" spans="1:18" s="1828" customFormat="1" ht="13.5" thickBot="1">
      <c r="A71" s="1185" t="s">
        <v>1033</v>
      </c>
      <c r="B71" s="1186" t="s">
        <v>1487</v>
      </c>
      <c r="C71" s="382">
        <f ca="1">ROUND(C68*10000/F71,0)</f>
        <v>-4011</v>
      </c>
      <c r="D71" s="1187" t="s">
        <v>1488</v>
      </c>
      <c r="E71" s="1188" t="s">
        <v>1489</v>
      </c>
      <c r="F71" s="385">
        <f ca="1">F43</f>
        <v>1595.68</v>
      </c>
      <c r="O71" s="1880" t="s">
        <v>1050</v>
      </c>
      <c r="P71" s="1920" t="s">
        <v>1586</v>
      </c>
      <c r="Q71" s="1883">
        <f ca="1">C76</f>
        <v>8.5000000000000006E-2</v>
      </c>
      <c r="R71" s="1872"/>
    </row>
    <row r="72" spans="1:18" s="1828" customFormat="1" ht="13.5" thickBot="1">
      <c r="B72" s="795"/>
      <c r="C72" s="795"/>
      <c r="O72" s="1880" t="s">
        <v>1044</v>
      </c>
      <c r="P72" s="1871" t="s">
        <v>1564</v>
      </c>
      <c r="Q72" s="1883">
        <f>L52</f>
        <v>0</v>
      </c>
      <c r="R72" s="1872"/>
    </row>
    <row r="73" spans="1:18" ht="16.5" thickBot="1">
      <c r="A73" s="1828"/>
      <c r="B73" s="795"/>
      <c r="C73" s="795"/>
      <c r="D73" s="1828"/>
      <c r="E73" s="1828"/>
      <c r="F73" s="1828"/>
      <c r="O73" s="1880" t="s">
        <v>1045</v>
      </c>
      <c r="P73" s="1871" t="s">
        <v>1567</v>
      </c>
      <c r="Q73" s="1872" t="e">
        <f ca="1">L58</f>
        <v>#DIV/0!</v>
      </c>
      <c r="R73" s="1872" t="s">
        <v>1568</v>
      </c>
    </row>
    <row r="74" spans="1:18" ht="13.5" thickBot="1">
      <c r="A74" s="1828"/>
      <c r="B74" s="317" t="s">
        <v>1587</v>
      </c>
      <c r="C74" s="1922"/>
      <c r="D74" s="1828"/>
      <c r="E74" s="1828"/>
      <c r="F74" s="1828"/>
      <c r="O74" s="1880" t="s">
        <v>1052</v>
      </c>
      <c r="P74" s="1871" t="str">
        <f>K59</f>
        <v>建筑物剩余耐用年限下的土地年期修正系数Kn</v>
      </c>
      <c r="Q74" s="1872" t="e">
        <f ca="1">L59</f>
        <v>#DIV/0!</v>
      </c>
      <c r="R74" s="1872" t="s">
        <v>1569</v>
      </c>
    </row>
    <row r="75" spans="1:18" ht="13.5" thickBot="1">
      <c r="A75" s="1828"/>
      <c r="B75" s="386" t="s">
        <v>1506</v>
      </c>
      <c r="C75" s="387">
        <f ca="1">ROUND(C13*C76,0)</f>
        <v>96</v>
      </c>
      <c r="D75" s="1828"/>
      <c r="E75" s="1828"/>
      <c r="F75" s="1828"/>
      <c r="K75" s="1854"/>
      <c r="L75" s="1828"/>
      <c r="O75" s="1870" t="s">
        <v>1046</v>
      </c>
      <c r="P75" s="1871" t="s">
        <v>1549</v>
      </c>
      <c r="Q75" s="1872">
        <f ca="1">Q65+Q66</f>
        <v>7881</v>
      </c>
      <c r="R75" s="1872" t="s">
        <v>1047</v>
      </c>
    </row>
    <row r="76" spans="1:18">
      <c r="B76" s="388" t="s">
        <v>1507</v>
      </c>
      <c r="C76" s="389">
        <f ca="1">INDIRECT("'数据-取费表'!j"&amp;$G$1)</f>
        <v>8.5000000000000006E-2</v>
      </c>
      <c r="I76" s="1828"/>
      <c r="J76" s="1828"/>
      <c r="K76" s="1854"/>
      <c r="L76" s="1828"/>
    </row>
    <row r="77" spans="1:18">
      <c r="B77" s="390" t="s">
        <v>1508</v>
      </c>
      <c r="C77" s="391"/>
      <c r="I77" s="1828"/>
      <c r="J77" s="1828"/>
      <c r="K77" s="1854"/>
      <c r="L77" s="1828"/>
    </row>
    <row r="78" spans="1:18">
      <c r="B78" s="314" t="s">
        <v>1509</v>
      </c>
      <c r="C78" s="392"/>
    </row>
    <row r="79" spans="1:18">
      <c r="B79" s="386" t="s">
        <v>1510</v>
      </c>
      <c r="C79" s="318">
        <f ca="1">1-C80</f>
        <v>0.79699999999999993</v>
      </c>
    </row>
    <row r="80" spans="1:18">
      <c r="B80" s="386" t="s">
        <v>1511</v>
      </c>
      <c r="C80" s="318">
        <f ca="1">ROUND(C75/C39,3)</f>
        <v>0.20300000000000001</v>
      </c>
    </row>
    <row r="81" spans="2:3">
      <c r="B81" s="314" t="s">
        <v>1512</v>
      </c>
      <c r="C81" s="282"/>
    </row>
    <row r="82" spans="2:3">
      <c r="B82" s="317" t="s">
        <v>1513</v>
      </c>
      <c r="C82" s="319">
        <f ca="1">1-C83</f>
        <v>0.85599999999999998</v>
      </c>
    </row>
    <row r="83" spans="2:3">
      <c r="B83" s="317" t="s">
        <v>1514</v>
      </c>
      <c r="C83" s="318">
        <f ca="1">ROUND(C13/C40,3)</f>
        <v>0.14399999999999999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3" max="11"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1611</v>
      </c>
    </row>
    <row r="2" spans="1:1">
      <c r="A2" s="1932"/>
    </row>
    <row r="3" spans="1:1" ht="18">
      <c r="A3" s="1933" t="str">
        <f>项目基本情况!B5&amp;"："</f>
        <v>福州泰禾锦兴置业有限公司：</v>
      </c>
    </row>
    <row r="4" spans="1:1" ht="36">
      <c r="A4" s="1934" t="str">
        <f>"受贵公司委托，我公司对"&amp;项目基本情况!S1&amp;"进行了预评估。"</f>
        <v>受贵公司委托，我公司对北京市朝阳区东四环中路58号楼配套商业、酒店式公寓用房房地产抵押价值进行了预评估。</v>
      </c>
    </row>
    <row r="5" spans="1:1" ht="18.75">
      <c r="A5" s="1935" t="s">
        <v>1612</v>
      </c>
    </row>
    <row r="6" spans="1:1" ht="18.75">
      <c r="A6" s="1936" t="s">
        <v>1613</v>
      </c>
    </row>
    <row r="7" spans="1:1" ht="72">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中路58号楼配套商业、酒店式公寓用房房地产，为福州泰禾锦兴置业有限公司所有。根据《不动产权证书》[京（2017）朝不动产权第0064885号]等229套，估价对象（分摊）出让国有建设用地使用权面积为2719.43平方米，建筑面积为26965.79平方米。</v>
      </c>
    </row>
    <row r="8" spans="1:1" ht="57.75">
      <c r="A8" s="1937" t="s">
        <v>1614</v>
      </c>
    </row>
    <row r="9" spans="1:1" ht="18.75">
      <c r="A9" s="1936" t="s">
        <v>1615</v>
      </c>
    </row>
    <row r="10" spans="1:1" ht="90">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中路58号楼配套商业、酒店式公寓用房房地产,属福州泰禾锦兴置业有限公司开发建设的综合项目（商业、办公），该项目尚在开发建设中。根据《不动产权证书》[京（2017）朝不动产权第0064885号]等229套，估价对象（分摊）出让国有建设用地使用权面积为2719.43平方米，规划建筑面积为26965.79平方米。</v>
      </c>
    </row>
    <row r="11" spans="1:1" ht="76.5">
      <c r="A11" s="1937" t="s">
        <v>1616</v>
      </c>
    </row>
    <row r="12" spans="1:1" ht="18.75">
      <c r="A12" s="1935" t="s">
        <v>1617</v>
      </c>
    </row>
    <row r="13" spans="1:1" ht="38.25" customHeight="1">
      <c r="A13" s="1938"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39" t="s">
        <v>1618</v>
      </c>
    </row>
    <row r="15" spans="1:1" ht="18">
      <c r="A15" s="1940" t="str">
        <f>TEXT(项目基本情况!D3,"yyyy年m月d日;;")&amp;IF(项目基本情况!D3=项目基本情况!B3,"（评估专业人员实地查勘之日）","")</f>
        <v>2018年3月2日（评估专业人员实地查勘之日）</v>
      </c>
    </row>
    <row r="16" spans="1:1" ht="18.75">
      <c r="A16" s="1939" t="s">
        <v>1619</v>
      </c>
    </row>
    <row r="17" spans="1:1" ht="75">
      <c r="A17" s="1934" t="s">
        <v>1620</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日，估价对象规划用途为配套商业、酒店式公寓，土地取得方式为出让，出让国有建设用地使用权剩余土地使用年限为25.85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酒店式公寓，实际开发程度为宗地红线外“七通”（即通路、通电、通讯、通上水、通下水、、）、红线内场地平整条件下，剩余土地使用年限为25.85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3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9" t="s">
        <v>1609</v>
      </c>
    </row>
    <row r="24" spans="1:1" ht="18">
      <c r="A24" s="1941" t="str">
        <f>"本次评估采用的主估价方法为"&amp;结果表!K4&amp;"和"&amp;结果表!L4&amp;"。"</f>
        <v>本次评估采用的主估价方法为比较法和成本法。</v>
      </c>
    </row>
    <row r="25" spans="1:1" ht="18">
      <c r="A25" s="1941"/>
    </row>
    <row r="26" spans="1:1" ht="18.75">
      <c r="A26" s="1942" t="s">
        <v>1610</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1" customWidth="1"/>
    <col min="12" max="12" width="16.375" style="302" customWidth="1"/>
    <col min="13" max="13" width="13" style="302"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2"/>
  </cols>
  <sheetData>
    <row r="1" spans="1:37" s="337" customFormat="1" ht="21">
      <c r="A1" s="1819" t="s">
        <v>1589</v>
      </c>
      <c r="B1" s="781"/>
      <c r="C1" s="1823"/>
      <c r="D1" s="1806"/>
      <c r="E1" s="1807" t="s">
        <v>1386</v>
      </c>
      <c r="F1" s="1270" t="b">
        <f>J53</f>
        <v>0</v>
      </c>
      <c r="G1" s="1822">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9" t="s">
        <v>1590</v>
      </c>
      <c r="B2" s="1830" t="e">
        <f ca="1">ROUND(D2/10000,0)</f>
        <v>#DIV/0!</v>
      </c>
      <c r="C2" s="1831" t="s">
        <v>1591</v>
      </c>
      <c r="D2" s="1924" t="e">
        <f ca="1">C40+J29+L46</f>
        <v>#DIV/0!</v>
      </c>
      <c r="E2" s="1832" t="s">
        <v>1592</v>
      </c>
      <c r="F2" s="1833"/>
      <c r="G2" s="1834"/>
      <c r="H2" s="1826"/>
      <c r="I2" s="1826"/>
      <c r="J2" s="1826"/>
      <c r="K2" s="1827"/>
      <c r="L2" s="1826"/>
      <c r="M2" s="1826"/>
    </row>
    <row r="3" spans="1:37" ht="18" customHeight="1" thickBot="1">
      <c r="A3" s="1835" t="s">
        <v>1593</v>
      </c>
      <c r="B3" s="1836">
        <f ca="1">IF(ISERROR(D2/F43),0,ROUND(D2/F43,0))</f>
        <v>0</v>
      </c>
      <c r="C3" s="1831" t="s">
        <v>1594</v>
      </c>
      <c r="D3" s="1831"/>
      <c r="E3" s="1832"/>
      <c r="F3" s="1833"/>
      <c r="G3" s="1834"/>
      <c r="H3" s="743" t="s">
        <v>1588</v>
      </c>
      <c r="I3" s="1826"/>
      <c r="J3" s="1826"/>
      <c r="K3" s="1827"/>
      <c r="L3" s="1826"/>
      <c r="M3" s="1826"/>
    </row>
    <row r="4" spans="1:37" ht="18" customHeight="1">
      <c r="A4" s="340" t="s">
        <v>1595</v>
      </c>
      <c r="B4" s="341" t="s">
        <v>1596</v>
      </c>
      <c r="C4" s="341" t="s">
        <v>1597</v>
      </c>
      <c r="D4" s="341" t="s">
        <v>1598</v>
      </c>
      <c r="E4" s="342" t="s">
        <v>1599</v>
      </c>
      <c r="F4" s="343"/>
      <c r="G4" s="1837"/>
      <c r="H4" s="340" t="s">
        <v>1595</v>
      </c>
      <c r="I4" s="341" t="s">
        <v>1596</v>
      </c>
      <c r="J4" s="341" t="s">
        <v>1597</v>
      </c>
      <c r="K4" s="341" t="s">
        <v>1598</v>
      </c>
      <c r="L4" s="342" t="s">
        <v>1599</v>
      </c>
      <c r="M4" s="343"/>
    </row>
    <row r="5" spans="1:37" ht="18" customHeight="1">
      <c r="A5" s="344">
        <v>1</v>
      </c>
      <c r="B5" s="345" t="s">
        <v>1600</v>
      </c>
      <c r="C5" s="1279">
        <f ca="1">C6+C10+C12</f>
        <v>0</v>
      </c>
      <c r="D5" s="1808" t="s">
        <v>1601</v>
      </c>
      <c r="E5" s="1280"/>
      <c r="F5" s="1281"/>
      <c r="G5" s="1837"/>
      <c r="H5" s="344">
        <v>1</v>
      </c>
      <c r="I5" s="345" t="s">
        <v>1600</v>
      </c>
      <c r="J5" s="1279">
        <f ca="1">J6+J10+J12</f>
        <v>0</v>
      </c>
      <c r="K5" s="1808" t="s">
        <v>1601</v>
      </c>
      <c r="L5" s="1280"/>
      <c r="M5" s="1281"/>
    </row>
    <row r="6" spans="1:37" ht="18" customHeight="1">
      <c r="A6" s="1278" t="s">
        <v>1035</v>
      </c>
      <c r="B6" s="3311" t="s">
        <v>1402</v>
      </c>
      <c r="C6" s="1283">
        <f ca="1">ROUND(F6*F8*F7*(1-F9),0)</f>
        <v>0</v>
      </c>
      <c r="D6" s="164" t="s">
        <v>2932</v>
      </c>
      <c r="E6" s="347" t="s">
        <v>1404</v>
      </c>
      <c r="F6" s="348">
        <f ca="1">INDIRECT("'数据-取费表'!u"&amp;$G$1)</f>
        <v>0</v>
      </c>
      <c r="G6" s="1837"/>
      <c r="H6" s="1278" t="s">
        <v>1035</v>
      </c>
      <c r="I6" s="3311" t="s">
        <v>1402</v>
      </c>
      <c r="J6" s="346">
        <f ca="1">ROUND(M6*M8*M7*(1-M9),0)</f>
        <v>0</v>
      </c>
      <c r="K6" s="1820" t="s">
        <v>2935</v>
      </c>
      <c r="L6" s="347" t="s">
        <v>1404</v>
      </c>
      <c r="M6" s="348">
        <f ca="1">INDIRECT("'数据-取费表'!z"&amp;$G$1)</f>
        <v>0</v>
      </c>
    </row>
    <row r="7" spans="1:37" ht="18" customHeight="1">
      <c r="A7" s="1282"/>
      <c r="B7" s="3312"/>
      <c r="C7" s="1284"/>
      <c r="D7" s="352"/>
      <c r="E7" s="1285" t="s">
        <v>1405</v>
      </c>
      <c r="F7" s="348">
        <f ca="1">IF(INDIRECT("'数据-取费表'!ah"&amp;$G$1)="",INDIRECT("'数据-取费表'!k"&amp;$G$1),INDIRECT("'数据-取费表'!ah"&amp;$G$1))</f>
        <v>0</v>
      </c>
      <c r="G7" s="1837"/>
      <c r="H7" s="349"/>
      <c r="I7" s="3312"/>
      <c r="J7" s="351"/>
      <c r="K7" s="352"/>
      <c r="L7" s="347" t="s">
        <v>1405</v>
      </c>
      <c r="M7" s="348">
        <f ca="1">F7</f>
        <v>0</v>
      </c>
    </row>
    <row r="8" spans="1:37" ht="18" customHeight="1">
      <c r="A8" s="349"/>
      <c r="B8" s="3312"/>
      <c r="C8" s="351"/>
      <c r="D8" s="352"/>
      <c r="E8" s="347" t="s">
        <v>1406</v>
      </c>
      <c r="F8" s="348">
        <f ca="1">INDIRECT("'数据-取费表'!ai"&amp;$G$1)</f>
        <v>0</v>
      </c>
      <c r="G8" s="1837"/>
      <c r="H8" s="349"/>
      <c r="I8" s="3312"/>
      <c r="J8" s="351"/>
      <c r="K8" s="352"/>
      <c r="L8" s="347" t="s">
        <v>1406</v>
      </c>
      <c r="M8" s="348">
        <f ca="1">INDIRECT("'数据-取费表'!ai"&amp;$G$1)</f>
        <v>0</v>
      </c>
    </row>
    <row r="9" spans="1:37" ht="18" customHeight="1">
      <c r="A9" s="349"/>
      <c r="B9" s="3313"/>
      <c r="C9" s="351"/>
      <c r="D9" s="352"/>
      <c r="E9" s="347" t="s">
        <v>1407</v>
      </c>
      <c r="F9" s="357">
        <f ca="1">INDIRECT("'数据-取费表'!w"&amp;$G$1)</f>
        <v>0</v>
      </c>
      <c r="G9" s="1837"/>
      <c r="H9" s="349"/>
      <c r="I9" s="3313"/>
      <c r="J9" s="351"/>
      <c r="K9" s="352"/>
      <c r="L9" s="358" t="s">
        <v>1407</v>
      </c>
      <c r="M9" s="359">
        <f ca="1">INDIRECT("'数据-取费表'!ab"&amp;$G$1)</f>
        <v>0</v>
      </c>
    </row>
    <row r="10" spans="1:37" ht="18" customHeight="1">
      <c r="A10" s="1278" t="s">
        <v>1039</v>
      </c>
      <c r="B10" s="1809" t="s">
        <v>1408</v>
      </c>
      <c r="C10" s="361">
        <f ca="1">ROUND(IF(F10="押一",F6*F8*F7/12*F11,IF(F10="押二",F6*F8*F7/12*2*F11,IF(F10="押三",F6*F8*F7/12*3*F11,C11*F11))),0)</f>
        <v>0</v>
      </c>
      <c r="D10" s="1810" t="s">
        <v>2933</v>
      </c>
      <c r="E10" s="358" t="s">
        <v>1410</v>
      </c>
      <c r="F10" s="1353"/>
      <c r="G10" s="1837"/>
      <c r="H10" s="1278" t="s">
        <v>1039</v>
      </c>
      <c r="I10" s="1809" t="s">
        <v>1408</v>
      </c>
      <c r="J10" s="346">
        <f ca="1">ROUND(IF(M10="押一",M6*M8*M7/12*M11,IF(M10="押二",M6*M8*M7/12*2*M11,IF(M10="押三",M6*M8*M7/12*3*M11,J11*M11))),0)</f>
        <v>0</v>
      </c>
      <c r="K10" s="1821" t="s">
        <v>2934</v>
      </c>
      <c r="L10" s="358" t="s">
        <v>1410</v>
      </c>
      <c r="M10" s="1353"/>
    </row>
    <row r="11" spans="1:37" ht="18" customHeight="1">
      <c r="A11" s="353"/>
      <c r="B11" s="1811" t="s">
        <v>1602</v>
      </c>
      <c r="C11" s="1173"/>
      <c r="D11" s="352"/>
      <c r="E11" s="358" t="s">
        <v>1412</v>
      </c>
      <c r="F11" s="359">
        <f ca="1">'数据-取费表'!B39</f>
        <v>1.4999999999999999E-2</v>
      </c>
      <c r="G11" s="1837"/>
      <c r="H11" s="1286"/>
      <c r="I11" s="1811" t="s">
        <v>1603</v>
      </c>
      <c r="J11" s="1173"/>
      <c r="K11" s="747"/>
      <c r="L11" s="358" t="s">
        <v>1412</v>
      </c>
      <c r="M11" s="1051">
        <f ca="1">'数据-取费表'!B39</f>
        <v>1.4999999999999999E-2</v>
      </c>
    </row>
    <row r="12" spans="1:37" ht="18" customHeight="1" thickBot="1">
      <c r="A12" s="1320" t="s">
        <v>1075</v>
      </c>
      <c r="B12" s="1813" t="s">
        <v>1413</v>
      </c>
      <c r="C12" s="1321"/>
      <c r="D12" s="1322"/>
      <c r="E12" s="1327"/>
      <c r="F12" s="1323"/>
      <c r="G12" s="1837"/>
      <c r="H12" s="1320" t="s">
        <v>1075</v>
      </c>
      <c r="I12" s="1813" t="s">
        <v>1413</v>
      </c>
      <c r="J12" s="1321"/>
      <c r="K12" s="1335"/>
      <c r="L12" s="1327"/>
      <c r="M12" s="1336"/>
    </row>
    <row r="13" spans="1:37" ht="18" customHeight="1" thickTop="1">
      <c r="A13" s="1316">
        <v>2</v>
      </c>
      <c r="B13" s="1317" t="s">
        <v>1414</v>
      </c>
      <c r="C13" s="355">
        <f ca="1">ROUND(C29*F13,0)</f>
        <v>0</v>
      </c>
      <c r="D13" s="1318" t="s">
        <v>1415</v>
      </c>
      <c r="E13" s="1318" t="s">
        <v>1416</v>
      </c>
      <c r="F13" s="1319">
        <f ca="1">INDIRECT("'数据-取费表'!y"&amp;$G$1)</f>
        <v>0</v>
      </c>
      <c r="G13" s="1837"/>
      <c r="H13" s="1316">
        <v>2</v>
      </c>
      <c r="I13" s="1317" t="s">
        <v>1414</v>
      </c>
      <c r="J13" s="1277">
        <f ca="1">ROUND(J14*J15,0)</f>
        <v>0</v>
      </c>
      <c r="K13" s="1324" t="s">
        <v>1415</v>
      </c>
      <c r="L13" s="1838"/>
      <c r="M13" s="1839"/>
    </row>
    <row r="14" spans="1:37" ht="18" customHeight="1">
      <c r="A14" s="1196" t="s">
        <v>1034</v>
      </c>
      <c r="B14" s="347" t="s">
        <v>1417</v>
      </c>
      <c r="C14" s="363">
        <f ca="1">ROUND(INDIRECT("'数据-取费表'!l"&amp;$G$1)*F43+'数据-取费表'!L14*INDIRECT("'数据-取费表'!S"&amp;$G$1),0)</f>
        <v>0</v>
      </c>
      <c r="D14" s="1786" t="s">
        <v>1418</v>
      </c>
      <c r="E14" s="1780"/>
      <c r="F14" s="364"/>
      <c r="G14" s="1837"/>
      <c r="H14" s="1196" t="s">
        <v>1035</v>
      </c>
      <c r="I14" s="347" t="s">
        <v>1419</v>
      </c>
      <c r="J14" s="24">
        <f ca="1">C29</f>
        <v>0</v>
      </c>
      <c r="K14" s="15"/>
      <c r="L14" s="980"/>
      <c r="M14" s="981"/>
    </row>
    <row r="15" spans="1:37" s="1844" customFormat="1" ht="18" customHeight="1" thickBot="1">
      <c r="A15" s="1196" t="s">
        <v>1036</v>
      </c>
      <c r="B15" s="347" t="s">
        <v>1420</v>
      </c>
      <c r="C15" s="24">
        <f ca="1">ROUND(C14*F15,0)</f>
        <v>0</v>
      </c>
      <c r="D15" s="365" t="s">
        <v>1421</v>
      </c>
      <c r="E15" s="365" t="s">
        <v>1422</v>
      </c>
      <c r="F15" s="366">
        <f>'数据-取费表'!B33</f>
        <v>0.05</v>
      </c>
      <c r="G15" s="1840"/>
      <c r="H15" s="1326" t="s">
        <v>1039</v>
      </c>
      <c r="I15" s="1327" t="s">
        <v>1416</v>
      </c>
      <c r="J15" s="1336">
        <f ca="1">INDIRECT("'数据-取费表'!ad"&amp;$G$1)</f>
        <v>0</v>
      </c>
      <c r="K15" s="1337"/>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6" t="s">
        <v>1388</v>
      </c>
      <c r="B16" s="347" t="s">
        <v>1423</v>
      </c>
      <c r="C16" s="24">
        <f ca="1">ROUND(INDIRECT("'数据-取费表'!l"&amp;$G$1)*F43*F16,0)</f>
        <v>0</v>
      </c>
      <c r="D16" s="347" t="s">
        <v>1421</v>
      </c>
      <c r="E16" s="347" t="s">
        <v>1422</v>
      </c>
      <c r="F16" s="367">
        <f ca="1">IF(INDIRECT("'数据-取费表'!c"&amp;$G$1)="住宅",'数据-取费表'!B34,0)</f>
        <v>0</v>
      </c>
      <c r="G16" s="1837"/>
      <c r="H16" s="1316" t="s">
        <v>1030</v>
      </c>
      <c r="I16" s="1317" t="s">
        <v>1424</v>
      </c>
      <c r="J16" s="355">
        <f ca="1">ROUND(J17+J22+J23+J24,0)</f>
        <v>0</v>
      </c>
      <c r="K16" s="1324" t="s">
        <v>1425</v>
      </c>
      <c r="L16" s="1325"/>
      <c r="M16" s="1281"/>
    </row>
    <row r="17" spans="1:37" s="1844" customFormat="1" ht="18" customHeight="1">
      <c r="A17" s="1196" t="s">
        <v>1389</v>
      </c>
      <c r="B17" s="347" t="s">
        <v>1426</v>
      </c>
      <c r="C17" s="24">
        <f ca="1">ROUND(F17*(F43+INDIRECT("'数据-取费表'!S"&amp;$G$1)),0)</f>
        <v>0</v>
      </c>
      <c r="D17" s="347" t="s">
        <v>1427</v>
      </c>
      <c r="E17" s="347" t="s">
        <v>1428</v>
      </c>
      <c r="F17" s="26">
        <f>'数据-取费表'!B35</f>
        <v>200</v>
      </c>
      <c r="G17" s="1840"/>
      <c r="H17" s="1196" t="s">
        <v>1035</v>
      </c>
      <c r="I17" s="347" t="s">
        <v>1429</v>
      </c>
      <c r="J17" s="24">
        <f ca="1">ROUND(IF(项目基本情况!B11="自然人",J5*M17,J18+J19+J20),0)</f>
        <v>0</v>
      </c>
      <c r="K17" s="1786" t="s">
        <v>1430</v>
      </c>
      <c r="L17" s="1784" t="s">
        <v>1431</v>
      </c>
      <c r="M17" s="368"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6" t="s">
        <v>1390</v>
      </c>
      <c r="B18" s="347" t="s">
        <v>1432</v>
      </c>
      <c r="C18" s="24">
        <f ca="1">ROUND(C14*F18,0)</f>
        <v>0</v>
      </c>
      <c r="D18" s="347" t="s">
        <v>1421</v>
      </c>
      <c r="E18" s="347" t="s">
        <v>1422</v>
      </c>
      <c r="F18" s="367">
        <f>'数据-取费表'!B36</f>
        <v>1.4999999999999999E-2</v>
      </c>
      <c r="G18" s="1840"/>
      <c r="H18" s="1196" t="s">
        <v>1034</v>
      </c>
      <c r="I18" s="347" t="s">
        <v>1433</v>
      </c>
      <c r="J18" s="24">
        <f ca="1">ROUND(J5*M18/(1+'数据-取费表'!C42),0)</f>
        <v>0</v>
      </c>
      <c r="K18" s="1784" t="s">
        <v>1434</v>
      </c>
      <c r="L18" s="347" t="s">
        <v>1422</v>
      </c>
      <c r="M18" s="367">
        <f>'数据-取费表'!B41</f>
        <v>5.6000000000000001E-2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6" t="s">
        <v>1035</v>
      </c>
      <c r="B19" s="347" t="s">
        <v>1435</v>
      </c>
      <c r="C19" s="24">
        <f ca="1">SUM(C14:C18)</f>
        <v>0</v>
      </c>
      <c r="D19" s="140" t="s">
        <v>1436</v>
      </c>
      <c r="E19" s="1804"/>
      <c r="F19" s="26"/>
      <c r="G19" s="1837"/>
      <c r="H19" s="1196" t="s">
        <v>1036</v>
      </c>
      <c r="I19" s="347" t="s">
        <v>1437</v>
      </c>
      <c r="J19" s="24">
        <f ca="1">IF(K19="按租金收入计税",ROUND(J5*M19,0),ROUND(C29*M19*0.7,0))</f>
        <v>0</v>
      </c>
      <c r="K19" s="1814" t="s">
        <v>1438</v>
      </c>
      <c r="L19" s="347" t="s">
        <v>1422</v>
      </c>
      <c r="M19" s="367">
        <f>IF(K19="按租金收入计税",'数据-取费表'!B51,'数据-取费表'!B50)</f>
        <v>1.2E-2</v>
      </c>
    </row>
    <row r="20" spans="1:37" s="1844" customFormat="1" ht="18" customHeight="1">
      <c r="A20" s="1196" t="s">
        <v>1039</v>
      </c>
      <c r="B20" s="347" t="s">
        <v>1439</v>
      </c>
      <c r="C20" s="24">
        <f ca="1">ROUND(C19*F20,0)</f>
        <v>0</v>
      </c>
      <c r="D20" s="369" t="s">
        <v>1440</v>
      </c>
      <c r="E20" s="347" t="s">
        <v>1422</v>
      </c>
      <c r="F20" s="367">
        <f>'数据-取费表'!B37</f>
        <v>0.03</v>
      </c>
      <c r="G20" s="1840"/>
      <c r="H20" s="1196" t="s">
        <v>1388</v>
      </c>
      <c r="I20" s="164" t="s">
        <v>1441</v>
      </c>
      <c r="J20" s="25">
        <f ca="1">ROUND(M20*M21,0)</f>
        <v>0</v>
      </c>
      <c r="K20" s="370" t="s">
        <v>1442</v>
      </c>
      <c r="L20" s="347" t="s">
        <v>1443</v>
      </c>
      <c r="M20" s="371">
        <f>'数据-取费表'!B52</f>
        <v>12</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6" t="s">
        <v>1075</v>
      </c>
      <c r="B21" s="347" t="s">
        <v>1444</v>
      </c>
      <c r="C21" s="24" t="s">
        <v>1</v>
      </c>
      <c r="D21" s="369" t="s">
        <v>1445</v>
      </c>
      <c r="E21" s="347" t="s">
        <v>1446</v>
      </c>
      <c r="F21" s="367">
        <f>'数据-取费表'!B38</f>
        <v>0.03</v>
      </c>
      <c r="G21" s="1840"/>
      <c r="H21" s="372"/>
      <c r="I21" s="356"/>
      <c r="J21" s="29"/>
      <c r="K21" s="373"/>
      <c r="L21" s="347" t="s">
        <v>1447</v>
      </c>
      <c r="M21" s="348">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6" t="s">
        <v>1391</v>
      </c>
      <c r="B22" s="347" t="s">
        <v>1448</v>
      </c>
      <c r="C22" s="24"/>
      <c r="D22" s="140" t="str">
        <f>IF(F23&lt;=1,"单利计息。","复利计息。")&amp;"建造成本、管理费用、销售费用产生的利息。"</f>
        <v>复利计息。建造成本、管理费用、销售费用产生的利息。</v>
      </c>
      <c r="E22" s="1804"/>
      <c r="F22" s="26"/>
      <c r="G22" s="1837"/>
      <c r="H22" s="1196" t="s">
        <v>1039</v>
      </c>
      <c r="I22" s="347" t="s">
        <v>1449</v>
      </c>
      <c r="J22" s="24">
        <f ca="1">ROUND(J14*M22,0)</f>
        <v>0</v>
      </c>
      <c r="K22" s="1784" t="s">
        <v>1450</v>
      </c>
      <c r="L22" s="347" t="s">
        <v>1422</v>
      </c>
      <c r="M22" s="374">
        <f ca="1">INDIRECT("'数据-取费表'!Ak"&amp;$G$1)</f>
        <v>0</v>
      </c>
    </row>
    <row r="23" spans="1:37" s="1844" customFormat="1" ht="18" customHeight="1">
      <c r="A23" s="1196"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40"/>
      <c r="H23" s="1196" t="s">
        <v>1075</v>
      </c>
      <c r="I23" s="347" t="s">
        <v>1453</v>
      </c>
      <c r="J23" s="24">
        <f ca="1">ROUND(J13*M23,0)</f>
        <v>0</v>
      </c>
      <c r="K23" s="1784" t="s">
        <v>1454</v>
      </c>
      <c r="L23" s="347" t="s">
        <v>1455</v>
      </c>
      <c r="M23" s="376">
        <f ca="1">INDIRECT("'数据-取费表'!Al"&amp;$G$1)</f>
        <v>0</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6"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40"/>
      <c r="H24" s="1326" t="s">
        <v>1392</v>
      </c>
      <c r="I24" s="1327" t="s">
        <v>1439</v>
      </c>
      <c r="J24" s="1328">
        <f ca="1">ROUND(J5*M24,0)</f>
        <v>0</v>
      </c>
      <c r="K24" s="1329" t="s">
        <v>1459</v>
      </c>
      <c r="L24" s="1327" t="s">
        <v>1455</v>
      </c>
      <c r="M24" s="1323">
        <f ca="1">INDIRECT("'数据-取费表'!Am"&amp;$G$1)</f>
        <v>0</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6" t="s">
        <v>1460</v>
      </c>
      <c r="B25" s="347" t="s">
        <v>1461</v>
      </c>
      <c r="C25" s="24"/>
      <c r="D25" s="140" t="s">
        <v>1462</v>
      </c>
      <c r="E25" s="1804"/>
      <c r="F25" s="26"/>
      <c r="G25" s="1837"/>
      <c r="H25" s="1316" t="s">
        <v>1031</v>
      </c>
      <c r="I25" s="1331" t="s">
        <v>1463</v>
      </c>
      <c r="J25" s="355">
        <f ca="1">J5-J16</f>
        <v>0</v>
      </c>
      <c r="K25" s="1332" t="s">
        <v>1464</v>
      </c>
      <c r="L25" s="1333"/>
      <c r="M25" s="1334"/>
    </row>
    <row r="26" spans="1:37" ht="18" customHeight="1">
      <c r="A26" s="1196" t="s">
        <v>1034</v>
      </c>
      <c r="B26" s="347" t="s">
        <v>1465</v>
      </c>
      <c r="C26" s="24">
        <f ca="1">ROUND((C19+C20)*F26,0)</f>
        <v>0</v>
      </c>
      <c r="D26" s="369" t="s">
        <v>1466</v>
      </c>
      <c r="E26" s="358" t="s">
        <v>1467</v>
      </c>
      <c r="F26" s="357">
        <f ca="1">INDIRECT("'数据-取费表'!q"&amp;$G$1)</f>
        <v>0</v>
      </c>
      <c r="G26" s="1837"/>
      <c r="H26" s="344" t="s">
        <v>1032</v>
      </c>
      <c r="I26" s="345" t="s">
        <v>1468</v>
      </c>
      <c r="J26" s="346">
        <f ca="1">IF(J5&lt;&gt;0,ROUND(J25*(1-((1+M28)/(1+M26))^M27)/(M26-M28),0),0)</f>
        <v>0</v>
      </c>
      <c r="K26" s="370" t="s">
        <v>1469</v>
      </c>
      <c r="L26" s="347" t="s">
        <v>1470</v>
      </c>
      <c r="M26" s="357">
        <f ca="1">INDIRECT("'数据-取费表'!I"&amp;$G$1)</f>
        <v>0</v>
      </c>
    </row>
    <row r="27" spans="1:37" ht="18" customHeight="1">
      <c r="A27" s="1196" t="s">
        <v>1036</v>
      </c>
      <c r="B27" s="347" t="s">
        <v>1471</v>
      </c>
      <c r="C27" s="24">
        <f ca="1">ROUND(F21*F26,4)</f>
        <v>0</v>
      </c>
      <c r="D27" s="369" t="s">
        <v>1472</v>
      </c>
      <c r="E27" s="365"/>
      <c r="F27" s="366"/>
      <c r="G27" s="1837"/>
      <c r="H27" s="349"/>
      <c r="I27" s="350"/>
      <c r="J27" s="351"/>
      <c r="K27" s="378" t="s">
        <v>1473</v>
      </c>
      <c r="L27" s="347" t="s">
        <v>1474</v>
      </c>
      <c r="M27" s="379">
        <f ca="1">INDIRECT("'数据-取费表'!ag"&amp;$G$1)</f>
        <v>0</v>
      </c>
    </row>
    <row r="28" spans="1:37" s="1844" customFormat="1" ht="18" customHeight="1">
      <c r="A28" s="1196" t="s">
        <v>1037</v>
      </c>
      <c r="B28" s="347" t="s">
        <v>1475</v>
      </c>
      <c r="C28" s="24">
        <f>ROUND(F28/(1+'数据-取费表'!C42),4)</f>
        <v>5.33E-2</v>
      </c>
      <c r="D28" s="369" t="s">
        <v>1476</v>
      </c>
      <c r="E28" s="347" t="s">
        <v>1422</v>
      </c>
      <c r="F28" s="367">
        <f>'数据-取费表'!B41</f>
        <v>5.6000000000000001E-2</v>
      </c>
      <c r="G28" s="1840"/>
      <c r="H28" s="353"/>
      <c r="I28" s="354"/>
      <c r="J28" s="355"/>
      <c r="K28" s="373"/>
      <c r="L28" s="347" t="s">
        <v>1477</v>
      </c>
      <c r="M28" s="357">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6" t="s">
        <v>1038</v>
      </c>
      <c r="B29" s="1327" t="s">
        <v>1478</v>
      </c>
      <c r="C29" s="1328">
        <f ca="1">ROUND((C19+C20+C23+C26)/(1-F21-C24-C27-C28),0)</f>
        <v>0</v>
      </c>
      <c r="D29" s="1329"/>
      <c r="E29" s="1327"/>
      <c r="F29" s="1330"/>
      <c r="G29" s="1840"/>
      <c r="H29" s="380" t="s">
        <v>1033</v>
      </c>
      <c r="I29" s="381" t="s">
        <v>1479</v>
      </c>
      <c r="J29" s="382">
        <f ca="1">ROUND(J26/(1+F40)^F41,0)</f>
        <v>0</v>
      </c>
      <c r="K29" s="383" t="s">
        <v>1480</v>
      </c>
      <c r="L29" s="384"/>
      <c r="M29" s="385">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6" t="s">
        <v>1030</v>
      </c>
      <c r="B30" s="1317" t="s">
        <v>1424</v>
      </c>
      <c r="C30" s="355">
        <f ca="1">ROUND(C31+C36+C37+C38,0)</f>
        <v>0</v>
      </c>
      <c r="D30" s="1324" t="s">
        <v>1425</v>
      </c>
      <c r="E30" s="1325"/>
      <c r="F30" s="1281"/>
      <c r="G30" s="1837"/>
      <c r="H30" s="744"/>
      <c r="I30" s="745"/>
      <c r="J30" s="746"/>
      <c r="K30" s="747"/>
      <c r="L30" s="748"/>
      <c r="M30" s="749"/>
    </row>
    <row r="31" spans="1:37" ht="18" customHeight="1">
      <c r="A31" s="1196" t="s">
        <v>1035</v>
      </c>
      <c r="B31" s="347" t="s">
        <v>1429</v>
      </c>
      <c r="C31" s="24">
        <f ca="1">ROUND(IF(项目基本情况!B11="自然人",C5*F31,C32+C33+C34),0)</f>
        <v>0</v>
      </c>
      <c r="D31" s="1786" t="s">
        <v>1430</v>
      </c>
      <c r="E31" s="1784" t="s">
        <v>1481</v>
      </c>
      <c r="F31" s="368" t="str">
        <f ca="1">IF(项目基本情况!B11="企业","",IF(INDIRECT("'数据-取费表'!c"&amp;$G$1)="住宅",5%,IF(F6*F7*F8/12/(1+'数据-取费表'!C42)&gt;20000,12%,7%)))</f>
        <v/>
      </c>
      <c r="G31" s="1837"/>
      <c r="H31" s="744"/>
      <c r="I31" s="745"/>
      <c r="J31" s="746"/>
      <c r="K31" s="747"/>
      <c r="L31" s="748"/>
      <c r="M31" s="749"/>
    </row>
    <row r="32" spans="1:37" ht="18" customHeight="1">
      <c r="A32" s="1196" t="s">
        <v>1034</v>
      </c>
      <c r="B32" s="347" t="s">
        <v>1433</v>
      </c>
      <c r="C32" s="24">
        <f ca="1">IF(项目基本情况!B11="自然人","——",ROUND(C5*F32/(1+'数据-取费表'!C42),0))</f>
        <v>0</v>
      </c>
      <c r="D32" s="1784" t="s">
        <v>1434</v>
      </c>
      <c r="E32" s="347" t="s">
        <v>1422</v>
      </c>
      <c r="F32" s="377">
        <f>'数据-取费表'!B41</f>
        <v>5.6000000000000001E-2</v>
      </c>
      <c r="G32" s="1837"/>
      <c r="H32" s="744"/>
      <c r="I32" s="745"/>
      <c r="J32" s="746"/>
      <c r="K32" s="747"/>
      <c r="L32" s="748"/>
      <c r="M32" s="749"/>
    </row>
    <row r="33" spans="1:18" ht="18" customHeight="1">
      <c r="A33" s="1196" t="s">
        <v>1036</v>
      </c>
      <c r="B33" s="347" t="s">
        <v>1437</v>
      </c>
      <c r="C33" s="24">
        <f ca="1">IF(项目基本情况!B11="自然人","——",IF(D33="按租金收入计税",ROUND(C5*F33,0),IF(D33="按房产原值计税",ROUND(C29*F33*0.7,0),INDIRECT("'数据-取费表'!Aj"&amp;$G$1))))</f>
        <v>0</v>
      </c>
      <c r="D33" s="1814" t="s">
        <v>1438</v>
      </c>
      <c r="E33" s="347" t="s">
        <v>1422</v>
      </c>
      <c r="F33" s="367">
        <f>IF(D33="按票据","——",IF(D33="按租金收入计税",'数据-取费表'!B51,'数据-取费表'!B50))</f>
        <v>1.2E-2</v>
      </c>
      <c r="G33" s="1837"/>
      <c r="H33" s="1845"/>
      <c r="I33" s="1846"/>
      <c r="J33" s="1847"/>
      <c r="K33" s="1848"/>
      <c r="L33" s="1845"/>
      <c r="M33" s="1845"/>
    </row>
    <row r="34" spans="1:18" ht="18" customHeight="1">
      <c r="A34" s="1278" t="s">
        <v>1388</v>
      </c>
      <c r="B34" s="164" t="s">
        <v>1441</v>
      </c>
      <c r="C34" s="25">
        <f ca="1">IF(项目基本情况!B11="自然人","——",ROUND(F34*F35,))</f>
        <v>0</v>
      </c>
      <c r="D34" s="370" t="s">
        <v>1442</v>
      </c>
      <c r="E34" s="347" t="s">
        <v>1443</v>
      </c>
      <c r="F34" s="371">
        <f>'数据-取费表'!B52</f>
        <v>12</v>
      </c>
      <c r="G34" s="1837"/>
      <c r="H34" s="744"/>
      <c r="I34" s="1846"/>
      <c r="J34" s="1847"/>
      <c r="K34" s="1849"/>
      <c r="L34" s="1850"/>
      <c r="M34" s="1850"/>
    </row>
    <row r="35" spans="1:18" ht="18" customHeight="1">
      <c r="A35" s="1340"/>
      <c r="B35" s="1338"/>
      <c r="C35" s="29"/>
      <c r="D35" s="373"/>
      <c r="E35" s="347" t="s">
        <v>1447</v>
      </c>
      <c r="F35" s="348">
        <f ca="1">INDIRECT("'数据-取费表'!r"&amp;$G$1)</f>
        <v>0</v>
      </c>
      <c r="G35" s="1837"/>
      <c r="H35" s="744"/>
      <c r="I35" s="1846"/>
      <c r="J35" s="1847"/>
      <c r="K35" s="1848"/>
      <c r="L35" s="1845"/>
      <c r="M35" s="1845"/>
    </row>
    <row r="36" spans="1:18" ht="18" customHeight="1">
      <c r="A36" s="1339" t="s">
        <v>1039</v>
      </c>
      <c r="B36" s="347" t="s">
        <v>1449</v>
      </c>
      <c r="C36" s="24">
        <f ca="1">ROUND(C29*F36,0)</f>
        <v>0</v>
      </c>
      <c r="D36" s="1784" t="s">
        <v>1482</v>
      </c>
      <c r="E36" s="347" t="s">
        <v>1422</v>
      </c>
      <c r="F36" s="374">
        <f ca="1">INDIRECT("'数据-取费表'!Ak"&amp;$G$1)</f>
        <v>0</v>
      </c>
      <c r="G36" s="1837"/>
      <c r="H36" s="1845"/>
      <c r="I36" s="1846"/>
      <c r="J36" s="1847"/>
      <c r="K36" s="750"/>
      <c r="L36" s="1845"/>
      <c r="M36" s="1845"/>
    </row>
    <row r="37" spans="1:18" ht="18" customHeight="1">
      <c r="A37" s="1196" t="s">
        <v>1075</v>
      </c>
      <c r="B37" s="347" t="s">
        <v>1453</v>
      </c>
      <c r="C37" s="24">
        <f ca="1">ROUND(C13*F37,0)</f>
        <v>0</v>
      </c>
      <c r="D37" s="1784" t="s">
        <v>1454</v>
      </c>
      <c r="E37" s="347" t="s">
        <v>1455</v>
      </c>
      <c r="F37" s="376">
        <f ca="1">INDIRECT("'数据-取费表'!Al"&amp;$G$1)</f>
        <v>0</v>
      </c>
      <c r="G37" s="1837"/>
      <c r="H37" s="1845"/>
      <c r="I37" s="1846"/>
      <c r="J37" s="1847"/>
      <c r="K37" s="750"/>
      <c r="L37" s="1845"/>
      <c r="M37" s="1845"/>
    </row>
    <row r="38" spans="1:18" ht="18" customHeight="1" thickBot="1">
      <c r="A38" s="1326" t="s">
        <v>1392</v>
      </c>
      <c r="B38" s="1327" t="s">
        <v>1439</v>
      </c>
      <c r="C38" s="1328">
        <f ca="1">ROUND(C5*F38,1)</f>
        <v>0</v>
      </c>
      <c r="D38" s="1329" t="s">
        <v>1459</v>
      </c>
      <c r="E38" s="1327" t="s">
        <v>1455</v>
      </c>
      <c r="F38" s="1323">
        <f ca="1">INDIRECT("'数据-取费表'!Am"&amp;$G$1)</f>
        <v>0</v>
      </c>
      <c r="G38" s="1837"/>
      <c r="H38" s="1845"/>
      <c r="I38" s="1846"/>
      <c r="J38" s="1847"/>
      <c r="K38" s="1851"/>
      <c r="L38" s="1845"/>
      <c r="M38" s="1845"/>
    </row>
    <row r="39" spans="1:18" ht="24.6" customHeight="1" thickTop="1">
      <c r="A39" s="1316" t="s">
        <v>1031</v>
      </c>
      <c r="B39" s="1331" t="s">
        <v>1483</v>
      </c>
      <c r="C39" s="355">
        <f ca="1">C5-C30</f>
        <v>0</v>
      </c>
      <c r="D39" s="1332" t="s">
        <v>1484</v>
      </c>
      <c r="E39" s="1333"/>
      <c r="F39" s="1334"/>
      <c r="G39" s="1837"/>
      <c r="H39" s="1845"/>
      <c r="I39" s="1846"/>
      <c r="J39" s="1847"/>
      <c r="K39" s="1851"/>
      <c r="L39" s="1845"/>
      <c r="M39" s="1845"/>
    </row>
    <row r="40" spans="1:18" ht="18" customHeight="1">
      <c r="A40" s="344" t="s">
        <v>1032</v>
      </c>
      <c r="B40" s="345" t="s">
        <v>1485</v>
      </c>
      <c r="C40" s="346" t="e">
        <f ca="1">ROUND(C39*(1-((1+F42)/(1+F40))^F41)/(F40-F42),0)</f>
        <v>#DIV/0!</v>
      </c>
      <c r="D40" s="370" t="s">
        <v>1469</v>
      </c>
      <c r="E40" s="347" t="s">
        <v>1470</v>
      </c>
      <c r="F40" s="357">
        <f ca="1">INDIRECT("'数据-取费表'!I"&amp;$G$1)</f>
        <v>0</v>
      </c>
      <c r="G40" s="1837"/>
      <c r="H40" s="1825"/>
      <c r="I40" s="1846"/>
      <c r="J40" s="1847"/>
      <c r="K40" s="1851"/>
      <c r="L40" s="1825"/>
      <c r="M40" s="1825"/>
    </row>
    <row r="41" spans="1:18" ht="18" customHeight="1">
      <c r="A41" s="349"/>
      <c r="B41" s="350"/>
      <c r="C41" s="351"/>
      <c r="D41" s="378" t="s">
        <v>1486</v>
      </c>
      <c r="E41" s="347" t="s">
        <v>1474</v>
      </c>
      <c r="F41" s="379">
        <f ca="1">IF(INDIRECT("'数据-取费表'!af"&amp;$G$1)=0,INDIRECT("'数据-取费表'!ae"&amp;$G$1),INDIRECT("'数据-取费表'!af"&amp;$G$1))</f>
        <v>0</v>
      </c>
      <c r="G41" s="1837"/>
      <c r="H41" s="731"/>
      <c r="I41" s="1846"/>
      <c r="J41" s="1847"/>
      <c r="K41" s="750"/>
      <c r="L41" s="731"/>
      <c r="M41" s="731"/>
    </row>
    <row r="42" spans="1:18" ht="18" customHeight="1">
      <c r="A42" s="353"/>
      <c r="B42" s="354"/>
      <c r="C42" s="355"/>
      <c r="D42" s="373"/>
      <c r="E42" s="347" t="s">
        <v>1477</v>
      </c>
      <c r="F42" s="357">
        <f ca="1">INDIRECT("'数据-取费表'!v"&amp;$G$1)</f>
        <v>0</v>
      </c>
      <c r="G42" s="1837"/>
      <c r="H42" s="731"/>
      <c r="I42" s="1846"/>
      <c r="J42" s="1847"/>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37"/>
      <c r="H43" s="731"/>
      <c r="I43" s="731"/>
      <c r="J43" s="731"/>
      <c r="K43" s="750"/>
      <c r="L43" s="731"/>
      <c r="M43" s="731"/>
    </row>
    <row r="44" spans="1:18" s="1828" customFormat="1" ht="18" customHeight="1">
      <c r="A44" s="1852"/>
      <c r="B44" s="1852"/>
      <c r="C44" s="1853"/>
      <c r="D44" s="1852"/>
      <c r="E44" s="1852"/>
      <c r="F44" s="1852"/>
      <c r="K44" s="1854"/>
    </row>
    <row r="45" spans="1:18" s="1828" customFormat="1" ht="18" customHeight="1" thickBot="1">
      <c r="A45" s="1852"/>
      <c r="B45" s="1852"/>
      <c r="C45" s="1925" t="e">
        <f ca="1">C68-C40</f>
        <v>#DIV/0!</v>
      </c>
      <c r="D45" s="1926" t="s">
        <v>1604</v>
      </c>
      <c r="E45" s="1852"/>
      <c r="F45" s="1852"/>
      <c r="O45" s="1855" t="s">
        <v>1519</v>
      </c>
      <c r="P45" s="1825"/>
      <c r="Q45" s="1825"/>
      <c r="R45" s="1825"/>
    </row>
    <row r="46" spans="1:18" s="1828" customFormat="1" ht="13.5" thickBot="1">
      <c r="A46" s="1856" t="s">
        <v>1520</v>
      </c>
      <c r="C46" s="1857" t="e">
        <f ca="1">ROUND(C45/10000,0)</f>
        <v>#DIV/0!</v>
      </c>
      <c r="D46" s="1858" t="str">
        <f>C2</f>
        <v>万元</v>
      </c>
      <c r="I46" s="1859" t="s">
        <v>1521</v>
      </c>
      <c r="J46" s="1860"/>
      <c r="K46" s="1861"/>
      <c r="L46" s="1862" t="e">
        <f ca="1">IF(M47="住宅",0,IF(L48&gt;J51,L60,J60))</f>
        <v>#DIV/0!</v>
      </c>
      <c r="O46" s="1863" t="s">
        <v>1522</v>
      </c>
      <c r="P46" s="1864" t="s">
        <v>1523</v>
      </c>
      <c r="Q46" s="1865" t="s">
        <v>1524</v>
      </c>
      <c r="R46" s="1865" t="s">
        <v>1525</v>
      </c>
    </row>
    <row r="47" spans="1:18" s="1828" customFormat="1" ht="13.5" thickBot="1">
      <c r="A47" s="1160" t="s">
        <v>1395</v>
      </c>
      <c r="B47" s="1192" t="s">
        <v>1396</v>
      </c>
      <c r="C47" s="1192" t="s">
        <v>1397</v>
      </c>
      <c r="D47" s="1192" t="s">
        <v>1398</v>
      </c>
      <c r="E47" s="1266" t="s">
        <v>1399</v>
      </c>
      <c r="F47" s="1267"/>
      <c r="G47" s="791"/>
      <c r="I47" s="1866" t="s">
        <v>1526</v>
      </c>
      <c r="J47" s="1867"/>
      <c r="K47" s="1868" t="s">
        <v>1527</v>
      </c>
      <c r="L47" s="1869">
        <f ca="1">INDIRECT("'数据-取费表'!d"&amp;$G$1)</f>
        <v>0</v>
      </c>
      <c r="M47" s="1824" t="str">
        <f>IF(ISNUMBER(FIND("住宅",C1)),"住宅","非住宅")</f>
        <v>非住宅</v>
      </c>
      <c r="O47" s="1870" t="s">
        <v>1040</v>
      </c>
      <c r="P47" s="1871" t="s">
        <v>1528</v>
      </c>
      <c r="Q47" s="1872" t="e">
        <f ca="1">C40+J29</f>
        <v>#DIV/0!</v>
      </c>
      <c r="R47" s="1872" t="s">
        <v>1529</v>
      </c>
    </row>
    <row r="48" spans="1:18" s="1828" customFormat="1" ht="28.5" thickBot="1">
      <c r="A48" s="1347" t="s">
        <v>1135</v>
      </c>
      <c r="B48" s="345" t="s">
        <v>1400</v>
      </c>
      <c r="C48" s="1803">
        <f ca="1">C49+C53+C55</f>
        <v>0</v>
      </c>
      <c r="D48" s="1349"/>
      <c r="E48" s="1350"/>
      <c r="F48" s="1176"/>
      <c r="G48" s="791"/>
      <c r="H48" s="792"/>
      <c r="I48" s="1873" t="s">
        <v>1530</v>
      </c>
      <c r="J48" s="1874"/>
      <c r="K48" s="1875" t="s">
        <v>1531</v>
      </c>
      <c r="L48" s="1876">
        <f ca="1">INDIRECT("'数据-取费表'!f"&amp;$G$1)</f>
        <v>0</v>
      </c>
      <c r="O48" s="1870" t="s">
        <v>1041</v>
      </c>
      <c r="P48" s="1871" t="s">
        <v>1532</v>
      </c>
      <c r="Q48" s="1872" t="e">
        <f ca="1">J60</f>
        <v>#DIV/0!</v>
      </c>
      <c r="R48" s="1872" t="s">
        <v>1533</v>
      </c>
    </row>
    <row r="49" spans="1:18" s="1828" customFormat="1" ht="13.5" thickBot="1">
      <c r="A49" s="1189" t="s">
        <v>1136</v>
      </c>
      <c r="B49" s="1815" t="s">
        <v>1490</v>
      </c>
      <c r="C49" s="1351">
        <f ca="1">ROUND(F49*F51*F50*(1-F52),0)</f>
        <v>0</v>
      </c>
      <c r="D49" s="1263" t="s">
        <v>1403</v>
      </c>
      <c r="E49" s="1816" t="s">
        <v>1491</v>
      </c>
      <c r="F49" s="1268"/>
      <c r="G49" s="1877"/>
      <c r="H49" s="792"/>
      <c r="I49" s="1873" t="s">
        <v>1534</v>
      </c>
      <c r="J49" s="1878"/>
      <c r="K49" s="1875" t="s">
        <v>1535</v>
      </c>
      <c r="L49" s="1879"/>
      <c r="O49" s="1880" t="s">
        <v>1042</v>
      </c>
      <c r="P49" s="1871" t="s">
        <v>1536</v>
      </c>
      <c r="Q49" s="1872">
        <f ca="1">C29</f>
        <v>0</v>
      </c>
      <c r="R49" s="1872" t="s">
        <v>1529</v>
      </c>
    </row>
    <row r="50" spans="1:18" s="1828" customFormat="1" ht="13.5" thickBot="1">
      <c r="A50" s="1190"/>
      <c r="B50" s="1193"/>
      <c r="C50" s="1194"/>
      <c r="D50" s="1167"/>
      <c r="E50" s="1264" t="s">
        <v>1405</v>
      </c>
      <c r="F50" s="1265">
        <f ca="1">F7</f>
        <v>0</v>
      </c>
      <c r="H50" s="792"/>
      <c r="I50" s="1873" t="s">
        <v>1537</v>
      </c>
      <c r="J50" s="1881">
        <f>SUMPRODUCT((I63:I65=J47)*(J62:L62=J48)*(J63:L65))</f>
        <v>0</v>
      </c>
      <c r="K50" s="1875" t="s">
        <v>1538</v>
      </c>
      <c r="L50" s="1879"/>
      <c r="M50" s="1882"/>
      <c r="O50" s="1880" t="s">
        <v>1043</v>
      </c>
      <c r="P50" s="1871" t="s">
        <v>1539</v>
      </c>
      <c r="Q50" s="1883" t="e">
        <f ca="1">J58</f>
        <v>#DIV/0!</v>
      </c>
      <c r="R50" s="1872"/>
    </row>
    <row r="51" spans="1:18" s="1828" customFormat="1" ht="13.5" thickBot="1">
      <c r="A51" s="1191"/>
      <c r="B51" s="1193"/>
      <c r="C51" s="1194"/>
      <c r="D51" s="1167"/>
      <c r="E51" s="1195" t="s">
        <v>1406</v>
      </c>
      <c r="F51" s="348">
        <f ca="1">F8</f>
        <v>0</v>
      </c>
      <c r="I51" s="1884" t="s">
        <v>1540</v>
      </c>
      <c r="J51" s="1885">
        <f>IF(J49="",J50,J49+J50-YEAR('数据-取费表'!B2))</f>
        <v>0</v>
      </c>
      <c r="K51" s="1886" t="s">
        <v>1541</v>
      </c>
      <c r="L51" s="1887">
        <f ca="1">ROUND(-PV(INDIRECT("'数据-取费表'!h"&amp;$G$1),L48,(C39-C13*C76),0),0)</f>
        <v>0</v>
      </c>
      <c r="M51" s="1888"/>
      <c r="O51" s="1880" t="s">
        <v>1044</v>
      </c>
      <c r="P51" s="1871" t="s">
        <v>1542</v>
      </c>
      <c r="Q51" s="1883">
        <f>J52</f>
        <v>0</v>
      </c>
      <c r="R51" s="1872"/>
    </row>
    <row r="52" spans="1:18" s="1828" customFormat="1" ht="13.5" thickBot="1">
      <c r="A52" s="1191"/>
      <c r="B52" s="1193"/>
      <c r="C52" s="1194"/>
      <c r="D52" s="1167"/>
      <c r="E52" s="1195" t="s">
        <v>1407</v>
      </c>
      <c r="F52" s="1262"/>
      <c r="I52" s="1889" t="s">
        <v>1543</v>
      </c>
      <c r="J52" s="1890"/>
      <c r="K52" s="1889" t="s">
        <v>1544</v>
      </c>
      <c r="L52" s="1890"/>
      <c r="O52" s="1880" t="s">
        <v>1045</v>
      </c>
      <c r="P52" s="1871" t="s">
        <v>1545</v>
      </c>
      <c r="Q52" s="1872" t="b">
        <f>J53</f>
        <v>0</v>
      </c>
      <c r="R52" s="1872" t="s">
        <v>1546</v>
      </c>
    </row>
    <row r="53" spans="1:18" s="1828" customFormat="1" ht="30.75" customHeight="1" thickBot="1">
      <c r="A53" s="1348" t="s">
        <v>1137</v>
      </c>
      <c r="B53" s="369" t="s">
        <v>1408</v>
      </c>
      <c r="C53" s="361">
        <f ca="1">ROUND(IF(F53="押一",F49*F51*F50/12*F11,IF(F53="押二",F49*F51*F50/12*2*F11,IF(F53="押三",F49*F51*F50/12*3*F11,C54*F11))),0)</f>
        <v>0</v>
      </c>
      <c r="D53" s="1810" t="s">
        <v>1409</v>
      </c>
      <c r="E53" s="358" t="s">
        <v>1410</v>
      </c>
      <c r="F53" s="1353"/>
      <c r="I53" s="1891" t="s">
        <v>1547</v>
      </c>
      <c r="J53" s="1892" t="b">
        <f>IF(M47="住宅",J51,IF(D1="——",MIN(J51,L48),IF(D1="在建（套用方法）",MIN(J51,L48-'数据-取费表'!B24),IF(D1="土地（套用方法）",MIN(J51,L48-'数据-取费表'!B20)))))</f>
        <v>0</v>
      </c>
      <c r="K53" s="3314" t="s">
        <v>1548</v>
      </c>
      <c r="L53" s="3315"/>
      <c r="O53" s="1870" t="s">
        <v>1046</v>
      </c>
      <c r="P53" s="1871" t="s">
        <v>1549</v>
      </c>
      <c r="Q53" s="1872" t="e">
        <f ca="1">Q47+Q48</f>
        <v>#DIV/0!</v>
      </c>
      <c r="R53" s="1872" t="s">
        <v>1047</v>
      </c>
    </row>
    <row r="54" spans="1:18" s="1828" customFormat="1" ht="13.5" thickBot="1">
      <c r="A54" s="1189"/>
      <c r="B54" s="1927" t="s">
        <v>1603</v>
      </c>
      <c r="C54" s="1173"/>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7"/>
      <c r="O54" s="1855" t="s">
        <v>1550</v>
      </c>
      <c r="P54" s="1825"/>
      <c r="Q54" s="1825"/>
      <c r="R54" s="1825"/>
    </row>
    <row r="55" spans="1:18" s="1828" customFormat="1" ht="13.5" thickBot="1">
      <c r="A55" s="1320" t="s">
        <v>1075</v>
      </c>
      <c r="B55" s="1813" t="s">
        <v>1413</v>
      </c>
      <c r="C55" s="1321"/>
      <c r="D55" s="1810"/>
      <c r="E55" s="1818"/>
      <c r="F55" s="1893"/>
      <c r="I55" s="1896" t="s">
        <v>1551</v>
      </c>
      <c r="J55" s="1897" t="e">
        <f ca="1">ROUND(IF(J47="钢混",J57/J50,1-(1-2%)*(J50-J57)/J50),3)</f>
        <v>#DIV/0!</v>
      </c>
      <c r="K55" s="1898" t="s">
        <v>1552</v>
      </c>
      <c r="L55" s="1899"/>
      <c r="O55" s="1863" t="s">
        <v>1522</v>
      </c>
      <c r="P55" s="1864" t="s">
        <v>1523</v>
      </c>
      <c r="Q55" s="1865" t="s">
        <v>1524</v>
      </c>
      <c r="R55" s="1865" t="s">
        <v>1525</v>
      </c>
    </row>
    <row r="56" spans="1:18" s="1828" customFormat="1" ht="36" customHeight="1" thickTop="1" thickBot="1">
      <c r="A56" s="1171">
        <v>2</v>
      </c>
      <c r="B56" s="1172" t="s">
        <v>1414</v>
      </c>
      <c r="C56" s="276">
        <f ca="1">C13</f>
        <v>0</v>
      </c>
      <c r="D56" s="1900"/>
      <c r="E56" s="1901"/>
      <c r="F56" s="1893"/>
      <c r="I56" s="1902" t="s">
        <v>1554</v>
      </c>
      <c r="J56" s="1903"/>
      <c r="K56" s="1873" t="s">
        <v>1555</v>
      </c>
      <c r="L56" s="1876">
        <f ca="1">IF(L48&lt;J51,"——",L48-J51)</f>
        <v>0</v>
      </c>
      <c r="O56" s="1870" t="s">
        <v>1040</v>
      </c>
      <c r="P56" s="1871" t="s">
        <v>1528</v>
      </c>
      <c r="Q56" s="1872" t="e">
        <f ca="1">C40+J29</f>
        <v>#DIV/0!</v>
      </c>
      <c r="R56" s="1872" t="s">
        <v>1529</v>
      </c>
    </row>
    <row r="57" spans="1:18" s="1828" customFormat="1" ht="24.75" thickBot="1">
      <c r="A57" s="1904"/>
      <c r="B57" s="1164" t="s">
        <v>1478</v>
      </c>
      <c r="C57" s="282">
        <f ca="1">C29</f>
        <v>0</v>
      </c>
      <c r="D57" s="1905"/>
      <c r="E57" s="1906"/>
      <c r="F57" s="1907"/>
      <c r="I57" s="1908" t="s">
        <v>1556</v>
      </c>
      <c r="J57" s="1909">
        <f ca="1">IF(OR(M47="住宅",J51&lt;L48,J56="是"),"——",J51-L48)</f>
        <v>0</v>
      </c>
      <c r="K57" s="1873" t="s">
        <v>1605</v>
      </c>
      <c r="L57" s="1876">
        <f ca="1">IF(L48&lt;J51,"——",IF(L55="比较法",L49,IF(L55="基准地价",L50,L51)))</f>
        <v>0</v>
      </c>
      <c r="O57" s="1870" t="s">
        <v>1041</v>
      </c>
      <c r="P57" s="1871" t="s">
        <v>1606</v>
      </c>
      <c r="Q57" s="1872" t="e">
        <f ca="1">L60</f>
        <v>#DIV/0!</v>
      </c>
      <c r="R57" s="1872" t="s">
        <v>1607</v>
      </c>
    </row>
    <row r="58" spans="1:18" s="1828" customFormat="1" ht="24.75" thickBot="1">
      <c r="A58" s="360" t="s">
        <v>1030</v>
      </c>
      <c r="B58" s="1172" t="s">
        <v>1424</v>
      </c>
      <c r="C58" s="361">
        <f ca="1">ROUND(C59+C64+C65+C66,0)</f>
        <v>0</v>
      </c>
      <c r="D58" s="1174" t="s">
        <v>1425</v>
      </c>
      <c r="E58" s="1175"/>
      <c r="F58" s="1176"/>
      <c r="I58" s="1908" t="s">
        <v>1560</v>
      </c>
      <c r="J58" s="1910" t="e">
        <f ca="1">IF(J55&lt;0.4,0.4,J55)</f>
        <v>#DIV/0!</v>
      </c>
      <c r="K58" s="1886" t="s">
        <v>1608</v>
      </c>
      <c r="L58" s="1876" t="e">
        <f ca="1">ROUND(POWER(1+L52,L47-L48)*(POWER(1+L52,L48)-1)/(POWER(1+L52,L47)-1),4)</f>
        <v>#DIV/0!</v>
      </c>
      <c r="O58" s="1880" t="s">
        <v>1042</v>
      </c>
      <c r="P58" s="1871" t="s">
        <v>1562</v>
      </c>
      <c r="Q58" s="1872">
        <f>IF(L55="比较法",L49,IF(L55="基准地价",L50,0))</f>
        <v>0</v>
      </c>
      <c r="R58" s="1872" t="s">
        <v>1529</v>
      </c>
    </row>
    <row r="59" spans="1:18" s="1828" customFormat="1" ht="24.75" thickBot="1">
      <c r="A59" s="1196" t="s">
        <v>1035</v>
      </c>
      <c r="B59" s="1164" t="s">
        <v>1429</v>
      </c>
      <c r="C59" s="24">
        <f ca="1">ROUND(IF(项目基本情况!B11="自然人",C48*F59,C60+C61+C62),0)</f>
        <v>0</v>
      </c>
      <c r="D59" s="1177" t="s">
        <v>1430</v>
      </c>
      <c r="E59" s="1178" t="s">
        <v>1431</v>
      </c>
      <c r="F59" s="368" t="str">
        <f ca="1">IF(项目基本情况!B11="企业","",IF(INDIRECT("'数据-取费表'!c"&amp;$G$1)="住宅",5%,IF(F49*F50*F51/12/(1+'数据-取费表'!C42)&gt;20000,12%,7%)))</f>
        <v/>
      </c>
      <c r="I59" s="1908" t="s">
        <v>1563</v>
      </c>
      <c r="J59" s="1909"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1043</v>
      </c>
      <c r="P59" s="1871" t="s">
        <v>1564</v>
      </c>
      <c r="Q59" s="1883">
        <f>L52</f>
        <v>0</v>
      </c>
      <c r="R59" s="1872"/>
    </row>
    <row r="60" spans="1:18" s="1828" customFormat="1" ht="16.5" thickBot="1">
      <c r="A60" s="1196" t="s">
        <v>1034</v>
      </c>
      <c r="B60" s="1164" t="s">
        <v>1433</v>
      </c>
      <c r="C60" s="24">
        <f ca="1">IF(项目基本情况!B11="自然人","——",ROUND(C48*F60/(1+'数据-取费表'!C42),0))</f>
        <v>0</v>
      </c>
      <c r="D60" s="1178" t="s">
        <v>1434</v>
      </c>
      <c r="E60" s="1164" t="s">
        <v>1422</v>
      </c>
      <c r="F60" s="377">
        <f t="shared" ref="F60:F66" si="0">F32</f>
        <v>5.6000000000000001E-2</v>
      </c>
      <c r="I60" s="1911" t="s">
        <v>1565</v>
      </c>
      <c r="J60" s="1912" t="e">
        <f ca="1">IF(OR(M47="住宅",J51&lt;L48,J56="是"),"0",ROUND(J59/(1+J52)^J53,0))</f>
        <v>#DIV/0!</v>
      </c>
      <c r="K60" s="1913" t="s">
        <v>1566</v>
      </c>
      <c r="L60" s="1912" t="e">
        <f ca="1">IF(OR(M47="住宅",L48&lt;J51),0,ROUND(L57*(L58/L59-1),0))</f>
        <v>#DIV/0!</v>
      </c>
      <c r="O60" s="1880" t="s">
        <v>1044</v>
      </c>
      <c r="P60" s="1871" t="s">
        <v>1567</v>
      </c>
      <c r="Q60" s="1872" t="e">
        <f ca="1">L58</f>
        <v>#DIV/0!</v>
      </c>
      <c r="R60" s="1872" t="s">
        <v>1568</v>
      </c>
    </row>
    <row r="61" spans="1:18" s="1828" customFormat="1" ht="13.5" thickBot="1">
      <c r="A61" s="1196" t="s">
        <v>1492</v>
      </c>
      <c r="B61" s="1164" t="s">
        <v>1493</v>
      </c>
      <c r="C61" s="24">
        <f ca="1">IF(项目基本情况!B11="自然人","——",IF(D61="按租金收入计税",ROUND(C48*F61,0),IF(D61="按房产原值计税",ROUND(C57*F61*0.7,0),INDIRECT("'数据-取费表'!Aj"&amp;$G$1))))</f>
        <v>0</v>
      </c>
      <c r="D61" s="1814" t="s">
        <v>1438</v>
      </c>
      <c r="E61" s="1164" t="s">
        <v>1494</v>
      </c>
      <c r="F61" s="367">
        <f t="shared" si="0"/>
        <v>1.2E-2</v>
      </c>
      <c r="I61" s="1914"/>
      <c r="J61" s="1914"/>
      <c r="K61" s="1914"/>
      <c r="L61" s="1914"/>
      <c r="O61" s="1880" t="s">
        <v>1045</v>
      </c>
      <c r="P61" s="1871" t="str">
        <f>K59</f>
        <v>建设期及建筑物耐用年限下的土地年期修正系数Kn</v>
      </c>
      <c r="Q61" s="1872" t="e">
        <f ca="1">L59</f>
        <v>#DIV/0!</v>
      </c>
      <c r="R61" s="1872" t="s">
        <v>1569</v>
      </c>
    </row>
    <row r="62" spans="1:18" s="1828" customFormat="1" ht="13.5" thickBot="1">
      <c r="A62" s="1196" t="s">
        <v>1495</v>
      </c>
      <c r="B62" s="1163" t="s">
        <v>1496</v>
      </c>
      <c r="C62" s="25">
        <f ca="1">IF(项目基本情况!B11="自然人","——",ROUND(F62*F63,0))</f>
        <v>0</v>
      </c>
      <c r="D62" s="1179" t="s">
        <v>1497</v>
      </c>
      <c r="E62" s="1164" t="s">
        <v>1498</v>
      </c>
      <c r="F62" s="371">
        <f t="shared" si="0"/>
        <v>12</v>
      </c>
      <c r="I62" s="1915" t="s">
        <v>1570</v>
      </c>
      <c r="J62" s="1916" t="s">
        <v>1571</v>
      </c>
      <c r="K62" s="1916" t="s">
        <v>1572</v>
      </c>
      <c r="L62" s="1916" t="s">
        <v>1573</v>
      </c>
      <c r="M62" s="1917" t="s">
        <v>1574</v>
      </c>
      <c r="O62" s="1870" t="s">
        <v>1046</v>
      </c>
      <c r="P62" s="1871" t="s">
        <v>1575</v>
      </c>
      <c r="Q62" s="1872" t="e">
        <f ca="1">Q56+Q57</f>
        <v>#DIV/0!</v>
      </c>
      <c r="R62" s="1872" t="s">
        <v>1047</v>
      </c>
    </row>
    <row r="63" spans="1:18" s="1828" customFormat="1" ht="13.5" thickBot="1">
      <c r="A63" s="372"/>
      <c r="B63" s="1170"/>
      <c r="C63" s="29"/>
      <c r="D63" s="1180"/>
      <c r="E63" s="1164" t="s">
        <v>1499</v>
      </c>
      <c r="F63" s="348">
        <f t="shared" ca="1" si="0"/>
        <v>0</v>
      </c>
      <c r="I63" s="1915" t="s">
        <v>1576</v>
      </c>
      <c r="J63" s="1916">
        <v>70</v>
      </c>
      <c r="K63" s="1916">
        <v>50</v>
      </c>
      <c r="L63" s="1916">
        <v>80</v>
      </c>
      <c r="M63" s="1918">
        <v>0.02</v>
      </c>
      <c r="O63" s="1855" t="s">
        <v>1577</v>
      </c>
      <c r="P63" s="1825"/>
      <c r="Q63" s="1825"/>
      <c r="R63" s="1825"/>
    </row>
    <row r="64" spans="1:18" s="1828" customFormat="1" ht="13.5" thickBot="1">
      <c r="A64" s="1196" t="s">
        <v>1500</v>
      </c>
      <c r="B64" s="1164" t="s">
        <v>1501</v>
      </c>
      <c r="C64" s="24">
        <f ca="1">ROUND(C57*F64,0)</f>
        <v>0</v>
      </c>
      <c r="D64" s="1178" t="s">
        <v>1502</v>
      </c>
      <c r="E64" s="1164" t="s">
        <v>1494</v>
      </c>
      <c r="F64" s="374">
        <f t="shared" ca="1" si="0"/>
        <v>0</v>
      </c>
      <c r="I64" s="1915" t="s">
        <v>1578</v>
      </c>
      <c r="J64" s="1916">
        <v>50</v>
      </c>
      <c r="K64" s="1916">
        <v>35</v>
      </c>
      <c r="L64" s="1916">
        <v>60</v>
      </c>
      <c r="M64" s="1917">
        <v>0</v>
      </c>
      <c r="O64" s="1863" t="s">
        <v>1522</v>
      </c>
      <c r="P64" s="1864" t="s">
        <v>1523</v>
      </c>
      <c r="Q64" s="1865" t="s">
        <v>1524</v>
      </c>
      <c r="R64" s="1865" t="s">
        <v>1525</v>
      </c>
    </row>
    <row r="65" spans="1:18" s="1828" customFormat="1" ht="13.5" thickBot="1">
      <c r="A65" s="1196" t="s">
        <v>1503</v>
      </c>
      <c r="B65" s="1164" t="s">
        <v>1453</v>
      </c>
      <c r="C65" s="24">
        <f ca="1">ROUND(C56*F65,0)</f>
        <v>0</v>
      </c>
      <c r="D65" s="1178" t="s">
        <v>1454</v>
      </c>
      <c r="E65" s="1164" t="s">
        <v>1455</v>
      </c>
      <c r="F65" s="376">
        <f t="shared" ca="1" si="0"/>
        <v>0</v>
      </c>
      <c r="I65" s="1915" t="s">
        <v>1579</v>
      </c>
      <c r="J65" s="1916">
        <v>40</v>
      </c>
      <c r="K65" s="1916">
        <v>30</v>
      </c>
      <c r="L65" s="1916">
        <v>50</v>
      </c>
      <c r="M65" s="1918">
        <v>0.02</v>
      </c>
      <c r="O65" s="1870" t="s">
        <v>1040</v>
      </c>
      <c r="P65" s="1871" t="s">
        <v>1580</v>
      </c>
      <c r="Q65" s="1872" t="e">
        <f ca="1">C40+J29</f>
        <v>#DIV/0!</v>
      </c>
      <c r="R65" s="1872" t="s">
        <v>1529</v>
      </c>
    </row>
    <row r="66" spans="1:18" s="1828" customFormat="1" ht="16.5" thickBot="1">
      <c r="A66" s="1196" t="s">
        <v>1504</v>
      </c>
      <c r="B66" s="1164" t="s">
        <v>1439</v>
      </c>
      <c r="C66" s="24">
        <f ca="1">ROUND(C48*F66,0)</f>
        <v>0</v>
      </c>
      <c r="D66" s="1178" t="s">
        <v>1505</v>
      </c>
      <c r="E66" s="1164" t="s">
        <v>1422</v>
      </c>
      <c r="F66" s="357">
        <f t="shared" ca="1" si="0"/>
        <v>0</v>
      </c>
      <c r="O66" s="1870" t="s">
        <v>1041</v>
      </c>
      <c r="P66" s="1871" t="s">
        <v>1558</v>
      </c>
      <c r="Q66" s="1872" t="e">
        <f ca="1">L60</f>
        <v>#DIV/0!</v>
      </c>
      <c r="R66" s="1872" t="s">
        <v>1581</v>
      </c>
    </row>
    <row r="67" spans="1:18" s="1828" customFormat="1" ht="16.5" thickBot="1">
      <c r="A67" s="1171" t="s">
        <v>1031</v>
      </c>
      <c r="B67" s="1181" t="s">
        <v>1463</v>
      </c>
      <c r="C67" s="361">
        <f ca="1">C48-C58</f>
        <v>0</v>
      </c>
      <c r="D67" s="1177" t="s">
        <v>1464</v>
      </c>
      <c r="E67" s="1182"/>
      <c r="F67" s="1183"/>
      <c r="O67" s="1880" t="s">
        <v>1042</v>
      </c>
      <c r="P67" s="1871" t="s">
        <v>1562</v>
      </c>
      <c r="Q67" s="1919">
        <f ca="1">L51</f>
        <v>0</v>
      </c>
      <c r="R67" s="1872" t="s">
        <v>1582</v>
      </c>
    </row>
    <row r="68" spans="1:18" s="1828" customFormat="1" ht="16.5" thickBot="1">
      <c r="A68" s="1161" t="s">
        <v>1032</v>
      </c>
      <c r="B68" s="1162" t="s">
        <v>1485</v>
      </c>
      <c r="C68" s="346" t="e">
        <f ca="1">ROUND(C67*(1-((1+F70)/(1+F68))^F69)/(F68-F70),0)</f>
        <v>#DIV/0!</v>
      </c>
      <c r="D68" s="1179" t="s">
        <v>1469</v>
      </c>
      <c r="E68" s="1164" t="s">
        <v>1470</v>
      </c>
      <c r="F68" s="357">
        <f ca="1">F40</f>
        <v>0</v>
      </c>
      <c r="O68" s="1880" t="s">
        <v>1043</v>
      </c>
      <c r="P68" s="1920" t="s">
        <v>1583</v>
      </c>
      <c r="Q68" s="1872">
        <f ca="1">ROUND(Q69-Q70*Q71,0)</f>
        <v>0</v>
      </c>
      <c r="R68" s="1872" t="s">
        <v>1051</v>
      </c>
    </row>
    <row r="69" spans="1:18" s="1828" customFormat="1" ht="13.5" thickBot="1">
      <c r="A69" s="1165"/>
      <c r="B69" s="1166"/>
      <c r="C69" s="351"/>
      <c r="D69" s="1184" t="s">
        <v>1473</v>
      </c>
      <c r="E69" s="1164" t="s">
        <v>1474</v>
      </c>
      <c r="F69" s="379">
        <f ca="1">F41</f>
        <v>0</v>
      </c>
      <c r="O69" s="1880" t="s">
        <v>1048</v>
      </c>
      <c r="P69" s="1920" t="s">
        <v>1584</v>
      </c>
      <c r="Q69" s="1872">
        <f ca="1">C39</f>
        <v>0</v>
      </c>
      <c r="R69" s="1872" t="s">
        <v>1529</v>
      </c>
    </row>
    <row r="70" spans="1:18" s="1828" customFormat="1" ht="13.5" thickBot="1">
      <c r="A70" s="1168"/>
      <c r="B70" s="1169"/>
      <c r="C70" s="355"/>
      <c r="D70" s="1180"/>
      <c r="E70" s="1164" t="s">
        <v>1477</v>
      </c>
      <c r="F70" s="1262">
        <f ca="1">F42</f>
        <v>0</v>
      </c>
      <c r="O70" s="1880" t="s">
        <v>1049</v>
      </c>
      <c r="P70" s="1920" t="s">
        <v>1585</v>
      </c>
      <c r="Q70" s="1872">
        <f ca="1">C13</f>
        <v>0</v>
      </c>
      <c r="R70" s="1872" t="s">
        <v>1529</v>
      </c>
    </row>
    <row r="71" spans="1:18" s="1828" customFormat="1" ht="13.5" thickBot="1">
      <c r="A71" s="1185" t="s">
        <v>1033</v>
      </c>
      <c r="B71" s="1186" t="s">
        <v>1487</v>
      </c>
      <c r="C71" s="382" t="e">
        <f ca="1">ROUND(C68/F71,0)</f>
        <v>#DIV/0!</v>
      </c>
      <c r="D71" s="1187" t="s">
        <v>1488</v>
      </c>
      <c r="E71" s="1188" t="s">
        <v>1489</v>
      </c>
      <c r="F71" s="385">
        <f ca="1">F43</f>
        <v>0</v>
      </c>
      <c r="O71" s="1880" t="s">
        <v>1050</v>
      </c>
      <c r="P71" s="1920" t="s">
        <v>1586</v>
      </c>
      <c r="Q71" s="1883">
        <f ca="1">C76</f>
        <v>0</v>
      </c>
      <c r="R71" s="1872"/>
    </row>
    <row r="72" spans="1:18" s="1828" customFormat="1" ht="13.5" thickBot="1">
      <c r="B72" s="795"/>
      <c r="C72" s="795"/>
      <c r="O72" s="1880" t="s">
        <v>1044</v>
      </c>
      <c r="P72" s="1871" t="s">
        <v>1564</v>
      </c>
      <c r="Q72" s="1883">
        <f>L52</f>
        <v>0</v>
      </c>
      <c r="R72" s="1872"/>
    </row>
    <row r="73" spans="1:18" ht="16.5" thickBot="1">
      <c r="A73" s="1828"/>
      <c r="B73" s="795"/>
      <c r="C73" s="795"/>
      <c r="D73" s="1828"/>
      <c r="E73" s="1828"/>
      <c r="F73" s="1828"/>
      <c r="O73" s="1880" t="s">
        <v>1045</v>
      </c>
      <c r="P73" s="1871" t="s">
        <v>1567</v>
      </c>
      <c r="Q73" s="1872" t="e">
        <f ca="1">L58</f>
        <v>#DIV/0!</v>
      </c>
      <c r="R73" s="1872" t="s">
        <v>1568</v>
      </c>
    </row>
    <row r="74" spans="1:18" ht="13.5" thickBot="1">
      <c r="A74" s="1828"/>
      <c r="B74" s="317" t="s">
        <v>1587</v>
      </c>
      <c r="C74" s="1922"/>
      <c r="D74" s="1828"/>
      <c r="E74" s="1828"/>
      <c r="F74" s="1828"/>
      <c r="O74" s="1880" t="s">
        <v>1052</v>
      </c>
      <c r="P74" s="1871" t="str">
        <f>K59</f>
        <v>建设期及建筑物耐用年限下的土地年期修正系数Kn</v>
      </c>
      <c r="Q74" s="1872" t="e">
        <f ca="1">L59</f>
        <v>#DIV/0!</v>
      </c>
      <c r="R74" s="1872" t="s">
        <v>1569</v>
      </c>
    </row>
    <row r="75" spans="1:18" ht="13.5" thickBot="1">
      <c r="A75" s="1828"/>
      <c r="B75" s="386" t="s">
        <v>1506</v>
      </c>
      <c r="C75" s="387">
        <f ca="1">ROUND(C13*C76,0)</f>
        <v>0</v>
      </c>
      <c r="D75" s="1828"/>
      <c r="E75" s="1828"/>
      <c r="F75" s="1828"/>
      <c r="K75" s="1854"/>
      <c r="L75" s="1828"/>
      <c r="O75" s="1870" t="s">
        <v>1046</v>
      </c>
      <c r="P75" s="1871" t="s">
        <v>1549</v>
      </c>
      <c r="Q75" s="1872" t="e">
        <f ca="1">Q65+Q66</f>
        <v>#DIV/0!</v>
      </c>
      <c r="R75" s="1872" t="s">
        <v>1047</v>
      </c>
    </row>
    <row r="76" spans="1:18">
      <c r="B76" s="388" t="s">
        <v>1507</v>
      </c>
      <c r="C76" s="389">
        <f ca="1">INDIRECT("'数据-取费表'!j"&amp;$G$1)</f>
        <v>0</v>
      </c>
      <c r="I76" s="1828"/>
      <c r="J76" s="1828"/>
      <c r="K76" s="1854"/>
      <c r="L76" s="1828"/>
    </row>
    <row r="77" spans="1:18">
      <c r="B77" s="390" t="s">
        <v>1508</v>
      </c>
      <c r="C77" s="391"/>
      <c r="I77" s="1828"/>
      <c r="J77" s="1828"/>
      <c r="K77" s="1854"/>
      <c r="L77" s="1828"/>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446" t="s">
        <v>2439</v>
      </c>
      <c r="B1" s="2447"/>
      <c r="C1" s="2447"/>
      <c r="D1" s="2447"/>
      <c r="E1" s="2448"/>
    </row>
    <row r="2" spans="1:6" ht="15.75">
      <c r="A2" s="2449" t="s">
        <v>2240</v>
      </c>
      <c r="B2" s="2450">
        <f ca="1">SUMIF(B6:B13,"&lt;&gt;#ref!",B6:B13)</f>
        <v>8266</v>
      </c>
      <c r="C2" s="2451" t="s">
        <v>2432</v>
      </c>
      <c r="D2" s="2452" t="s">
        <v>2433</v>
      </c>
      <c r="E2" s="2453">
        <f>SUM(E6:E13)</f>
        <v>1683.72</v>
      </c>
    </row>
    <row r="3" spans="1:6" ht="15.75">
      <c r="A3" s="2449" t="s">
        <v>1394</v>
      </c>
      <c r="B3" s="2450">
        <f ca="1">ROUND(B2*10000/E2,0)</f>
        <v>49094</v>
      </c>
      <c r="C3" s="2451" t="s">
        <v>2440</v>
      </c>
      <c r="D3" s="2454"/>
      <c r="E3" s="2455"/>
    </row>
    <row r="4" spans="1:6" ht="15.75">
      <c r="A4" s="2456"/>
      <c r="B4" s="2454"/>
      <c r="C4" s="2454"/>
      <c r="D4" s="2454"/>
      <c r="E4" s="2455"/>
    </row>
    <row r="5" spans="1:6" ht="15">
      <c r="A5" s="2457" t="s">
        <v>2434</v>
      </c>
      <c r="B5" s="3316" t="s">
        <v>2435</v>
      </c>
      <c r="C5" s="3316"/>
      <c r="D5" s="2458"/>
      <c r="E5" s="2459" t="s">
        <v>2436</v>
      </c>
      <c r="F5" s="2460" t="s">
        <v>2437</v>
      </c>
    </row>
    <row r="6" spans="1:6">
      <c r="A6" s="2461" t="str">
        <f>'数据-取费表'!AN6</f>
        <v>收益法</v>
      </c>
      <c r="B6" s="2460">
        <f ca="1">IF(F6="是",'数据-取费表'!AO6,0)</f>
        <v>7936</v>
      </c>
      <c r="C6" s="2451" t="s">
        <v>2432</v>
      </c>
      <c r="D6" s="2454"/>
      <c r="E6" s="2462">
        <f>IF(OR(A6=0,F6="否"),0,'数据-取费表'!K6+'数据-取费表'!S6)</f>
        <v>1595.68</v>
      </c>
      <c r="F6" s="2463" t="s">
        <v>2438</v>
      </c>
    </row>
    <row r="7" spans="1:6">
      <c r="A7" s="2461" t="str">
        <f>'数据-取费表'!AN7</f>
        <v>收益法 (1201-1)</v>
      </c>
      <c r="B7" s="2460">
        <f ca="1">IF(F7="是",'数据-取费表'!AO7,0)</f>
        <v>330</v>
      </c>
      <c r="C7" s="2451" t="s">
        <v>2432</v>
      </c>
      <c r="D7" s="2454"/>
      <c r="E7" s="2462">
        <f>IF(OR(A7=0,F7="否"),0,'数据-取费表'!K7+'数据-取费表'!S7)</f>
        <v>88.04</v>
      </c>
      <c r="F7" s="2463" t="s">
        <v>2438</v>
      </c>
    </row>
    <row r="8" spans="1:6">
      <c r="A8" s="2461">
        <f>'数据-取费表'!AN8</f>
        <v>0</v>
      </c>
      <c r="B8" s="2460" t="e">
        <f ca="1">IF(F8="是",'数据-取费表'!AO8,0)</f>
        <v>#REF!</v>
      </c>
      <c r="C8" s="2451" t="s">
        <v>2432</v>
      </c>
      <c r="D8" s="2454"/>
      <c r="E8" s="2462">
        <f>IF(OR(A8=0,F8="否"),0,'数据-取费表'!K8+'数据-取费表'!S8)</f>
        <v>0</v>
      </c>
      <c r="F8" s="2463" t="s">
        <v>2438</v>
      </c>
    </row>
    <row r="9" spans="1:6">
      <c r="A9" s="2461">
        <f>'数据-取费表'!AN9</f>
        <v>0</v>
      </c>
      <c r="B9" s="2460" t="e">
        <f ca="1">IF(F9="是",'数据-取费表'!AO9,0)</f>
        <v>#REF!</v>
      </c>
      <c r="C9" s="2451" t="s">
        <v>2432</v>
      </c>
      <c r="D9" s="2454"/>
      <c r="E9" s="2462">
        <f>IF(OR(A9=0,F9="否"),0,'数据-取费表'!K9+'数据-取费表'!S9)</f>
        <v>0</v>
      </c>
      <c r="F9" s="2463" t="s">
        <v>2438</v>
      </c>
    </row>
    <row r="10" spans="1:6">
      <c r="A10" s="2461">
        <f>'数据-取费表'!AN10</f>
        <v>0</v>
      </c>
      <c r="B10" s="2460" t="e">
        <f ca="1">IF(F10="是",'数据-取费表'!AO10,0)</f>
        <v>#REF!</v>
      </c>
      <c r="C10" s="2451" t="s">
        <v>2432</v>
      </c>
      <c r="D10" s="2454"/>
      <c r="E10" s="2462">
        <f>IF(OR(A10=0,F10="否"),0,'数据-取费表'!K10+'数据-取费表'!S10)</f>
        <v>0</v>
      </c>
      <c r="F10" s="2463" t="s">
        <v>2438</v>
      </c>
    </row>
    <row r="11" spans="1:6">
      <c r="A11" s="2461">
        <f>'数据-取费表'!AN11</f>
        <v>0</v>
      </c>
      <c r="B11" s="2460" t="e">
        <f ca="1">IF(F11="是",'数据-取费表'!AO11,0)</f>
        <v>#REF!</v>
      </c>
      <c r="C11" s="2451" t="s">
        <v>2432</v>
      </c>
      <c r="D11" s="2454"/>
      <c r="E11" s="2462">
        <f>IF(OR(A11=0,F11="否"),0,'数据-取费表'!K11+'数据-取费表'!S11)</f>
        <v>0</v>
      </c>
      <c r="F11" s="2463" t="s">
        <v>2438</v>
      </c>
    </row>
    <row r="12" spans="1:6">
      <c r="A12" s="2461">
        <f>'数据-取费表'!AN12</f>
        <v>0</v>
      </c>
      <c r="B12" s="2460" t="e">
        <f ca="1">IF(F12="是",'数据-取费表'!AO12,0)</f>
        <v>#REF!</v>
      </c>
      <c r="C12" s="2451" t="s">
        <v>2432</v>
      </c>
      <c r="D12" s="2454"/>
      <c r="E12" s="2462">
        <f>IF(OR(A12=0,F12="否"),0,'数据-取费表'!K12+'数据-取费表'!S12)</f>
        <v>0</v>
      </c>
      <c r="F12" s="2463" t="s">
        <v>2438</v>
      </c>
    </row>
    <row r="13" spans="1:6" ht="15" thickBot="1">
      <c r="A13" s="2464">
        <f>'数据-取费表'!AN13</f>
        <v>0</v>
      </c>
      <c r="B13" s="2460" t="e">
        <f ca="1">IF(F13="是",'数据-取费表'!AO13,0)</f>
        <v>#REF!</v>
      </c>
      <c r="C13" s="2465" t="s">
        <v>2432</v>
      </c>
      <c r="D13" s="2466"/>
      <c r="E13" s="2462">
        <f>IF(OR(A13=0,F13="否"),0,'数据-取费表'!K13+'数据-取费表'!S13)</f>
        <v>0</v>
      </c>
      <c r="F13" s="2463" t="s">
        <v>2438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3" t="s">
        <v>1076</v>
      </c>
      <c r="B1" s="3334"/>
      <c r="C1" s="3335"/>
      <c r="D1" s="3336">
        <f>SUM(I10,I15,I20,I21,I23)</f>
        <v>0</v>
      </c>
      <c r="E1" s="3336"/>
      <c r="F1" s="3336"/>
      <c r="G1" s="3336"/>
      <c r="H1" s="3336"/>
      <c r="I1" s="3337"/>
    </row>
    <row r="2" spans="1:9">
      <c r="A2" s="3323" t="s">
        <v>1077</v>
      </c>
      <c r="B2" s="3324" t="s">
        <v>1078</v>
      </c>
      <c r="C2" s="3324"/>
      <c r="D2" s="1288" t="s">
        <v>1079</v>
      </c>
      <c r="E2" s="1288" t="s">
        <v>1080</v>
      </c>
      <c r="F2" s="1288" t="s">
        <v>1081</v>
      </c>
      <c r="G2" s="1288" t="s">
        <v>1082</v>
      </c>
      <c r="H2" s="1288" t="s">
        <v>1083</v>
      </c>
      <c r="I2" s="1289" t="s">
        <v>1084</v>
      </c>
    </row>
    <row r="3" spans="1:9">
      <c r="A3" s="3323"/>
      <c r="B3" s="3324" t="s">
        <v>1085</v>
      </c>
      <c r="C3" s="3324"/>
      <c r="D3" s="1290"/>
      <c r="E3" s="1288"/>
      <c r="F3" s="1291"/>
      <c r="G3" s="1291"/>
      <c r="H3" s="1292"/>
      <c r="I3" s="1293">
        <f>ROUND(D3*E3*F3*G3*H3/10000,0)</f>
        <v>0</v>
      </c>
    </row>
    <row r="4" spans="1:9">
      <c r="A4" s="3323"/>
      <c r="B4" s="3324" t="s">
        <v>1086</v>
      </c>
      <c r="C4" s="3324"/>
      <c r="D4" s="1290"/>
      <c r="E4" s="1288"/>
      <c r="F4" s="1291"/>
      <c r="G4" s="1291"/>
      <c r="H4" s="1292"/>
      <c r="I4" s="1293">
        <f t="shared" ref="I4:I9" si="0">ROUND(D4*E4*F4*G4*H4/10000,0)</f>
        <v>0</v>
      </c>
    </row>
    <row r="5" spans="1:9">
      <c r="A5" s="3323"/>
      <c r="B5" s="3324" t="s">
        <v>1087</v>
      </c>
      <c r="C5" s="3324"/>
      <c r="D5" s="1290"/>
      <c r="E5" s="1288"/>
      <c r="F5" s="1291"/>
      <c r="G5" s="1291"/>
      <c r="H5" s="1292"/>
      <c r="I5" s="1293">
        <f t="shared" si="0"/>
        <v>0</v>
      </c>
    </row>
    <row r="6" spans="1:9">
      <c r="A6" s="3323"/>
      <c r="B6" s="3324" t="s">
        <v>1088</v>
      </c>
      <c r="C6" s="3324"/>
      <c r="D6" s="1290"/>
      <c r="E6" s="1288"/>
      <c r="F6" s="1291"/>
      <c r="G6" s="1291"/>
      <c r="H6" s="1292"/>
      <c r="I6" s="1293">
        <f t="shared" si="0"/>
        <v>0</v>
      </c>
    </row>
    <row r="7" spans="1:9">
      <c r="A7" s="3323"/>
      <c r="B7" s="3324" t="s">
        <v>1089</v>
      </c>
      <c r="C7" s="3324"/>
      <c r="D7" s="1290"/>
      <c r="E7" s="1288"/>
      <c r="F7" s="1291"/>
      <c r="G7" s="1291"/>
      <c r="H7" s="1292"/>
      <c r="I7" s="1293">
        <f t="shared" si="0"/>
        <v>0</v>
      </c>
    </row>
    <row r="8" spans="1:9">
      <c r="A8" s="3323"/>
      <c r="B8" s="3324" t="s">
        <v>1090</v>
      </c>
      <c r="C8" s="3324"/>
      <c r="D8" s="1290"/>
      <c r="E8" s="1288"/>
      <c r="F8" s="1291"/>
      <c r="G8" s="1291"/>
      <c r="H8" s="1292"/>
      <c r="I8" s="1293">
        <f t="shared" si="0"/>
        <v>0</v>
      </c>
    </row>
    <row r="9" spans="1:9">
      <c r="A9" s="3323"/>
      <c r="B9" s="3324" t="s">
        <v>1091</v>
      </c>
      <c r="C9" s="3324"/>
      <c r="D9" s="1290"/>
      <c r="E9" s="1288"/>
      <c r="F9" s="1291"/>
      <c r="G9" s="1291"/>
      <c r="H9" s="1292"/>
      <c r="I9" s="1293">
        <f t="shared" si="0"/>
        <v>0</v>
      </c>
    </row>
    <row r="10" spans="1:9">
      <c r="A10" s="3323"/>
      <c r="B10" s="3325" t="s">
        <v>1092</v>
      </c>
      <c r="C10" s="3325"/>
      <c r="D10" s="1294"/>
      <c r="E10" s="1294" t="e">
        <f>ROUND(D1*10000/D10/H9,0)</f>
        <v>#DIV/0!</v>
      </c>
      <c r="F10" s="1295"/>
      <c r="G10" s="1295"/>
      <c r="H10" s="1296"/>
      <c r="I10" s="1297">
        <f>SUM(I3:I9)</f>
        <v>0</v>
      </c>
    </row>
    <row r="11" spans="1:9" ht="14.25">
      <c r="A11" s="3323" t="s">
        <v>1093</v>
      </c>
      <c r="B11" s="3324" t="s">
        <v>1094</v>
      </c>
      <c r="C11" s="3324"/>
      <c r="D11" s="1290" t="s">
        <v>1095</v>
      </c>
      <c r="E11" s="1290" t="s">
        <v>1096</v>
      </c>
      <c r="F11" s="1291" t="s">
        <v>1097</v>
      </c>
      <c r="G11" s="1291" t="s">
        <v>1083</v>
      </c>
      <c r="H11" s="1298" t="s">
        <v>1098</v>
      </c>
      <c r="I11" s="1289" t="s">
        <v>1084</v>
      </c>
    </row>
    <row r="12" spans="1:9">
      <c r="A12" s="3323"/>
      <c r="B12" s="3324" t="s">
        <v>1099</v>
      </c>
      <c r="C12" s="3324"/>
      <c r="D12" s="1290"/>
      <c r="E12" s="1290"/>
      <c r="F12" s="1291"/>
      <c r="G12" s="1292"/>
      <c r="H12" s="1299"/>
      <c r="I12" s="1289">
        <f>ROUND(D12*E12*F12*G12/10000,0)</f>
        <v>0</v>
      </c>
    </row>
    <row r="13" spans="1:9">
      <c r="A13" s="3323"/>
      <c r="B13" s="3324" t="s">
        <v>1100</v>
      </c>
      <c r="C13" s="3324"/>
      <c r="D13" s="1290"/>
      <c r="E13" s="1290"/>
      <c r="F13" s="1291"/>
      <c r="G13" s="1292"/>
      <c r="H13" s="1299"/>
      <c r="I13" s="1289">
        <f>ROUND(D13*E13*F13*G13/10000,0)</f>
        <v>0</v>
      </c>
    </row>
    <row r="14" spans="1:9">
      <c r="A14" s="3323"/>
      <c r="B14" s="3324" t="s">
        <v>1101</v>
      </c>
      <c r="C14" s="3324"/>
      <c r="D14" s="1290"/>
      <c r="E14" s="1290"/>
      <c r="F14" s="1291"/>
      <c r="G14" s="1292"/>
      <c r="H14" s="1299"/>
      <c r="I14" s="1289">
        <f>ROUND(D14*E14*F14*G14/10000,0)</f>
        <v>0</v>
      </c>
    </row>
    <row r="15" spans="1:9">
      <c r="A15" s="3323"/>
      <c r="B15" s="3325" t="s">
        <v>1092</v>
      </c>
      <c r="C15" s="3325"/>
      <c r="D15" s="1294"/>
      <c r="E15" s="1294">
        <f>SUM(E12:E14)</f>
        <v>0</v>
      </c>
      <c r="F15" s="1295"/>
      <c r="G15" s="1292"/>
      <c r="H15" s="1299"/>
      <c r="I15" s="1300">
        <f>SUM(I12:I14)</f>
        <v>0</v>
      </c>
    </row>
    <row r="16" spans="1:9" ht="24">
      <c r="A16" s="3323" t="s">
        <v>1102</v>
      </c>
      <c r="B16" s="3324" t="s">
        <v>1103</v>
      </c>
      <c r="C16" s="3324"/>
      <c r="D16" s="1290" t="s">
        <v>1079</v>
      </c>
      <c r="E16" s="1301" t="s">
        <v>1104</v>
      </c>
      <c r="F16" s="1291" t="s">
        <v>1105</v>
      </c>
      <c r="G16" s="1292" t="s">
        <v>1083</v>
      </c>
      <c r="H16" s="1298" t="s">
        <v>1098</v>
      </c>
      <c r="I16" s="1289" t="s">
        <v>1084</v>
      </c>
    </row>
    <row r="17" spans="1:9" ht="14.25">
      <c r="A17" s="3323"/>
      <c r="B17" s="3324" t="s">
        <v>1106</v>
      </c>
      <c r="C17" s="3324"/>
      <c r="D17" s="1290"/>
      <c r="E17" s="1290"/>
      <c r="F17" s="1291"/>
      <c r="G17" s="1292"/>
      <c r="H17" s="1302"/>
      <c r="I17" s="1303">
        <f>ROUND(D17*E17*F17*G17/10000,0)</f>
        <v>0</v>
      </c>
    </row>
    <row r="18" spans="1:9" ht="14.25">
      <c r="A18" s="3323"/>
      <c r="B18" s="3324" t="s">
        <v>1107</v>
      </c>
      <c r="C18" s="3324"/>
      <c r="D18" s="1290"/>
      <c r="E18" s="1290"/>
      <c r="F18" s="1291"/>
      <c r="G18" s="1292"/>
      <c r="H18" s="1302"/>
      <c r="I18" s="1303">
        <f>ROUND(D18*E18*F18*G18/10000,0)</f>
        <v>0</v>
      </c>
    </row>
    <row r="19" spans="1:9" ht="14.25">
      <c r="A19" s="3323"/>
      <c r="B19" s="3324" t="s">
        <v>1108</v>
      </c>
      <c r="C19" s="3324"/>
      <c r="D19" s="1290"/>
      <c r="E19" s="1290"/>
      <c r="F19" s="1291"/>
      <c r="G19" s="1292"/>
      <c r="H19" s="1302"/>
      <c r="I19" s="1303">
        <f>ROUND(D19*E19*F19*G19/10000,0)</f>
        <v>0</v>
      </c>
    </row>
    <row r="20" spans="1:9">
      <c r="A20" s="3323"/>
      <c r="B20" s="3325" t="s">
        <v>1092</v>
      </c>
      <c r="C20" s="3325"/>
      <c r="D20" s="1294">
        <f>SUM(D17:D19)</f>
        <v>0</v>
      </c>
      <c r="E20" s="1294"/>
      <c r="F20" s="1295"/>
      <c r="G20" s="1292"/>
      <c r="H20" s="1299"/>
      <c r="I20" s="1300">
        <f>SUM(I17:I19)</f>
        <v>0</v>
      </c>
    </row>
    <row r="21" spans="1:9">
      <c r="A21" s="3323" t="s">
        <v>1109</v>
      </c>
      <c r="B21" s="3326"/>
      <c r="C21" s="3326"/>
      <c r="D21" s="3326"/>
      <c r="E21" s="3326"/>
      <c r="F21" s="3326"/>
      <c r="G21" s="3326"/>
      <c r="H21" s="1751">
        <v>0.1</v>
      </c>
      <c r="I21" s="1297">
        <f>ROUND(I10*H21,0)</f>
        <v>0</v>
      </c>
    </row>
    <row r="22" spans="1:9" ht="14.25">
      <c r="A22" s="3327" t="s">
        <v>1110</v>
      </c>
      <c r="B22" s="3328"/>
      <c r="C22" s="3329"/>
      <c r="D22" s="1304" t="s">
        <v>1111</v>
      </c>
      <c r="E22" s="1304" t="s">
        <v>1112</v>
      </c>
      <c r="F22" s="1305" t="s">
        <v>1113</v>
      </c>
      <c r="G22" s="1305" t="s">
        <v>1114</v>
      </c>
      <c r="H22" s="1298" t="s">
        <v>1115</v>
      </c>
      <c r="I22" s="1289" t="s">
        <v>1116</v>
      </c>
    </row>
    <row r="23" spans="1:9" ht="14.25" thickBot="1">
      <c r="A23" s="3330"/>
      <c r="B23" s="3331"/>
      <c r="C23" s="3332"/>
      <c r="D23" s="1306"/>
      <c r="E23" s="1306"/>
      <c r="F23" s="1306"/>
      <c r="G23" s="1307"/>
      <c r="H23" s="1308"/>
      <c r="I23" s="1309">
        <f>ROUND(E23*D23*F23*(1-G23)/10000,0)</f>
        <v>0</v>
      </c>
    </row>
    <row r="26" spans="1:9">
      <c r="A26" s="1310" t="s">
        <v>1117</v>
      </c>
      <c r="B26" s="1310"/>
      <c r="C26" s="1310"/>
      <c r="D26" s="1310"/>
      <c r="E26" s="3320">
        <f>C27-C30-C31-C32</f>
        <v>0</v>
      </c>
      <c r="F26" s="3320"/>
      <c r="G26" s="3320"/>
      <c r="H26" s="1723" t="s">
        <v>1340</v>
      </c>
    </row>
    <row r="27" spans="1:9">
      <c r="A27" s="1311">
        <v>1</v>
      </c>
      <c r="B27" s="1312" t="s">
        <v>1118</v>
      </c>
      <c r="C27" s="1312">
        <f>C28+C29</f>
        <v>0</v>
      </c>
      <c r="D27" s="1312"/>
      <c r="E27" s="3321"/>
      <c r="F27" s="3321"/>
      <c r="G27" s="3321"/>
    </row>
    <row r="28" spans="1:9">
      <c r="A28" s="1313" t="s">
        <v>1119</v>
      </c>
      <c r="B28" s="1312" t="s">
        <v>1120</v>
      </c>
      <c r="C28" s="1312"/>
      <c r="D28" s="1312"/>
      <c r="E28" s="3321"/>
      <c r="F28" s="3321"/>
      <c r="G28" s="3321"/>
    </row>
    <row r="29" spans="1:9">
      <c r="A29" s="1313" t="s">
        <v>1121</v>
      </c>
      <c r="B29" s="1312" t="s">
        <v>1122</v>
      </c>
      <c r="C29" s="1312"/>
      <c r="D29" s="1312"/>
      <c r="E29" s="1312" t="s">
        <v>1123</v>
      </c>
      <c r="F29" s="1312"/>
      <c r="G29" s="1312"/>
    </row>
    <row r="30" spans="1:9">
      <c r="A30" s="1311">
        <v>2</v>
      </c>
      <c r="B30" s="1312" t="s">
        <v>1124</v>
      </c>
      <c r="C30" s="1312">
        <f>C27*D30</f>
        <v>0</v>
      </c>
      <c r="D30" s="1314">
        <v>0.2</v>
      </c>
      <c r="E30" s="1312" t="s">
        <v>1125</v>
      </c>
      <c r="F30" s="1312"/>
      <c r="G30" s="1312"/>
    </row>
    <row r="31" spans="1:9">
      <c r="A31" s="1311">
        <v>3</v>
      </c>
      <c r="B31" s="1312" t="s">
        <v>1126</v>
      </c>
      <c r="C31" s="1312">
        <f>C25*D31</f>
        <v>0</v>
      </c>
      <c r="D31" s="1314">
        <v>0.15</v>
      </c>
      <c r="E31" s="1312" t="s">
        <v>1127</v>
      </c>
      <c r="F31" s="1312"/>
      <c r="G31" s="1312"/>
    </row>
    <row r="32" spans="1:9">
      <c r="A32" s="1311">
        <v>4</v>
      </c>
      <c r="B32" s="1312" t="s">
        <v>1128</v>
      </c>
      <c r="C32" s="1312">
        <f>C27*D32</f>
        <v>0</v>
      </c>
      <c r="D32" s="1314">
        <v>0.05</v>
      </c>
      <c r="E32" s="3322"/>
      <c r="F32" s="3322"/>
      <c r="G32" s="3322"/>
    </row>
    <row r="33" spans="1:7" hidden="1">
      <c r="A33" s="3317" t="s">
        <v>1129</v>
      </c>
      <c r="B33" s="3318"/>
      <c r="C33" s="3318"/>
      <c r="D33" s="3319"/>
      <c r="E33" s="3320"/>
      <c r="F33" s="3320"/>
      <c r="G33" s="3320"/>
    </row>
    <row r="34" spans="1:7" hidden="1">
      <c r="A34" s="1315">
        <v>1</v>
      </c>
      <c r="B34" s="1312" t="s">
        <v>1130</v>
      </c>
      <c r="C34" s="1312"/>
      <c r="D34" s="1312"/>
      <c r="E34" s="3321"/>
      <c r="F34" s="3321"/>
      <c r="G34" s="3321"/>
    </row>
    <row r="35" spans="1:7" hidden="1">
      <c r="A35" s="1315">
        <v>2</v>
      </c>
      <c r="B35" s="1312" t="s">
        <v>1131</v>
      </c>
      <c r="C35" s="1312"/>
      <c r="D35" s="1312"/>
      <c r="E35" s="3321"/>
      <c r="F35" s="3321"/>
      <c r="G35" s="3321"/>
    </row>
    <row r="36" spans="1:7" hidden="1">
      <c r="A36" s="1315">
        <v>3</v>
      </c>
      <c r="B36" s="1312" t="s">
        <v>1132</v>
      </c>
      <c r="C36" s="1312"/>
      <c r="D36" s="1312"/>
      <c r="E36" s="3321"/>
      <c r="F36" s="3321"/>
      <c r="G36" s="3321"/>
    </row>
    <row r="37" spans="1:7" hidden="1">
      <c r="A37" s="1315">
        <v>4</v>
      </c>
      <c r="B37" s="1312" t="s">
        <v>1133</v>
      </c>
      <c r="C37" s="1312"/>
      <c r="D37" s="1312"/>
      <c r="E37" s="3321"/>
      <c r="F37" s="3321"/>
      <c r="G37" s="3321"/>
    </row>
    <row r="38" spans="1:7" hidden="1">
      <c r="A38" s="3317" t="s">
        <v>1134</v>
      </c>
      <c r="B38" s="3318"/>
      <c r="C38" s="3318"/>
      <c r="D38" s="3319"/>
      <c r="E38" s="3320"/>
      <c r="F38" s="3320"/>
      <c r="G38" s="33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8" zoomScale="85" zoomScaleNormal="90" zoomScaleSheetLayoutView="85" workbookViewId="0">
      <selection activeCell="L55" sqref="L5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5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5" customFormat="1" ht="28.5" customHeight="1" thickBot="1">
      <c r="A1" s="1604" t="s">
        <v>2441</v>
      </c>
      <c r="B1" s="2467" t="s">
        <v>2554</v>
      </c>
      <c r="C1" s="1620" t="s">
        <v>2443</v>
      </c>
      <c r="D1" s="1607" t="s">
        <v>3437</v>
      </c>
      <c r="E1" s="2540"/>
      <c r="F1" s="2469" t="s">
        <v>3542</v>
      </c>
      <c r="G1" s="1617" t="s">
        <v>2555</v>
      </c>
      <c r="H1" s="1616"/>
      <c r="I1" s="1616"/>
      <c r="J1" s="1616"/>
      <c r="K1" s="1618"/>
      <c r="L1" s="1619"/>
      <c r="M1" s="1620"/>
      <c r="N1" s="1620"/>
      <c r="O1" s="1620"/>
      <c r="P1" s="2541"/>
      <c r="Q1" s="2542"/>
      <c r="R1" s="2542"/>
      <c r="S1" s="2542"/>
      <c r="T1" s="2542"/>
      <c r="U1" s="2542"/>
      <c r="V1" s="2542"/>
      <c r="W1" s="2542"/>
      <c r="X1" s="2542"/>
      <c r="Y1" s="2542"/>
      <c r="Z1" s="2542"/>
      <c r="AA1" s="2542"/>
      <c r="AB1" s="2542"/>
      <c r="AC1" s="2543"/>
    </row>
    <row r="2" spans="1:29" s="398" customFormat="1" ht="28.5" customHeight="1" thickTop="1">
      <c r="A2" s="1603" t="s">
        <v>2240</v>
      </c>
      <c r="B2" s="1405">
        <f>IF(C2="——",ROUND(C49*D3/10000,0),ROUND(C49*D3/10000,0)-D2)</f>
        <v>7071</v>
      </c>
      <c r="C2" s="2471" t="s">
        <v>70</v>
      </c>
      <c r="D2" s="1352" t="e">
        <f ca="1">SUMIF(INDIRECT("'"&amp;F2&amp;"'"&amp;"!A:A"),"承租人权益价值",INDIRECT("'"&amp;F2&amp;"'"&amp;"!c:c"))</f>
        <v>#REF!</v>
      </c>
      <c r="E2" s="2472" t="s">
        <v>2241</v>
      </c>
      <c r="F2" s="2473"/>
      <c r="G2" s="1120"/>
      <c r="H2" s="1120"/>
      <c r="I2" s="1120"/>
      <c r="J2" s="1120"/>
      <c r="K2" s="1120"/>
      <c r="L2" s="1123"/>
      <c r="M2" s="1124"/>
      <c r="N2" s="1124"/>
      <c r="O2" s="1124"/>
      <c r="P2" s="2544"/>
      <c r="Q2" s="1124"/>
      <c r="R2" s="1124"/>
      <c r="S2" s="1124"/>
      <c r="T2" s="1124"/>
      <c r="U2" s="1124"/>
      <c r="V2" s="1124"/>
      <c r="W2" s="1124"/>
      <c r="X2" s="1124"/>
      <c r="Y2" s="1124"/>
      <c r="Z2" s="1124"/>
      <c r="AA2" s="1124"/>
      <c r="AB2" s="1124"/>
      <c r="AC2" s="2545"/>
    </row>
    <row r="3" spans="1:29" s="398" customFormat="1" ht="28.5" customHeight="1" thickBot="1">
      <c r="A3" s="247" t="s">
        <v>2242</v>
      </c>
      <c r="B3" s="609">
        <f>IF(C2="——",C49,ROUND(B2*10000/D3,0))</f>
        <v>44315</v>
      </c>
      <c r="C3" s="400" t="s">
        <v>2556</v>
      </c>
      <c r="D3" s="399">
        <f>IF(D1="",'数据-汇总表'!E3,SUMIF('数据-汇总表'!$C19:$C33,D1,'数据-汇总表'!$E19:$E33))</f>
        <v>1595.68</v>
      </c>
      <c r="E3" s="2546"/>
      <c r="F3" s="1121"/>
      <c r="G3" s="1120"/>
      <c r="H3" s="1120"/>
      <c r="I3" s="1120"/>
      <c r="J3" s="1120"/>
      <c r="K3" s="1122"/>
      <c r="L3" s="1123"/>
      <c r="M3" s="1124"/>
      <c r="N3" s="1124"/>
      <c r="O3" s="1124"/>
      <c r="P3" s="2544"/>
      <c r="Q3" s="1124"/>
      <c r="R3" s="1124"/>
      <c r="S3" s="1124"/>
      <c r="T3" s="1124"/>
      <c r="U3" s="1124"/>
      <c r="V3" s="1124"/>
      <c r="W3" s="1124"/>
      <c r="X3" s="1124"/>
      <c r="Y3" s="1124"/>
      <c r="Z3" s="1124"/>
      <c r="AA3" s="1124"/>
      <c r="AB3" s="1124"/>
      <c r="AC3" s="2546"/>
    </row>
    <row r="4" spans="1:29" ht="15">
      <c r="A4" s="401" t="s">
        <v>2557</v>
      </c>
      <c r="B4" s="402"/>
      <c r="C4" s="3280" t="s">
        <v>2558</v>
      </c>
      <c r="D4" s="3281"/>
      <c r="E4" s="3282" t="s">
        <v>2559</v>
      </c>
      <c r="F4" s="3283"/>
      <c r="G4" s="3280" t="s">
        <v>2560</v>
      </c>
      <c r="H4" s="3281"/>
      <c r="I4" s="3280" t="s">
        <v>2561</v>
      </c>
      <c r="J4" s="3281"/>
      <c r="K4" s="610" t="s">
        <v>2562</v>
      </c>
      <c r="L4" s="1125"/>
      <c r="M4" s="1126"/>
      <c r="N4" s="1126"/>
      <c r="O4" s="1126"/>
      <c r="P4" s="3284" t="s">
        <v>2563</v>
      </c>
      <c r="Q4" s="3285"/>
      <c r="R4" s="3290" t="s">
        <v>2559</v>
      </c>
      <c r="S4" s="3291"/>
      <c r="T4" s="3290" t="s">
        <v>2560</v>
      </c>
      <c r="U4" s="3291"/>
      <c r="V4" s="3296" t="s">
        <v>2561</v>
      </c>
      <c r="W4" s="3296"/>
      <c r="X4" s="1799"/>
      <c r="Y4" s="3290" t="s">
        <v>2563</v>
      </c>
      <c r="Z4" s="3291"/>
      <c r="AA4" s="3277" t="s">
        <v>2559</v>
      </c>
      <c r="AB4" s="3296" t="s">
        <v>2560</v>
      </c>
      <c r="AC4" s="3277" t="s">
        <v>2561</v>
      </c>
    </row>
    <row r="5" spans="1:29" ht="15.75" thickBot="1">
      <c r="A5" s="404"/>
      <c r="B5" s="405"/>
      <c r="C5" s="3304" t="s">
        <v>3676</v>
      </c>
      <c r="D5" s="3300"/>
      <c r="E5" s="3305" t="s">
        <v>3668</v>
      </c>
      <c r="F5" s="3306"/>
      <c r="G5" s="3299" t="s">
        <v>3664</v>
      </c>
      <c r="H5" s="3300"/>
      <c r="I5" s="3304" t="s">
        <v>3667</v>
      </c>
      <c r="J5" s="3300"/>
      <c r="K5" s="610"/>
      <c r="L5" s="1125"/>
      <c r="M5" s="1126"/>
      <c r="N5" s="1126"/>
      <c r="O5" s="1126"/>
      <c r="P5" s="3286"/>
      <c r="Q5" s="3287"/>
      <c r="R5" s="3292"/>
      <c r="S5" s="3293"/>
      <c r="T5" s="3292"/>
      <c r="U5" s="3293"/>
      <c r="V5" s="3296"/>
      <c r="W5" s="3296"/>
      <c r="X5" s="1799"/>
      <c r="Y5" s="3292"/>
      <c r="Z5" s="3293"/>
      <c r="AA5" s="3278"/>
      <c r="AB5" s="3296"/>
      <c r="AC5" s="3278"/>
    </row>
    <row r="6" spans="1:29" ht="15.75" hidden="1" thickBot="1">
      <c r="A6" s="406"/>
      <c r="B6" s="407"/>
      <c r="C6" s="3338"/>
      <c r="D6" s="3298"/>
      <c r="E6" s="3339"/>
      <c r="F6" s="3340"/>
      <c r="G6" s="3338"/>
      <c r="H6" s="3298"/>
      <c r="I6" s="3338"/>
      <c r="J6" s="3298"/>
      <c r="K6" s="610" t="s">
        <v>2460</v>
      </c>
      <c r="L6" s="1125"/>
      <c r="M6" s="1126"/>
      <c r="N6" s="1126"/>
      <c r="O6" s="1126"/>
      <c r="P6" s="3288"/>
      <c r="Q6" s="3289"/>
      <c r="R6" s="3292"/>
      <c r="S6" s="3293"/>
      <c r="T6" s="3294"/>
      <c r="U6" s="3295"/>
      <c r="V6" s="3296"/>
      <c r="W6" s="3296"/>
      <c r="X6" s="1799"/>
      <c r="Y6" s="3294"/>
      <c r="Z6" s="3295"/>
      <c r="AA6" s="3279"/>
      <c r="AB6" s="3296"/>
      <c r="AC6" s="3279"/>
    </row>
    <row r="7" spans="1:29" s="117" customFormat="1" ht="15.75" thickBot="1">
      <c r="A7" s="408" t="s">
        <v>2461</v>
      </c>
      <c r="B7" s="409"/>
      <c r="C7" s="410">
        <f>'数据-取费表'!B2</f>
        <v>43161</v>
      </c>
      <c r="D7" s="411">
        <v>100</v>
      </c>
      <c r="E7" s="412">
        <v>43132</v>
      </c>
      <c r="F7" s="413">
        <f>SUMIF(58:58,YEAR(E7)&amp;"-"&amp;MONTH(E7),59:59)</f>
        <v>100</v>
      </c>
      <c r="G7" s="412">
        <v>43132</v>
      </c>
      <c r="H7" s="411">
        <f>SUMIF(58:58,YEAR(G7)&amp;"-"&amp;MONTH(G7),59:59)</f>
        <v>100</v>
      </c>
      <c r="I7" s="412">
        <v>43135</v>
      </c>
      <c r="J7" s="411">
        <f>SUMIF(58:58,YEAR(I7)&amp;"-"&amp;MONTH(I7),59:59)</f>
        <v>100</v>
      </c>
      <c r="K7" s="611"/>
      <c r="L7" s="1127"/>
      <c r="M7" s="1128"/>
      <c r="N7" s="1128"/>
      <c r="O7" s="1128"/>
      <c r="P7" s="3301" t="s">
        <v>2462</v>
      </c>
      <c r="Q7" s="3303"/>
      <c r="R7" s="769" t="s">
        <v>17</v>
      </c>
      <c r="S7" s="770">
        <f t="shared" ref="S7:S15" si="0">F7</f>
        <v>100</v>
      </c>
      <c r="T7" s="769" t="s">
        <v>17</v>
      </c>
      <c r="U7" s="770">
        <f t="shared" ref="U7:U15" si="1">H7</f>
        <v>100</v>
      </c>
      <c r="V7" s="769" t="s">
        <v>17</v>
      </c>
      <c r="W7" s="770">
        <f t="shared" ref="W7:W15" si="2">J7</f>
        <v>100</v>
      </c>
      <c r="X7" s="771"/>
      <c r="Y7" s="3301" t="s">
        <v>2462</v>
      </c>
      <c r="Z7" s="3302"/>
      <c r="AA7" s="772">
        <f>D7/F7</f>
        <v>1</v>
      </c>
      <c r="AB7" s="772">
        <f>D7/H7</f>
        <v>1</v>
      </c>
      <c r="AC7" s="772">
        <f>D7/J7</f>
        <v>1</v>
      </c>
    </row>
    <row r="8" spans="1:29" s="117" customFormat="1" ht="15.75" thickBot="1">
      <c r="A8" s="408" t="s">
        <v>2463</v>
      </c>
      <c r="B8" s="409"/>
      <c r="C8" s="414" t="s">
        <v>2564</v>
      </c>
      <c r="D8" s="411">
        <v>100</v>
      </c>
      <c r="E8" s="414" t="s">
        <v>3544</v>
      </c>
      <c r="F8" s="413">
        <f>SUMIF(61:61,E8,62:62)-SUMIF(61:61,C8,62:62)+100</f>
        <v>100</v>
      </c>
      <c r="G8" s="414" t="s">
        <v>3544</v>
      </c>
      <c r="H8" s="411">
        <f>SUMIF(61:61,G8,62:62)-SUMIF(61:61,C8,62:62)+100</f>
        <v>100</v>
      </c>
      <c r="I8" s="414" t="s">
        <v>3544</v>
      </c>
      <c r="J8" s="411">
        <f>SUMIF(61:61,I8,62:62)-SUMIF(61:61,C8,62:62)+100</f>
        <v>100</v>
      </c>
      <c r="K8" s="611"/>
      <c r="L8" s="1127"/>
      <c r="M8" s="1128"/>
      <c r="N8" s="1128"/>
      <c r="O8" s="1128"/>
      <c r="P8" s="3301" t="s">
        <v>2465</v>
      </c>
      <c r="Q8" s="3302"/>
      <c r="R8" s="769" t="s">
        <v>17</v>
      </c>
      <c r="S8" s="770">
        <f t="shared" si="0"/>
        <v>100</v>
      </c>
      <c r="T8" s="769" t="s">
        <v>17</v>
      </c>
      <c r="U8" s="770">
        <f t="shared" si="1"/>
        <v>100</v>
      </c>
      <c r="V8" s="769" t="s">
        <v>17</v>
      </c>
      <c r="W8" s="770">
        <f t="shared" si="2"/>
        <v>100</v>
      </c>
      <c r="X8" s="771"/>
      <c r="Y8" s="3301" t="s">
        <v>2465</v>
      </c>
      <c r="Z8" s="3302"/>
      <c r="AA8" s="772">
        <f t="shared" ref="AA8:AA46" si="3">D8/F8</f>
        <v>1</v>
      </c>
      <c r="AB8" s="772">
        <f t="shared" ref="AB8:AB46" si="4">D8/H8</f>
        <v>1</v>
      </c>
      <c r="AC8" s="772">
        <f t="shared" ref="AC8:AC46" si="5">D8/J8</f>
        <v>1</v>
      </c>
    </row>
    <row r="9" spans="1:29" s="117" customFormat="1">
      <c r="A9" s="415" t="s">
        <v>2466</v>
      </c>
      <c r="B9" s="71" t="s">
        <v>2467</v>
      </c>
      <c r="C9" s="2990" t="s">
        <v>3628</v>
      </c>
      <c r="D9" s="135">
        <v>100</v>
      </c>
      <c r="E9" s="417" t="s">
        <v>1376</v>
      </c>
      <c r="F9" s="135">
        <f>SUMIF(63:63,E9,64:64)-SUMIF(63:63,C9,64:64)+100</f>
        <v>100</v>
      </c>
      <c r="G9" s="417" t="s">
        <v>1376</v>
      </c>
      <c r="H9" s="135">
        <f>SUMIF(63:63,G9,64:64)-SUMIF(63:63,C9,64:64)+100</f>
        <v>100</v>
      </c>
      <c r="I9" s="417" t="s">
        <v>1376</v>
      </c>
      <c r="J9" s="135">
        <f>SUMIF(63:63,I9,64:64)-SUMIF(63:63,C9,64:64)+100</f>
        <v>100</v>
      </c>
      <c r="K9" s="611"/>
      <c r="L9" s="1127"/>
      <c r="M9" s="1128"/>
      <c r="N9" s="1128"/>
      <c r="O9" s="1128"/>
      <c r="P9" s="3276" t="s">
        <v>2468</v>
      </c>
      <c r="Q9" s="1781" t="str">
        <f t="shared" ref="Q9:Q15" si="6">B9</f>
        <v>用途</v>
      </c>
      <c r="R9" s="769" t="s">
        <v>17</v>
      </c>
      <c r="S9" s="770">
        <f t="shared" si="0"/>
        <v>100</v>
      </c>
      <c r="T9" s="769" t="s">
        <v>17</v>
      </c>
      <c r="U9" s="770">
        <f t="shared" si="1"/>
        <v>100</v>
      </c>
      <c r="V9" s="769" t="s">
        <v>17</v>
      </c>
      <c r="W9" s="770">
        <f t="shared" si="2"/>
        <v>100</v>
      </c>
      <c r="X9" s="771"/>
      <c r="Y9" s="3142" t="s">
        <v>2469</v>
      </c>
      <c r="Z9" s="55" t="str">
        <f t="shared" ref="Z9:Z15" si="7">Q9</f>
        <v>用途</v>
      </c>
      <c r="AA9" s="772">
        <f t="shared" si="3"/>
        <v>1</v>
      </c>
      <c r="AB9" s="772">
        <f t="shared" si="4"/>
        <v>1</v>
      </c>
      <c r="AC9" s="772">
        <f t="shared" si="5"/>
        <v>1</v>
      </c>
    </row>
    <row r="10" spans="1:29" s="427" customFormat="1" ht="27">
      <c r="A10" s="421"/>
      <c r="B10" s="422" t="s">
        <v>2470</v>
      </c>
      <c r="C10" s="423" t="s">
        <v>3543</v>
      </c>
      <c r="D10" s="136">
        <v>100</v>
      </c>
      <c r="E10" s="424" t="s">
        <v>3543</v>
      </c>
      <c r="F10" s="136">
        <f>SUMIF(65:65,E10,66:66)-SUMIF(65:65,C10,66:66)+100</f>
        <v>100</v>
      </c>
      <c r="G10" s="424" t="s">
        <v>3666</v>
      </c>
      <c r="H10" s="136">
        <f>SUMIF(65:65,G10,66:66)-SUMIF(65:65,C10,66:66)+100</f>
        <v>95</v>
      </c>
      <c r="I10" s="424" t="s">
        <v>3543</v>
      </c>
      <c r="J10" s="136">
        <f>SUMIF(65:65,I10,66:66)-SUMIF(65:65,C10,66:66)+100</f>
        <v>100</v>
      </c>
      <c r="K10" s="612">
        <v>5</v>
      </c>
      <c r="L10" s="1130"/>
      <c r="M10" s="1131"/>
      <c r="N10" s="1131"/>
      <c r="O10" s="1131"/>
      <c r="P10" s="3276"/>
      <c r="Q10" s="1781" t="str">
        <f t="shared" si="6"/>
        <v>土地使用年限（年）</v>
      </c>
      <c r="R10" s="769" t="s">
        <v>17</v>
      </c>
      <c r="S10" s="770">
        <f t="shared" si="0"/>
        <v>100</v>
      </c>
      <c r="T10" s="769" t="s">
        <v>17</v>
      </c>
      <c r="U10" s="770">
        <f t="shared" si="1"/>
        <v>95</v>
      </c>
      <c r="V10" s="769" t="s">
        <v>17</v>
      </c>
      <c r="W10" s="770">
        <f t="shared" si="2"/>
        <v>100</v>
      </c>
      <c r="X10" s="771"/>
      <c r="Y10" s="3142"/>
      <c r="Z10" s="55" t="str">
        <f t="shared" si="7"/>
        <v>土地使用年限（年）</v>
      </c>
      <c r="AA10" s="772">
        <f t="shared" si="3"/>
        <v>1</v>
      </c>
      <c r="AB10" s="772">
        <f t="shared" si="4"/>
        <v>1.0526315789473684</v>
      </c>
      <c r="AC10" s="772">
        <f t="shared" si="5"/>
        <v>1</v>
      </c>
    </row>
    <row r="11" spans="1:29" ht="15.75" thickBot="1">
      <c r="A11" s="428"/>
      <c r="B11" s="422" t="s">
        <v>2471</v>
      </c>
      <c r="C11" s="429"/>
      <c r="D11" s="136">
        <v>100</v>
      </c>
      <c r="E11" s="430"/>
      <c r="F11" s="136">
        <f>LOOKUP(E11,68:68,69:69)-LOOKUP(C11,68:68,69:69)+100</f>
        <v>100</v>
      </c>
      <c r="G11" s="429"/>
      <c r="H11" s="136">
        <f>LOOKUP(G11,68:68,69:69)-LOOKUP(C11,68:68,69:69)+100</f>
        <v>100</v>
      </c>
      <c r="I11" s="429"/>
      <c r="J11" s="136">
        <f>LOOKUP(I11,68:68,69:69)-LOOKUP(C11,68:68,69:69)+100</f>
        <v>100</v>
      </c>
      <c r="K11" s="612">
        <v>0.5</v>
      </c>
      <c r="L11" s="1133"/>
      <c r="M11" s="1126"/>
      <c r="N11" s="1126"/>
      <c r="O11" s="1126"/>
      <c r="P11" s="3276"/>
      <c r="Q11" s="1781" t="str">
        <f t="shared" si="6"/>
        <v>容积率</v>
      </c>
      <c r="R11" s="769" t="s">
        <v>17</v>
      </c>
      <c r="S11" s="770">
        <f t="shared" si="0"/>
        <v>100</v>
      </c>
      <c r="T11" s="769" t="s">
        <v>17</v>
      </c>
      <c r="U11" s="770">
        <f t="shared" si="1"/>
        <v>100</v>
      </c>
      <c r="V11" s="769" t="s">
        <v>17</v>
      </c>
      <c r="W11" s="770">
        <f t="shared" si="2"/>
        <v>100</v>
      </c>
      <c r="X11" s="771"/>
      <c r="Y11" s="3142"/>
      <c r="Z11" s="55" t="str">
        <f t="shared" si="7"/>
        <v>容积率</v>
      </c>
      <c r="AA11" s="772">
        <f t="shared" si="3"/>
        <v>1</v>
      </c>
      <c r="AB11" s="772">
        <f t="shared" si="4"/>
        <v>1</v>
      </c>
      <c r="AC11" s="772">
        <f t="shared" si="5"/>
        <v>1</v>
      </c>
    </row>
    <row r="12" spans="1:29" s="117" customFormat="1" ht="15" hidden="1">
      <c r="A12" s="431"/>
      <c r="B12" s="2485"/>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76"/>
      <c r="Q12" s="1781">
        <f t="shared" si="6"/>
        <v>0</v>
      </c>
      <c r="R12" s="769" t="s">
        <v>17</v>
      </c>
      <c r="S12" s="770">
        <f t="shared" si="0"/>
        <v>100</v>
      </c>
      <c r="T12" s="769" t="s">
        <v>17</v>
      </c>
      <c r="U12" s="770">
        <f t="shared" si="1"/>
        <v>100</v>
      </c>
      <c r="V12" s="769" t="s">
        <v>17</v>
      </c>
      <c r="W12" s="770">
        <f t="shared" si="2"/>
        <v>100</v>
      </c>
      <c r="X12" s="771"/>
      <c r="Y12" s="3142"/>
      <c r="Z12" s="55">
        <f t="shared" si="7"/>
        <v>0</v>
      </c>
      <c r="AA12" s="772">
        <f>D12/F12</f>
        <v>1</v>
      </c>
      <c r="AB12" s="772">
        <f>D12/H12</f>
        <v>1</v>
      </c>
      <c r="AC12" s="772">
        <f>D12/J12</f>
        <v>1</v>
      </c>
    </row>
    <row r="13" spans="1:29" ht="15" hidden="1">
      <c r="A13" s="428"/>
      <c r="B13" s="2485"/>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76"/>
      <c r="Q13" s="1781">
        <f t="shared" si="6"/>
        <v>0</v>
      </c>
      <c r="R13" s="769" t="s">
        <v>17</v>
      </c>
      <c r="S13" s="770">
        <f t="shared" si="0"/>
        <v>100</v>
      </c>
      <c r="T13" s="769" t="s">
        <v>17</v>
      </c>
      <c r="U13" s="770">
        <f t="shared" si="1"/>
        <v>100</v>
      </c>
      <c r="V13" s="769" t="s">
        <v>17</v>
      </c>
      <c r="W13" s="770">
        <f t="shared" si="2"/>
        <v>100</v>
      </c>
      <c r="X13" s="771"/>
      <c r="Y13" s="3142"/>
      <c r="Z13" s="55">
        <f t="shared" si="7"/>
        <v>0</v>
      </c>
      <c r="AA13" s="772">
        <f t="shared" si="3"/>
        <v>1</v>
      </c>
      <c r="AB13" s="772">
        <f t="shared" si="4"/>
        <v>1</v>
      </c>
      <c r="AC13" s="772">
        <f t="shared" si="5"/>
        <v>1</v>
      </c>
    </row>
    <row r="14" spans="1:29" ht="15.75" hidden="1" thickBot="1">
      <c r="A14" s="436"/>
      <c r="B14" s="2487"/>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76"/>
      <c r="Q14" s="1781">
        <f t="shared" si="6"/>
        <v>0</v>
      </c>
      <c r="R14" s="769" t="s">
        <v>17</v>
      </c>
      <c r="S14" s="770">
        <f t="shared" si="0"/>
        <v>100</v>
      </c>
      <c r="T14" s="769" t="s">
        <v>17</v>
      </c>
      <c r="U14" s="770">
        <f t="shared" si="1"/>
        <v>100</v>
      </c>
      <c r="V14" s="769" t="s">
        <v>17</v>
      </c>
      <c r="W14" s="770">
        <f t="shared" si="2"/>
        <v>100</v>
      </c>
      <c r="X14" s="771"/>
      <c r="Y14" s="3142"/>
      <c r="Z14" s="55">
        <f t="shared" si="7"/>
        <v>0</v>
      </c>
      <c r="AA14" s="772">
        <f t="shared" si="3"/>
        <v>1</v>
      </c>
      <c r="AB14" s="772">
        <f t="shared" si="4"/>
        <v>1</v>
      </c>
      <c r="AC14" s="772">
        <f t="shared" si="5"/>
        <v>1</v>
      </c>
    </row>
    <row r="15" spans="1:29" ht="15">
      <c r="A15" s="440" t="s">
        <v>2472</v>
      </c>
      <c r="B15" s="69" t="s">
        <v>2565</v>
      </c>
      <c r="C15" s="2488">
        <f>估价对象房地状况!C4</f>
        <v>0</v>
      </c>
      <c r="D15" s="441">
        <v>100</v>
      </c>
      <c r="E15" s="442"/>
      <c r="F15" s="441">
        <f>SUMIF(76:76,E16,77:77)-SUMIF(76:76,C16,77:77)+100</f>
        <v>95</v>
      </c>
      <c r="G15" s="442"/>
      <c r="H15" s="441">
        <f>SUMIF(76:76,G16,77:77)-SUMIF(76:76,C16,77:77)+100</f>
        <v>100</v>
      </c>
      <c r="I15" s="442"/>
      <c r="J15" s="441">
        <f>SUMIF(76:76,I16,77:77)-SUMIF(76:76,C16,77:77)+100</f>
        <v>100</v>
      </c>
      <c r="K15" s="614">
        <v>5</v>
      </c>
      <c r="L15" s="1135"/>
      <c r="M15" s="1126"/>
      <c r="N15" s="1126"/>
      <c r="O15" s="1126"/>
      <c r="P15" s="3274" t="s">
        <v>2473</v>
      </c>
      <c r="Q15" s="1796" t="str">
        <f t="shared" si="6"/>
        <v>商业繁华度</v>
      </c>
      <c r="R15" s="773" t="s">
        <v>17</v>
      </c>
      <c r="S15" s="774">
        <f t="shared" si="0"/>
        <v>95</v>
      </c>
      <c r="T15" s="773" t="s">
        <v>17</v>
      </c>
      <c r="U15" s="774">
        <f t="shared" si="1"/>
        <v>100</v>
      </c>
      <c r="V15" s="773" t="s">
        <v>17</v>
      </c>
      <c r="W15" s="774">
        <f t="shared" si="2"/>
        <v>100</v>
      </c>
      <c r="X15" s="1799"/>
      <c r="Y15" s="3267" t="s">
        <v>2473</v>
      </c>
      <c r="Z15" s="1800" t="str">
        <f t="shared" si="7"/>
        <v>商业繁华度</v>
      </c>
      <c r="AA15" s="1797">
        <f t="shared" si="3"/>
        <v>1.0526315789473684</v>
      </c>
      <c r="AB15" s="1797">
        <f t="shared" si="4"/>
        <v>1</v>
      </c>
      <c r="AC15" s="1797">
        <f t="shared" si="5"/>
        <v>1</v>
      </c>
    </row>
    <row r="16" spans="1:29" ht="15">
      <c r="A16" s="428"/>
      <c r="B16" s="446"/>
      <c r="C16" s="447" t="s">
        <v>3548</v>
      </c>
      <c r="D16" s="448"/>
      <c r="E16" s="447" t="s">
        <v>3619</v>
      </c>
      <c r="F16" s="448"/>
      <c r="G16" s="447" t="s">
        <v>3548</v>
      </c>
      <c r="H16" s="450"/>
      <c r="I16" s="447" t="s">
        <v>3548</v>
      </c>
      <c r="J16" s="448"/>
      <c r="K16" s="615"/>
      <c r="L16" s="1135"/>
      <c r="M16" s="1126"/>
      <c r="N16" s="1126"/>
      <c r="O16" s="1126"/>
      <c r="P16" s="3275"/>
      <c r="Q16" s="1796"/>
      <c r="R16" s="773"/>
      <c r="S16" s="774"/>
      <c r="T16" s="773"/>
      <c r="U16" s="774"/>
      <c r="V16" s="773"/>
      <c r="W16" s="774"/>
      <c r="X16" s="1799"/>
      <c r="Y16" s="3268"/>
      <c r="Z16" s="1800"/>
      <c r="AA16" s="1797">
        <v>1</v>
      </c>
      <c r="AB16" s="1797">
        <v>1</v>
      </c>
      <c r="AC16" s="1797">
        <v>1</v>
      </c>
    </row>
    <row r="17" spans="1:29" ht="15">
      <c r="A17" s="428"/>
      <c r="B17" s="451" t="s">
        <v>2012</v>
      </c>
      <c r="C17" s="2492">
        <f>估价对象房地状况!C6</f>
        <v>0</v>
      </c>
      <c r="D17" s="450">
        <v>100</v>
      </c>
      <c r="E17" s="452"/>
      <c r="F17" s="455">
        <f>SUMIF(78:78,E18,79:79)-SUMIF(78:78,C18,79:79)+100</f>
        <v>95</v>
      </c>
      <c r="G17" s="452"/>
      <c r="H17" s="455">
        <f>SUMIF(78:78,G18,79:79)-SUMIF(78:78,C18,79:79)+100</f>
        <v>100</v>
      </c>
      <c r="I17" s="452"/>
      <c r="J17" s="455">
        <f>SUMIF(78:78,I18,79:79)-SUMIF(78:78,C18,79:79)+100</f>
        <v>100</v>
      </c>
      <c r="K17" s="614">
        <v>5</v>
      </c>
      <c r="L17" s="1135"/>
      <c r="M17" s="1126"/>
      <c r="N17" s="1126"/>
      <c r="O17" s="1126"/>
      <c r="P17" s="3275"/>
      <c r="Q17" s="1796" t="str">
        <f>B17</f>
        <v>交通便捷度</v>
      </c>
      <c r="R17" s="773" t="s">
        <v>17</v>
      </c>
      <c r="S17" s="774">
        <f>F17</f>
        <v>95</v>
      </c>
      <c r="T17" s="773" t="s">
        <v>17</v>
      </c>
      <c r="U17" s="774">
        <f>H17</f>
        <v>100</v>
      </c>
      <c r="V17" s="773" t="s">
        <v>17</v>
      </c>
      <c r="W17" s="774">
        <f>J17</f>
        <v>100</v>
      </c>
      <c r="X17" s="1799"/>
      <c r="Y17" s="3268"/>
      <c r="Z17" s="1800" t="str">
        <f>Q17</f>
        <v>交通便捷度</v>
      </c>
      <c r="AA17" s="1797">
        <f t="shared" si="3"/>
        <v>1.0526315789473684</v>
      </c>
      <c r="AB17" s="1797">
        <f t="shared" si="4"/>
        <v>1</v>
      </c>
      <c r="AC17" s="1797">
        <f t="shared" si="5"/>
        <v>1</v>
      </c>
    </row>
    <row r="18" spans="1:29" ht="15">
      <c r="A18" s="428"/>
      <c r="B18" s="456"/>
      <c r="C18" s="2493" t="s">
        <v>3548</v>
      </c>
      <c r="D18" s="450"/>
      <c r="E18" s="2495" t="s">
        <v>3619</v>
      </c>
      <c r="F18" s="448"/>
      <c r="G18" s="2495" t="s">
        <v>3548</v>
      </c>
      <c r="H18" s="448"/>
      <c r="I18" s="2495" t="s">
        <v>3548</v>
      </c>
      <c r="J18" s="448"/>
      <c r="K18" s="615"/>
      <c r="L18" s="1135"/>
      <c r="M18" s="1126"/>
      <c r="N18" s="1126"/>
      <c r="O18" s="1126"/>
      <c r="P18" s="3275"/>
      <c r="Q18" s="1796"/>
      <c r="R18" s="773"/>
      <c r="S18" s="774"/>
      <c r="T18" s="773"/>
      <c r="U18" s="774"/>
      <c r="V18" s="773"/>
      <c r="W18" s="774"/>
      <c r="X18" s="1799"/>
      <c r="Y18" s="3268"/>
      <c r="Z18" s="1800"/>
      <c r="AA18" s="1797">
        <v>1</v>
      </c>
      <c r="AB18" s="1797">
        <v>1</v>
      </c>
      <c r="AC18" s="1797">
        <v>1</v>
      </c>
    </row>
    <row r="19" spans="1:29" ht="15">
      <c r="A19" s="428"/>
      <c r="B19" s="451" t="s">
        <v>2566</v>
      </c>
      <c r="C19" s="2492">
        <f>估价对象房地状况!C7</f>
        <v>0</v>
      </c>
      <c r="D19" s="455">
        <v>100</v>
      </c>
      <c r="E19" s="457"/>
      <c r="F19" s="450">
        <f>SUMIF(80:80,E20,81:81)-SUMIF(80:80,C20,81:81)+100</f>
        <v>100</v>
      </c>
      <c r="G19" s="457"/>
      <c r="H19" s="450">
        <f>SUMIF(80:80,G20,81:81)-SUMIF(80:80,C20,81:81)+100</f>
        <v>100</v>
      </c>
      <c r="I19" s="457"/>
      <c r="J19" s="450">
        <f>SUMIF(80:80,I20,81:81)-SUMIF(80:80,C20,81:81)+100</f>
        <v>100</v>
      </c>
      <c r="K19" s="614">
        <v>5</v>
      </c>
      <c r="L19" s="1135"/>
      <c r="M19" s="1126"/>
      <c r="N19" s="1126"/>
      <c r="O19" s="1126"/>
      <c r="P19" s="3275"/>
      <c r="Q19" s="1796" t="str">
        <f>B19</f>
        <v>公共配套设施</v>
      </c>
      <c r="R19" s="773" t="s">
        <v>17</v>
      </c>
      <c r="S19" s="774">
        <f>F19</f>
        <v>100</v>
      </c>
      <c r="T19" s="773" t="s">
        <v>17</v>
      </c>
      <c r="U19" s="774">
        <f>H19</f>
        <v>100</v>
      </c>
      <c r="V19" s="773" t="s">
        <v>17</v>
      </c>
      <c r="W19" s="774">
        <f>J19</f>
        <v>100</v>
      </c>
      <c r="X19" s="1799"/>
      <c r="Y19" s="3268"/>
      <c r="Z19" s="1800" t="str">
        <f>Q19</f>
        <v>公共配套设施</v>
      </c>
      <c r="AA19" s="1797">
        <f t="shared" si="3"/>
        <v>1</v>
      </c>
      <c r="AB19" s="1797">
        <f t="shared" si="4"/>
        <v>1</v>
      </c>
      <c r="AC19" s="1797">
        <f t="shared" si="5"/>
        <v>1</v>
      </c>
    </row>
    <row r="20" spans="1:29" ht="15">
      <c r="A20" s="428"/>
      <c r="B20" s="456"/>
      <c r="C20" s="447" t="s">
        <v>3549</v>
      </c>
      <c r="D20" s="448"/>
      <c r="E20" s="2490" t="s">
        <v>3549</v>
      </c>
      <c r="F20" s="448"/>
      <c r="G20" s="2490" t="s">
        <v>3549</v>
      </c>
      <c r="H20" s="448"/>
      <c r="I20" s="2490" t="s">
        <v>3549</v>
      </c>
      <c r="J20" s="448"/>
      <c r="K20" s="615"/>
      <c r="L20" s="1135"/>
      <c r="M20" s="1126"/>
      <c r="N20" s="1126"/>
      <c r="O20" s="1126"/>
      <c r="P20" s="3275"/>
      <c r="Q20" s="1796"/>
      <c r="R20" s="773"/>
      <c r="S20" s="774"/>
      <c r="T20" s="773"/>
      <c r="U20" s="774"/>
      <c r="V20" s="773"/>
      <c r="W20" s="774"/>
      <c r="X20" s="1799"/>
      <c r="Y20" s="3268"/>
      <c r="Z20" s="1800"/>
      <c r="AA20" s="1797">
        <v>1</v>
      </c>
      <c r="AB20" s="1797">
        <v>1</v>
      </c>
      <c r="AC20" s="1797">
        <v>1</v>
      </c>
    </row>
    <row r="21" spans="1:29" ht="15">
      <c r="A21" s="428"/>
      <c r="B21" s="1371" t="s">
        <v>2567</v>
      </c>
      <c r="C21" s="2492">
        <f>估价对象房地状况!C8</f>
        <v>0</v>
      </c>
      <c r="D21" s="455">
        <v>100</v>
      </c>
      <c r="E21" s="457"/>
      <c r="F21" s="450">
        <f>SUMIF(82:82,E22,83:83)-SUMIF(82:82,C22,83:83)+100</f>
        <v>100</v>
      </c>
      <c r="G21" s="457"/>
      <c r="H21" s="450">
        <f>SUMIF(82:82,G22,83:83)-SUMIF(82:82,C22,83:83)+100</f>
        <v>100</v>
      </c>
      <c r="I21" s="457"/>
      <c r="J21" s="450">
        <f>SUMIF(82:82,I22,83:83)-SUMIF(82:82,C22,83:83)+100</f>
        <v>100</v>
      </c>
      <c r="K21" s="614">
        <v>2</v>
      </c>
      <c r="L21" s="1135"/>
      <c r="M21" s="1126"/>
      <c r="N21" s="1126"/>
      <c r="O21" s="1126"/>
      <c r="P21" s="3275"/>
      <c r="Q21" s="1796" t="str">
        <f>B21</f>
        <v>基础设施水平</v>
      </c>
      <c r="R21" s="773" t="s">
        <v>17</v>
      </c>
      <c r="S21" s="774">
        <f>F21</f>
        <v>100</v>
      </c>
      <c r="T21" s="773" t="s">
        <v>17</v>
      </c>
      <c r="U21" s="774">
        <f>H21</f>
        <v>100</v>
      </c>
      <c r="V21" s="773" t="s">
        <v>17</v>
      </c>
      <c r="W21" s="774">
        <f>J21</f>
        <v>100</v>
      </c>
      <c r="X21" s="1799"/>
      <c r="Y21" s="3268"/>
      <c r="Z21" s="1800" t="str">
        <f>Q21</f>
        <v>基础设施水平</v>
      </c>
      <c r="AA21" s="1797">
        <f t="shared" ref="AA21" si="8">D21/F21</f>
        <v>1</v>
      </c>
      <c r="AB21" s="1797">
        <f t="shared" ref="AB21" si="9">D21/H21</f>
        <v>1</v>
      </c>
      <c r="AC21" s="1797">
        <f t="shared" ref="AC21" si="10">D21/J21</f>
        <v>1</v>
      </c>
    </row>
    <row r="22" spans="1:29" ht="15">
      <c r="A22" s="428"/>
      <c r="B22" s="1371"/>
      <c r="C22" s="2493" t="s">
        <v>3550</v>
      </c>
      <c r="D22" s="448"/>
      <c r="E22" s="447" t="s">
        <v>3550</v>
      </c>
      <c r="F22" s="448"/>
      <c r="G22" s="447" t="s">
        <v>3550</v>
      </c>
      <c r="H22" s="448"/>
      <c r="I22" s="447" t="s">
        <v>3550</v>
      </c>
      <c r="J22" s="448"/>
      <c r="K22" s="1370"/>
      <c r="L22" s="1135"/>
      <c r="M22" s="1126"/>
      <c r="N22" s="1126"/>
      <c r="O22" s="1126"/>
      <c r="P22" s="3275"/>
      <c r="Q22" s="1796"/>
      <c r="R22" s="773"/>
      <c r="S22" s="774"/>
      <c r="T22" s="773"/>
      <c r="U22" s="774"/>
      <c r="V22" s="773"/>
      <c r="W22" s="774"/>
      <c r="X22" s="1799"/>
      <c r="Y22" s="3268"/>
      <c r="Z22" s="1800"/>
      <c r="AA22" s="1797">
        <v>1</v>
      </c>
      <c r="AB22" s="1797">
        <v>1</v>
      </c>
      <c r="AC22" s="1797">
        <v>1</v>
      </c>
    </row>
    <row r="23" spans="1:29" ht="15">
      <c r="A23" s="428"/>
      <c r="B23" s="451" t="s">
        <v>2015</v>
      </c>
      <c r="C23" s="2547">
        <f>估价对象房地状况!C9</f>
        <v>0</v>
      </c>
      <c r="D23" s="450">
        <v>100</v>
      </c>
      <c r="E23" s="452"/>
      <c r="F23" s="450">
        <f>SUMIF(84:84,E24,85:85)-SUMIF(84:84,C24,85:85)+100</f>
        <v>100</v>
      </c>
      <c r="G23" s="452"/>
      <c r="H23" s="450">
        <f>SUMIF(84:84,G24,85:85)-SUMIF(84:84,C24,85:85)+100</f>
        <v>100</v>
      </c>
      <c r="I23" s="452"/>
      <c r="J23" s="450">
        <f>SUMIF(84:84,I24,85:85)-SUMIF(84:84,C24,85:85)+100</f>
        <v>100</v>
      </c>
      <c r="K23" s="614">
        <v>5</v>
      </c>
      <c r="L23" s="1135"/>
      <c r="M23" s="1126"/>
      <c r="N23" s="1126"/>
      <c r="O23" s="1126"/>
      <c r="P23" s="3275"/>
      <c r="Q23" s="1796" t="str">
        <f>B23</f>
        <v>自然及人文环境</v>
      </c>
      <c r="R23" s="773" t="s">
        <v>17</v>
      </c>
      <c r="S23" s="774">
        <f>F23</f>
        <v>100</v>
      </c>
      <c r="T23" s="773" t="s">
        <v>17</v>
      </c>
      <c r="U23" s="774">
        <f>H23</f>
        <v>100</v>
      </c>
      <c r="V23" s="773" t="s">
        <v>17</v>
      </c>
      <c r="W23" s="774">
        <f>J23</f>
        <v>100</v>
      </c>
      <c r="X23" s="1799"/>
      <c r="Y23" s="3268"/>
      <c r="Z23" s="1800" t="str">
        <f>Q23</f>
        <v>自然及人文环境</v>
      </c>
      <c r="AA23" s="1797">
        <f t="shared" si="3"/>
        <v>1</v>
      </c>
      <c r="AB23" s="1797">
        <f t="shared" si="4"/>
        <v>1</v>
      </c>
      <c r="AC23" s="1797">
        <f t="shared" si="5"/>
        <v>1</v>
      </c>
    </row>
    <row r="24" spans="1:29" ht="15">
      <c r="A24" s="428"/>
      <c r="B24" s="456"/>
      <c r="C24" s="447" t="s">
        <v>3548</v>
      </c>
      <c r="D24" s="448"/>
      <c r="E24" s="2490" t="s">
        <v>3548</v>
      </c>
      <c r="F24" s="448"/>
      <c r="G24" s="2490" t="s">
        <v>3548</v>
      </c>
      <c r="H24" s="448"/>
      <c r="I24" s="2490" t="s">
        <v>3548</v>
      </c>
      <c r="J24" s="448"/>
      <c r="K24" s="615"/>
      <c r="L24" s="1135"/>
      <c r="M24" s="1126"/>
      <c r="N24" s="1126"/>
      <c r="O24" s="1126"/>
      <c r="P24" s="3275"/>
      <c r="Q24" s="1796"/>
      <c r="R24" s="773"/>
      <c r="S24" s="774"/>
      <c r="T24" s="773"/>
      <c r="U24" s="774"/>
      <c r="V24" s="773"/>
      <c r="W24" s="774"/>
      <c r="X24" s="1799"/>
      <c r="Y24" s="3268"/>
      <c r="Z24" s="1800"/>
      <c r="AA24" s="1797">
        <v>1</v>
      </c>
      <c r="AB24" s="1797">
        <v>1</v>
      </c>
      <c r="AC24" s="1797">
        <v>1</v>
      </c>
    </row>
    <row r="25" spans="1:29" ht="15">
      <c r="A25" s="428"/>
      <c r="B25" s="422" t="s">
        <v>2568</v>
      </c>
      <c r="C25" s="616" t="s">
        <v>3632</v>
      </c>
      <c r="D25" s="435">
        <v>100</v>
      </c>
      <c r="E25" s="616" t="s">
        <v>3632</v>
      </c>
      <c r="F25" s="435">
        <f>SUMIF(86:86,E25,87:87)-SUMIF(86:86,C25,87:87)+100</f>
        <v>100</v>
      </c>
      <c r="G25" s="616" t="s">
        <v>3632</v>
      </c>
      <c r="H25" s="435">
        <f>SUMIF(86:86,G25,87:87)-SUMIF(86:86,C25,87:87)+100</f>
        <v>100</v>
      </c>
      <c r="I25" s="616" t="s">
        <v>3632</v>
      </c>
      <c r="J25" s="435">
        <f>SUMIF(86:86,I25,87:87)-SUMIF(86:86,C25,87:87)+100</f>
        <v>100</v>
      </c>
      <c r="K25" s="612">
        <v>5</v>
      </c>
      <c r="L25" s="1135"/>
      <c r="M25" s="1126"/>
      <c r="N25" s="1126"/>
      <c r="O25" s="1126"/>
      <c r="P25" s="3275"/>
      <c r="Q25" s="1796" t="str">
        <f t="shared" ref="Q25:Q46" si="11">B25</f>
        <v>临街状况</v>
      </c>
      <c r="R25" s="773" t="s">
        <v>17</v>
      </c>
      <c r="S25" s="774">
        <f>F25</f>
        <v>100</v>
      </c>
      <c r="T25" s="773" t="s">
        <v>17</v>
      </c>
      <c r="U25" s="774">
        <f>H25</f>
        <v>100</v>
      </c>
      <c r="V25" s="773" t="s">
        <v>17</v>
      </c>
      <c r="W25" s="774">
        <f>J25</f>
        <v>100</v>
      </c>
      <c r="X25" s="1799"/>
      <c r="Y25" s="3268"/>
      <c r="Z25" s="1800" t="str">
        <f>Q25</f>
        <v>临街状况</v>
      </c>
      <c r="AA25" s="1797">
        <f t="shared" si="3"/>
        <v>1</v>
      </c>
      <c r="AB25" s="1797">
        <f t="shared" si="4"/>
        <v>1</v>
      </c>
      <c r="AC25" s="1797">
        <f t="shared" si="5"/>
        <v>1</v>
      </c>
    </row>
    <row r="26" spans="1:29" ht="15">
      <c r="A26" s="428"/>
      <c r="B26" s="1373" t="s">
        <v>2569</v>
      </c>
      <c r="C26" s="3001" t="s">
        <v>3629</v>
      </c>
      <c r="D26" s="435">
        <v>100</v>
      </c>
      <c r="E26" s="3001" t="s">
        <v>3629</v>
      </c>
      <c r="F26" s="435">
        <f>SUMIF(88:88,E26,89:89)-SUMIF(88:88,C26,89:89)+100</f>
        <v>100</v>
      </c>
      <c r="G26" s="3001" t="s">
        <v>3629</v>
      </c>
      <c r="H26" s="435">
        <f>SUMIF(88:88,G26,89:89)-SUMIF(88:88,C26,89:89)+100</f>
        <v>100</v>
      </c>
      <c r="I26" s="3001" t="s">
        <v>3629</v>
      </c>
      <c r="J26" s="435">
        <f>SUMIF(88:88,I26,89:89)-SUMIF(88:88,C26,89:89)+100</f>
        <v>100</v>
      </c>
      <c r="K26" s="613"/>
      <c r="L26" s="1135"/>
      <c r="M26" s="1126"/>
      <c r="N26" s="1126"/>
      <c r="O26" s="1126"/>
      <c r="P26" s="3275"/>
      <c r="Q26" s="1796" t="str">
        <f t="shared" si="11"/>
        <v>平面位置/可视性</v>
      </c>
      <c r="R26" s="773" t="s">
        <v>17</v>
      </c>
      <c r="S26" s="774">
        <f>F26</f>
        <v>100</v>
      </c>
      <c r="T26" s="773" t="s">
        <v>17</v>
      </c>
      <c r="U26" s="774">
        <f>H26</f>
        <v>100</v>
      </c>
      <c r="V26" s="773" t="s">
        <v>17</v>
      </c>
      <c r="W26" s="774">
        <f>J26</f>
        <v>100</v>
      </c>
      <c r="X26" s="1799"/>
      <c r="Y26" s="3268"/>
      <c r="Z26" s="1800" t="str">
        <f>Q26</f>
        <v>平面位置/可视性</v>
      </c>
      <c r="AA26" s="1797">
        <f t="shared" si="3"/>
        <v>1</v>
      </c>
      <c r="AB26" s="1797">
        <f t="shared" si="4"/>
        <v>1</v>
      </c>
      <c r="AC26" s="1797">
        <f t="shared" si="5"/>
        <v>1</v>
      </c>
    </row>
    <row r="27" spans="1:29" s="117" customFormat="1" ht="15">
      <c r="A27" s="431"/>
      <c r="B27" s="451" t="s">
        <v>2570</v>
      </c>
      <c r="C27" s="2548" t="s">
        <v>3548</v>
      </c>
      <c r="D27" s="462">
        <v>100</v>
      </c>
      <c r="E27" s="3013" t="s">
        <v>3629</v>
      </c>
      <c r="F27" s="462">
        <f>SUMIF(90:90,E27,91:91)-SUMIF(90:90,C27,91:91)+100</f>
        <v>100</v>
      </c>
      <c r="G27" s="3013" t="s">
        <v>3629</v>
      </c>
      <c r="H27" s="462">
        <f>SUMIF(90:90,G27,91:91)-SUMIF(90:90,C27,91:91)+100</f>
        <v>100</v>
      </c>
      <c r="I27" s="3013" t="s">
        <v>3629</v>
      </c>
      <c r="J27" s="462">
        <f>SUMIF(90:90,I27,91:91)-SUMIF(90:90,C27,91:91)+100</f>
        <v>100</v>
      </c>
      <c r="K27" s="612">
        <v>5</v>
      </c>
      <c r="L27" s="1127"/>
      <c r="M27" s="1128"/>
      <c r="N27" s="1128"/>
      <c r="O27" s="1128"/>
      <c r="P27" s="3275"/>
      <c r="Q27" s="1781" t="str">
        <f t="shared" si="11"/>
        <v>人流量</v>
      </c>
      <c r="R27" s="769" t="s">
        <v>17</v>
      </c>
      <c r="S27" s="770">
        <f>F27</f>
        <v>100</v>
      </c>
      <c r="T27" s="769" t="s">
        <v>17</v>
      </c>
      <c r="U27" s="770">
        <f>H27</f>
        <v>100</v>
      </c>
      <c r="V27" s="769" t="s">
        <v>17</v>
      </c>
      <c r="W27" s="770">
        <f>J27</f>
        <v>100</v>
      </c>
      <c r="X27" s="771"/>
      <c r="Y27" s="3268"/>
      <c r="Z27" s="55" t="str">
        <f>Q27</f>
        <v>人流量</v>
      </c>
      <c r="AA27" s="1797">
        <f>D27/F27</f>
        <v>1</v>
      </c>
      <c r="AB27" s="1797">
        <f>D27/H27</f>
        <v>1</v>
      </c>
      <c r="AC27" s="1797">
        <f>D27/J27</f>
        <v>1</v>
      </c>
    </row>
    <row r="28" spans="1:29" ht="15.75" thickBot="1">
      <c r="A28" s="428"/>
      <c r="B28" s="422" t="s">
        <v>2571</v>
      </c>
      <c r="C28" s="616" t="s">
        <v>3635</v>
      </c>
      <c r="D28" s="435">
        <v>100</v>
      </c>
      <c r="E28" s="616">
        <v>1</v>
      </c>
      <c r="F28" s="435">
        <f>SUMIF(92:92,E28,93:93)-SUMIF(92:92,C28,93:93)+100</f>
        <v>110</v>
      </c>
      <c r="G28" s="616">
        <v>1</v>
      </c>
      <c r="H28" s="435">
        <f>SUMIF(92:92,G28,93:93)-SUMIF(92:92,C28,93:93)+100</f>
        <v>110</v>
      </c>
      <c r="I28" s="616">
        <v>1</v>
      </c>
      <c r="J28" s="435">
        <f>SUMIF(92:92,I28,93:93)-SUMIF(92:92,C28,93:93)+100</f>
        <v>110</v>
      </c>
      <c r="K28" s="613"/>
      <c r="L28" s="1135"/>
      <c r="M28" s="1126"/>
      <c r="N28" s="1126"/>
      <c r="O28" s="1126"/>
      <c r="P28" s="3275"/>
      <c r="Q28" s="1796" t="str">
        <f t="shared" si="11"/>
        <v>楼层</v>
      </c>
      <c r="R28" s="773" t="s">
        <v>17</v>
      </c>
      <c r="S28" s="774">
        <f t="shared" ref="S28:S46" si="12">F28</f>
        <v>110</v>
      </c>
      <c r="T28" s="773" t="s">
        <v>17</v>
      </c>
      <c r="U28" s="774">
        <f t="shared" ref="U28:U46" si="13">H28</f>
        <v>110</v>
      </c>
      <c r="V28" s="773" t="s">
        <v>17</v>
      </c>
      <c r="W28" s="774">
        <f t="shared" ref="W28:W46" si="14">J28</f>
        <v>110</v>
      </c>
      <c r="X28" s="1799"/>
      <c r="Y28" s="3268"/>
      <c r="Z28" s="1800" t="str">
        <f t="shared" ref="Z28:Z46" si="15">Q28</f>
        <v>楼层</v>
      </c>
      <c r="AA28" s="1797">
        <f t="shared" si="3"/>
        <v>0.90909090909090906</v>
      </c>
      <c r="AB28" s="1797">
        <f t="shared" si="4"/>
        <v>0.90909090909090906</v>
      </c>
      <c r="AC28" s="1797">
        <f t="shared" si="5"/>
        <v>0.90909090909090906</v>
      </c>
    </row>
    <row r="29" spans="1:29" ht="15" hidden="1">
      <c r="A29" s="428"/>
      <c r="B29" s="1373"/>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75"/>
      <c r="Q29" s="1796">
        <f t="shared" si="11"/>
        <v>0</v>
      </c>
      <c r="R29" s="773" t="s">
        <v>17</v>
      </c>
      <c r="S29" s="774">
        <f t="shared" si="12"/>
        <v>100</v>
      </c>
      <c r="T29" s="773" t="s">
        <v>17</v>
      </c>
      <c r="U29" s="774">
        <f t="shared" si="13"/>
        <v>100</v>
      </c>
      <c r="V29" s="773" t="s">
        <v>17</v>
      </c>
      <c r="W29" s="774">
        <f t="shared" si="14"/>
        <v>100</v>
      </c>
      <c r="X29" s="1799"/>
      <c r="Y29" s="3268"/>
      <c r="Z29" s="1800">
        <f t="shared" si="15"/>
        <v>0</v>
      </c>
      <c r="AA29" s="1797">
        <f t="shared" si="3"/>
        <v>1</v>
      </c>
      <c r="AB29" s="1797">
        <f t="shared" si="4"/>
        <v>1</v>
      </c>
      <c r="AC29" s="1797">
        <f t="shared" si="5"/>
        <v>1</v>
      </c>
    </row>
    <row r="30" spans="1:29" ht="15" hidden="1">
      <c r="A30" s="428"/>
      <c r="B30" s="1373"/>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75"/>
      <c r="Q30" s="1796">
        <f t="shared" si="11"/>
        <v>0</v>
      </c>
      <c r="R30" s="773" t="s">
        <v>17</v>
      </c>
      <c r="S30" s="774">
        <f t="shared" si="12"/>
        <v>100</v>
      </c>
      <c r="T30" s="773" t="s">
        <v>17</v>
      </c>
      <c r="U30" s="774">
        <f t="shared" si="13"/>
        <v>100</v>
      </c>
      <c r="V30" s="773" t="s">
        <v>17</v>
      </c>
      <c r="W30" s="774">
        <f t="shared" si="14"/>
        <v>100</v>
      </c>
      <c r="X30" s="1799"/>
      <c r="Y30" s="3268"/>
      <c r="Z30" s="1800">
        <f t="shared" si="15"/>
        <v>0</v>
      </c>
      <c r="AA30" s="1797">
        <f t="shared" si="3"/>
        <v>1</v>
      </c>
      <c r="AB30" s="1797">
        <f t="shared" si="4"/>
        <v>1</v>
      </c>
      <c r="AC30" s="1797">
        <f t="shared" si="5"/>
        <v>1</v>
      </c>
    </row>
    <row r="31" spans="1:29" ht="15.75" hidden="1" thickBot="1">
      <c r="A31" s="436"/>
      <c r="B31" s="1373"/>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75"/>
      <c r="Q31" s="1796">
        <f t="shared" si="11"/>
        <v>0</v>
      </c>
      <c r="R31" s="773" t="s">
        <v>17</v>
      </c>
      <c r="S31" s="774">
        <f t="shared" si="12"/>
        <v>100</v>
      </c>
      <c r="T31" s="773" t="s">
        <v>17</v>
      </c>
      <c r="U31" s="774">
        <f t="shared" si="13"/>
        <v>100</v>
      </c>
      <c r="V31" s="773" t="s">
        <v>17</v>
      </c>
      <c r="W31" s="774">
        <f t="shared" si="14"/>
        <v>100</v>
      </c>
      <c r="X31" s="1799"/>
      <c r="Y31" s="3268"/>
      <c r="Z31" s="1800">
        <f t="shared" si="15"/>
        <v>0</v>
      </c>
      <c r="AA31" s="1797">
        <f t="shared" si="3"/>
        <v>1</v>
      </c>
      <c r="AB31" s="1797">
        <f t="shared" si="4"/>
        <v>1</v>
      </c>
      <c r="AC31" s="1797">
        <f t="shared" si="5"/>
        <v>1</v>
      </c>
    </row>
    <row r="32" spans="1:29" ht="15">
      <c r="A32" s="440" t="s">
        <v>2476</v>
      </c>
      <c r="B32" s="71" t="s">
        <v>2572</v>
      </c>
      <c r="C32" s="2502" t="s">
        <v>3641</v>
      </c>
      <c r="D32" s="467">
        <v>100</v>
      </c>
      <c r="E32" s="2502" t="s">
        <v>3641</v>
      </c>
      <c r="F32" s="461">
        <f>SUMIF(100:100,E32,101:101)-SUMIF(100:100,C32,101:101)+100</f>
        <v>100</v>
      </c>
      <c r="G32" s="2502" t="s">
        <v>3637</v>
      </c>
      <c r="H32" s="435">
        <f>SUMIF(100:100,G32,101:101)-SUMIF(100:100,C32,101:101)+100</f>
        <v>112</v>
      </c>
      <c r="I32" s="2502" t="s">
        <v>3641</v>
      </c>
      <c r="J32" s="467">
        <f>SUMIF(100:100,I32,101:101)-SUMIF(100:100,C32,101:101)+100</f>
        <v>100</v>
      </c>
      <c r="K32" s="612">
        <v>4</v>
      </c>
      <c r="L32" s="1135"/>
      <c r="M32" s="1126"/>
      <c r="N32" s="1126"/>
      <c r="O32" s="1126"/>
      <c r="P32" s="3269" t="s">
        <v>2478</v>
      </c>
      <c r="Q32" s="1796" t="str">
        <f t="shared" si="11"/>
        <v>商业类型</v>
      </c>
      <c r="R32" s="773" t="s">
        <v>17</v>
      </c>
      <c r="S32" s="774">
        <f t="shared" si="12"/>
        <v>100</v>
      </c>
      <c r="T32" s="773" t="s">
        <v>17</v>
      </c>
      <c r="U32" s="774">
        <f t="shared" si="13"/>
        <v>112</v>
      </c>
      <c r="V32" s="773" t="s">
        <v>17</v>
      </c>
      <c r="W32" s="774">
        <f t="shared" si="14"/>
        <v>100</v>
      </c>
      <c r="X32" s="1799"/>
      <c r="Y32" s="3272" t="s">
        <v>2478</v>
      </c>
      <c r="Z32" s="1800" t="str">
        <f t="shared" si="15"/>
        <v>商业类型</v>
      </c>
      <c r="AA32" s="1797">
        <f t="shared" si="3"/>
        <v>1</v>
      </c>
      <c r="AB32" s="1797">
        <f t="shared" si="4"/>
        <v>0.8928571428571429</v>
      </c>
      <c r="AC32" s="1797">
        <f t="shared" si="5"/>
        <v>1</v>
      </c>
    </row>
    <row r="33" spans="1:29" s="471" customFormat="1" ht="15">
      <c r="A33" s="468"/>
      <c r="B33" s="422" t="s">
        <v>2479</v>
      </c>
      <c r="C33" s="469">
        <v>100</v>
      </c>
      <c r="D33" s="136">
        <v>100</v>
      </c>
      <c r="E33" s="430">
        <v>100</v>
      </c>
      <c r="F33" s="136">
        <f>LOOKUP(E33,103:103,104:104)-LOOKUP(C33,103:103,104:104)+100</f>
        <v>100</v>
      </c>
      <c r="G33" s="430">
        <v>100</v>
      </c>
      <c r="H33" s="136">
        <f>LOOKUP(G33,103:103,104:104)-LOOKUP(C33,103:103,104:104)+100</f>
        <v>100</v>
      </c>
      <c r="I33" s="430">
        <v>100</v>
      </c>
      <c r="J33" s="136">
        <f>LOOKUP(I33,103:103,104:104)-LOOKUP(C33,103:103,104:104)+100</f>
        <v>100</v>
      </c>
      <c r="K33" s="613"/>
      <c r="L33" s="1133"/>
      <c r="M33" s="1136"/>
      <c r="N33" s="1136"/>
      <c r="O33" s="1136"/>
      <c r="P33" s="3270"/>
      <c r="Q33" s="775" t="str">
        <f t="shared" si="11"/>
        <v>项目建筑规模</v>
      </c>
      <c r="R33" s="776" t="s">
        <v>17</v>
      </c>
      <c r="S33" s="777">
        <f t="shared" si="12"/>
        <v>100</v>
      </c>
      <c r="T33" s="776" t="s">
        <v>17</v>
      </c>
      <c r="U33" s="777">
        <f t="shared" si="13"/>
        <v>100</v>
      </c>
      <c r="V33" s="776" t="s">
        <v>17</v>
      </c>
      <c r="W33" s="777">
        <f t="shared" si="14"/>
        <v>100</v>
      </c>
      <c r="X33" s="778"/>
      <c r="Y33" s="3272"/>
      <c r="Z33" s="779" t="str">
        <f t="shared" si="15"/>
        <v>项目建筑规模</v>
      </c>
      <c r="AA33" s="1797">
        <f t="shared" si="3"/>
        <v>1</v>
      </c>
      <c r="AB33" s="1797">
        <f t="shared" si="4"/>
        <v>1</v>
      </c>
      <c r="AC33" s="1797">
        <f t="shared" si="5"/>
        <v>1</v>
      </c>
    </row>
    <row r="34" spans="1:29" ht="15">
      <c r="A34" s="472"/>
      <c r="B34" s="422" t="s">
        <v>2480</v>
      </c>
      <c r="C34" s="2503" t="s">
        <v>3552</v>
      </c>
      <c r="D34" s="435">
        <v>100</v>
      </c>
      <c r="E34" s="2503" t="s">
        <v>3552</v>
      </c>
      <c r="F34" s="461">
        <f>SUMIF(105:105,E34,106:106)-SUMIF(105:105,C34,106:106)+100</f>
        <v>100</v>
      </c>
      <c r="G34" s="2503" t="s">
        <v>3552</v>
      </c>
      <c r="H34" s="435">
        <f>SUMIF(105:105,G34,106:106)-SUMIF(105:105,C34,106:106)+100</f>
        <v>100</v>
      </c>
      <c r="I34" s="2503" t="s">
        <v>3552</v>
      </c>
      <c r="J34" s="435">
        <f>SUMIF(105:105,I34,106:106)-SUMIF(105:105,C34,106:106)+100</f>
        <v>100</v>
      </c>
      <c r="K34" s="612">
        <v>2</v>
      </c>
      <c r="L34" s="1135"/>
      <c r="M34" s="1126"/>
      <c r="N34" s="1126"/>
      <c r="O34" s="1126"/>
      <c r="P34" s="3270"/>
      <c r="Q34" s="1796" t="str">
        <f t="shared" si="11"/>
        <v>建筑结构</v>
      </c>
      <c r="R34" s="773" t="s">
        <v>17</v>
      </c>
      <c r="S34" s="774">
        <f t="shared" si="12"/>
        <v>100</v>
      </c>
      <c r="T34" s="773" t="s">
        <v>17</v>
      </c>
      <c r="U34" s="774">
        <f t="shared" si="13"/>
        <v>100</v>
      </c>
      <c r="V34" s="773" t="s">
        <v>17</v>
      </c>
      <c r="W34" s="774">
        <f t="shared" si="14"/>
        <v>100</v>
      </c>
      <c r="X34" s="1799"/>
      <c r="Y34" s="3272"/>
      <c r="Z34" s="1800" t="str">
        <f t="shared" si="15"/>
        <v>建筑结构</v>
      </c>
      <c r="AA34" s="1797">
        <f t="shared" si="3"/>
        <v>1</v>
      </c>
      <c r="AB34" s="1797">
        <f t="shared" si="4"/>
        <v>1</v>
      </c>
      <c r="AC34" s="1797">
        <f t="shared" si="5"/>
        <v>1</v>
      </c>
    </row>
    <row r="35" spans="1:29" ht="15">
      <c r="A35" s="472"/>
      <c r="B35" s="422" t="s">
        <v>2573</v>
      </c>
      <c r="C35" s="2498" t="s">
        <v>3567</v>
      </c>
      <c r="D35" s="435">
        <v>100</v>
      </c>
      <c r="E35" s="2498" t="s">
        <v>3567</v>
      </c>
      <c r="F35" s="461">
        <f>SUMIF(107:107,E35,108:108)-SUMIF(107:107,C35,108:108)+100</f>
        <v>100</v>
      </c>
      <c r="G35" s="2498" t="s">
        <v>3567</v>
      </c>
      <c r="H35" s="435">
        <f>SUMIF(107:107,G35,108:108)-SUMIF(107:107,C35,108:108)+100</f>
        <v>100</v>
      </c>
      <c r="I35" s="2498" t="s">
        <v>3567</v>
      </c>
      <c r="J35" s="435">
        <f>SUMIF(107:107,I35,108:108)-SUMIF(107:107,C35,108:108)+100</f>
        <v>100</v>
      </c>
      <c r="K35" s="612">
        <v>2</v>
      </c>
      <c r="L35" s="1135"/>
      <c r="M35" s="1126"/>
      <c r="N35" s="1126"/>
      <c r="O35" s="1126"/>
      <c r="P35" s="3270"/>
      <c r="Q35" s="1796" t="str">
        <f t="shared" si="11"/>
        <v>公共部分装修</v>
      </c>
      <c r="R35" s="773" t="s">
        <v>17</v>
      </c>
      <c r="S35" s="774">
        <f t="shared" si="12"/>
        <v>100</v>
      </c>
      <c r="T35" s="773" t="s">
        <v>17</v>
      </c>
      <c r="U35" s="774">
        <f t="shared" si="13"/>
        <v>100</v>
      </c>
      <c r="V35" s="773" t="s">
        <v>17</v>
      </c>
      <c r="W35" s="774">
        <f t="shared" si="14"/>
        <v>100</v>
      </c>
      <c r="X35" s="1799"/>
      <c r="Y35" s="3272"/>
      <c r="Z35" s="1800" t="str">
        <f t="shared" si="15"/>
        <v>公共部分装修</v>
      </c>
      <c r="AA35" s="1797">
        <f t="shared" si="3"/>
        <v>1</v>
      </c>
      <c r="AB35" s="1797">
        <f t="shared" si="4"/>
        <v>1</v>
      </c>
      <c r="AC35" s="1797">
        <f t="shared" si="5"/>
        <v>1</v>
      </c>
    </row>
    <row r="36" spans="1:29" ht="15">
      <c r="A36" s="472"/>
      <c r="B36" s="422" t="s">
        <v>2574</v>
      </c>
      <c r="C36" s="474">
        <f>'数据-取费表'!Y6</f>
        <v>0.88</v>
      </c>
      <c r="D36" s="435">
        <v>100</v>
      </c>
      <c r="E36" s="474">
        <f>C36</f>
        <v>0.88</v>
      </c>
      <c r="F36" s="461">
        <f>LOOKUP(E36,110:110,111:111)-LOOKUP(C36,110:110,111:111)+100</f>
        <v>100</v>
      </c>
      <c r="G36" s="474">
        <f>ROUND(1-(2018-2000)/60,2)</f>
        <v>0.7</v>
      </c>
      <c r="H36" s="461">
        <f>LOOKUP(G36,110:110,111:111)-LOOKUP(C36,110:110,111:111)+100</f>
        <v>99</v>
      </c>
      <c r="I36" s="474">
        <f>ROUND(1-(2018-2004)/60,2)</f>
        <v>0.77</v>
      </c>
      <c r="J36" s="435">
        <f>LOOKUP(I36,110:110,111:111)-LOOKUP(C36,110:110,111:111)+100</f>
        <v>99</v>
      </c>
      <c r="K36" s="612">
        <v>1</v>
      </c>
      <c r="L36" s="1135"/>
      <c r="M36" s="1126"/>
      <c r="N36" s="1126"/>
      <c r="O36" s="1126"/>
      <c r="P36" s="3270"/>
      <c r="Q36" s="1796" t="str">
        <f t="shared" si="11"/>
        <v>成新度</v>
      </c>
      <c r="R36" s="773" t="s">
        <v>17</v>
      </c>
      <c r="S36" s="774">
        <f t="shared" si="12"/>
        <v>100</v>
      </c>
      <c r="T36" s="773" t="s">
        <v>17</v>
      </c>
      <c r="U36" s="774">
        <f t="shared" si="13"/>
        <v>99</v>
      </c>
      <c r="V36" s="773" t="s">
        <v>17</v>
      </c>
      <c r="W36" s="774">
        <f t="shared" si="14"/>
        <v>99</v>
      </c>
      <c r="X36" s="1799"/>
      <c r="Y36" s="3272"/>
      <c r="Z36" s="1800" t="str">
        <f t="shared" si="15"/>
        <v>成新度</v>
      </c>
      <c r="AA36" s="1797">
        <f t="shared" si="3"/>
        <v>1</v>
      </c>
      <c r="AB36" s="1797">
        <f t="shared" si="4"/>
        <v>1.0101010101010102</v>
      </c>
      <c r="AC36" s="1797">
        <f t="shared" si="5"/>
        <v>1.0101010101010102</v>
      </c>
    </row>
    <row r="37" spans="1:29" s="117" customFormat="1" ht="15">
      <c r="A37" s="473"/>
      <c r="B37" s="422" t="s">
        <v>2575</v>
      </c>
      <c r="C37" s="2498" t="s">
        <v>3550</v>
      </c>
      <c r="D37" s="136">
        <v>100</v>
      </c>
      <c r="E37" s="2498" t="s">
        <v>3550</v>
      </c>
      <c r="F37" s="461">
        <f>SUMIF(112:112,E37,113:113)-SUMIF(112:112,C37,113:113)+100</f>
        <v>100</v>
      </c>
      <c r="G37" s="2498" t="s">
        <v>3560</v>
      </c>
      <c r="H37" s="435">
        <f>SUMIF(112:112,G37,113:113)-SUMIF(112:112,C37,113:113)+100</f>
        <v>96</v>
      </c>
      <c r="I37" s="2498" t="s">
        <v>3550</v>
      </c>
      <c r="J37" s="435">
        <f>SUMIF(112:112,I37,113:113)-SUMIF(112:112,C37,113:113)+100</f>
        <v>100</v>
      </c>
      <c r="K37" s="612">
        <v>2</v>
      </c>
      <c r="L37" s="1127"/>
      <c r="M37" s="1128"/>
      <c r="N37" s="1128"/>
      <c r="O37" s="1128"/>
      <c r="P37" s="3270"/>
      <c r="Q37" s="1781" t="str">
        <f t="shared" si="11"/>
        <v>市政基础设施</v>
      </c>
      <c r="R37" s="769" t="s">
        <v>17</v>
      </c>
      <c r="S37" s="770">
        <f t="shared" si="12"/>
        <v>100</v>
      </c>
      <c r="T37" s="769" t="s">
        <v>17</v>
      </c>
      <c r="U37" s="770">
        <f t="shared" si="13"/>
        <v>96</v>
      </c>
      <c r="V37" s="769" t="s">
        <v>17</v>
      </c>
      <c r="W37" s="770">
        <f t="shared" si="14"/>
        <v>100</v>
      </c>
      <c r="X37" s="771"/>
      <c r="Y37" s="3272"/>
      <c r="Z37" s="55" t="str">
        <f t="shared" si="15"/>
        <v>市政基础设施</v>
      </c>
      <c r="AA37" s="772">
        <f t="shared" si="3"/>
        <v>1</v>
      </c>
      <c r="AB37" s="772">
        <f t="shared" si="4"/>
        <v>1.0416666666666667</v>
      </c>
      <c r="AC37" s="772">
        <f t="shared" si="5"/>
        <v>1</v>
      </c>
    </row>
    <row r="38" spans="1:29" ht="15">
      <c r="A38" s="472"/>
      <c r="B38" s="422" t="s">
        <v>2576</v>
      </c>
      <c r="C38" s="2498" t="s">
        <v>3651</v>
      </c>
      <c r="D38" s="435">
        <v>100</v>
      </c>
      <c r="E38" s="2498" t="s">
        <v>3653</v>
      </c>
      <c r="F38" s="461">
        <f>SUMIF(114:114,E38,115:115)-SUMIF(114:114,C38,115:115)+100</f>
        <v>95</v>
      </c>
      <c r="G38" s="2498" t="s">
        <v>3651</v>
      </c>
      <c r="H38" s="435">
        <f>SUMIF(114:114,G38,115:115)-SUMIF(114:114,C38,115:115)+100</f>
        <v>100</v>
      </c>
      <c r="I38" s="2498" t="s">
        <v>3651</v>
      </c>
      <c r="J38" s="435">
        <f>SUMIF(114:114,I38,115:115)-SUMIF(114:114,C38,115:115)+100</f>
        <v>100</v>
      </c>
      <c r="K38" s="612">
        <v>5</v>
      </c>
      <c r="L38" s="1135"/>
      <c r="M38" s="1126"/>
      <c r="N38" s="1126"/>
      <c r="O38" s="1126"/>
      <c r="P38" s="3270" t="s">
        <v>2478</v>
      </c>
      <c r="Q38" s="1796" t="str">
        <f t="shared" si="11"/>
        <v>业态</v>
      </c>
      <c r="R38" s="773" t="s">
        <v>17</v>
      </c>
      <c r="S38" s="774">
        <f t="shared" si="12"/>
        <v>95</v>
      </c>
      <c r="T38" s="773" t="s">
        <v>17</v>
      </c>
      <c r="U38" s="774">
        <f t="shared" si="13"/>
        <v>100</v>
      </c>
      <c r="V38" s="773" t="s">
        <v>17</v>
      </c>
      <c r="W38" s="774">
        <f t="shared" si="14"/>
        <v>100</v>
      </c>
      <c r="X38" s="1799"/>
      <c r="Y38" s="3272" t="s">
        <v>2478</v>
      </c>
      <c r="Z38" s="1800" t="str">
        <f t="shared" si="15"/>
        <v>业态</v>
      </c>
      <c r="AA38" s="1797">
        <f t="shared" si="3"/>
        <v>1.0526315789473684</v>
      </c>
      <c r="AB38" s="1797">
        <f t="shared" si="4"/>
        <v>1</v>
      </c>
      <c r="AC38" s="1797">
        <f t="shared" si="5"/>
        <v>1</v>
      </c>
    </row>
    <row r="39" spans="1:29" ht="15">
      <c r="A39" s="472"/>
      <c r="B39" s="422" t="s">
        <v>2577</v>
      </c>
      <c r="C39" s="2498" t="s">
        <v>3655</v>
      </c>
      <c r="D39" s="435">
        <v>100</v>
      </c>
      <c r="E39" s="2498" t="s">
        <v>3655</v>
      </c>
      <c r="F39" s="461">
        <f>SUMIF(116:116,E39,117:117)-SUMIF(116:116,C39,117:117)+100</f>
        <v>100</v>
      </c>
      <c r="G39" s="2498" t="s">
        <v>3655</v>
      </c>
      <c r="H39" s="435">
        <f>SUMIF(116:116,G39,117:117)-SUMIF(116:116,C39,117:117)+100</f>
        <v>100</v>
      </c>
      <c r="I39" s="2498" t="s">
        <v>3655</v>
      </c>
      <c r="J39" s="435">
        <f>SUMIF(116:116,I39,117:117)-SUMIF(116:116,C39,117:117)+100</f>
        <v>100</v>
      </c>
      <c r="K39" s="612">
        <v>5</v>
      </c>
      <c r="L39" s="1135"/>
      <c r="M39" s="1126"/>
      <c r="N39" s="1126"/>
      <c r="O39" s="1126"/>
      <c r="P39" s="3270"/>
      <c r="Q39" s="1796" t="str">
        <f t="shared" si="11"/>
        <v>层高</v>
      </c>
      <c r="R39" s="773" t="s">
        <v>17</v>
      </c>
      <c r="S39" s="774">
        <f t="shared" si="12"/>
        <v>100</v>
      </c>
      <c r="T39" s="773" t="s">
        <v>17</v>
      </c>
      <c r="U39" s="774">
        <f t="shared" si="13"/>
        <v>100</v>
      </c>
      <c r="V39" s="773" t="s">
        <v>17</v>
      </c>
      <c r="W39" s="774">
        <f t="shared" si="14"/>
        <v>100</v>
      </c>
      <c r="X39" s="1799"/>
      <c r="Y39" s="3272"/>
      <c r="Z39" s="1800" t="str">
        <f t="shared" si="15"/>
        <v>层高</v>
      </c>
      <c r="AA39" s="1797">
        <f t="shared" si="3"/>
        <v>1</v>
      </c>
      <c r="AB39" s="1797">
        <f t="shared" si="4"/>
        <v>1</v>
      </c>
      <c r="AC39" s="1797">
        <f t="shared" si="5"/>
        <v>1</v>
      </c>
    </row>
    <row r="40" spans="1:29" ht="15">
      <c r="A40" s="472"/>
      <c r="B40" s="422" t="s">
        <v>2578</v>
      </c>
      <c r="C40" s="617">
        <f>'数据-汇总表'!F19</f>
        <v>1595.68</v>
      </c>
      <c r="D40" s="435">
        <v>100</v>
      </c>
      <c r="E40" s="617">
        <v>46</v>
      </c>
      <c r="F40" s="461">
        <f>SUMIF(118:118,E40,119:119)-SUMIF(118:118,C40,119:119)+100</f>
        <v>99</v>
      </c>
      <c r="G40" s="617">
        <v>205</v>
      </c>
      <c r="H40" s="435">
        <f>SUMIF(118:118,G40,119:119)-SUMIF(118:118,C40,119:119)+100</f>
        <v>99</v>
      </c>
      <c r="I40" s="617">
        <v>99</v>
      </c>
      <c r="J40" s="435">
        <f>SUMIF(118:118,I40,119:119)-SUMIF(118:118,C40,119:119)+100</f>
        <v>99</v>
      </c>
      <c r="K40" s="613"/>
      <c r="L40" s="1135"/>
      <c r="M40" s="1126"/>
      <c r="N40" s="1126"/>
      <c r="O40" s="1126"/>
      <c r="P40" s="3270"/>
      <c r="Q40" s="1796" t="str">
        <f t="shared" si="11"/>
        <v>单套建筑面积</v>
      </c>
      <c r="R40" s="773" t="s">
        <v>17</v>
      </c>
      <c r="S40" s="774">
        <f t="shared" si="12"/>
        <v>99</v>
      </c>
      <c r="T40" s="773" t="s">
        <v>17</v>
      </c>
      <c r="U40" s="774">
        <f t="shared" si="13"/>
        <v>99</v>
      </c>
      <c r="V40" s="773" t="s">
        <v>17</v>
      </c>
      <c r="W40" s="774">
        <f t="shared" si="14"/>
        <v>99</v>
      </c>
      <c r="X40" s="1799"/>
      <c r="Y40" s="3272"/>
      <c r="Z40" s="1800" t="str">
        <f t="shared" si="15"/>
        <v>单套建筑面积</v>
      </c>
      <c r="AA40" s="1797">
        <f t="shared" si="3"/>
        <v>1.0101010101010102</v>
      </c>
      <c r="AB40" s="1797">
        <f t="shared" si="4"/>
        <v>1.0101010101010102</v>
      </c>
      <c r="AC40" s="1797">
        <f t="shared" si="5"/>
        <v>1.0101010101010102</v>
      </c>
    </row>
    <row r="41" spans="1:29" s="471" customFormat="1" ht="15">
      <c r="A41" s="468"/>
      <c r="B41" s="1798" t="s">
        <v>2579</v>
      </c>
      <c r="C41" s="616" t="s">
        <v>3619</v>
      </c>
      <c r="D41" s="435">
        <v>100</v>
      </c>
      <c r="E41" s="616" t="s">
        <v>3619</v>
      </c>
      <c r="F41" s="461">
        <f>SUMIF(120:120,E41,121:121)-SUMIF(120:120,C41,121:121)+100</f>
        <v>100</v>
      </c>
      <c r="G41" s="616" t="s">
        <v>3619</v>
      </c>
      <c r="H41" s="435">
        <f>SUMIF(120:120,G41,121:121)-SUMIF(120:120,C41,121:121)+100</f>
        <v>100</v>
      </c>
      <c r="I41" s="616" t="s">
        <v>3619</v>
      </c>
      <c r="J41" s="435">
        <f>SUMIF(120:120,I41,121:121)-SUMIF(120:120,C41,121:121)+100</f>
        <v>100</v>
      </c>
      <c r="K41" s="612">
        <v>5</v>
      </c>
      <c r="L41" s="1133"/>
      <c r="M41" s="1136"/>
      <c r="N41" s="1136"/>
      <c r="O41" s="1136"/>
      <c r="P41" s="3270"/>
      <c r="Q41" s="775" t="str">
        <f t="shared" si="11"/>
        <v>进深比</v>
      </c>
      <c r="R41" s="776" t="s">
        <v>17</v>
      </c>
      <c r="S41" s="777">
        <f t="shared" si="12"/>
        <v>100</v>
      </c>
      <c r="T41" s="776" t="s">
        <v>17</v>
      </c>
      <c r="U41" s="777">
        <f t="shared" si="13"/>
        <v>100</v>
      </c>
      <c r="V41" s="776" t="s">
        <v>17</v>
      </c>
      <c r="W41" s="777">
        <f t="shared" si="14"/>
        <v>100</v>
      </c>
      <c r="X41" s="778"/>
      <c r="Y41" s="3272"/>
      <c r="Z41" s="779" t="str">
        <f t="shared" si="15"/>
        <v>进深比</v>
      </c>
      <c r="AA41" s="1797">
        <f t="shared" si="3"/>
        <v>1</v>
      </c>
      <c r="AB41" s="1797">
        <f t="shared" si="4"/>
        <v>1</v>
      </c>
      <c r="AC41" s="1797">
        <f t="shared" si="5"/>
        <v>1</v>
      </c>
    </row>
    <row r="42" spans="1:29" ht="15">
      <c r="A42" s="472"/>
      <c r="B42" s="422" t="s">
        <v>2580</v>
      </c>
      <c r="C42" s="2498" t="s">
        <v>3567</v>
      </c>
      <c r="D42" s="435">
        <v>100</v>
      </c>
      <c r="E42" s="2498" t="s">
        <v>3567</v>
      </c>
      <c r="F42" s="461">
        <f>SUMIF(122:122,E42,123:123)-SUMIF(122:122,C42,123:123)+100</f>
        <v>100</v>
      </c>
      <c r="G42" s="2498" t="s">
        <v>3567</v>
      </c>
      <c r="H42" s="435">
        <f>SUMIF(122:122,G42,123:123)-SUMIF(122:122,C42,123:123)+100</f>
        <v>100</v>
      </c>
      <c r="I42" s="2498" t="s">
        <v>3567</v>
      </c>
      <c r="J42" s="435">
        <f>SUMIF(122:122,I42,123:123)-SUMIF(122:122,C42,123:123)+100</f>
        <v>100</v>
      </c>
      <c r="K42" s="612">
        <v>2</v>
      </c>
      <c r="L42" s="1135"/>
      <c r="M42" s="1126"/>
      <c r="N42" s="1126"/>
      <c r="O42" s="1126"/>
      <c r="P42" s="3270"/>
      <c r="Q42" s="1796" t="str">
        <f t="shared" si="11"/>
        <v>内部装修</v>
      </c>
      <c r="R42" s="773" t="s">
        <v>17</v>
      </c>
      <c r="S42" s="774">
        <f t="shared" si="12"/>
        <v>100</v>
      </c>
      <c r="T42" s="773" t="s">
        <v>17</v>
      </c>
      <c r="U42" s="774">
        <f t="shared" si="13"/>
        <v>100</v>
      </c>
      <c r="V42" s="773" t="s">
        <v>17</v>
      </c>
      <c r="W42" s="774">
        <f t="shared" si="14"/>
        <v>100</v>
      </c>
      <c r="X42" s="1799"/>
      <c r="Y42" s="3272"/>
      <c r="Z42" s="1800" t="str">
        <f t="shared" si="15"/>
        <v>内部装修</v>
      </c>
      <c r="AA42" s="1797">
        <f t="shared" si="3"/>
        <v>1</v>
      </c>
      <c r="AB42" s="1797">
        <f t="shared" si="4"/>
        <v>1</v>
      </c>
      <c r="AC42" s="1797">
        <f t="shared" si="5"/>
        <v>1</v>
      </c>
    </row>
    <row r="43" spans="1:29" ht="15.75" thickBot="1">
      <c r="A43" s="472"/>
      <c r="B43" s="422" t="s">
        <v>2489</v>
      </c>
      <c r="C43" s="2498" t="s">
        <v>3549</v>
      </c>
      <c r="D43" s="435">
        <v>100</v>
      </c>
      <c r="E43" s="2498" t="s">
        <v>3549</v>
      </c>
      <c r="F43" s="461">
        <f>SUMIF(124:124,E43,125:125)-SUMIF(124:124,C43,125:125)+100</f>
        <v>100</v>
      </c>
      <c r="G43" s="2498" t="s">
        <v>3549</v>
      </c>
      <c r="H43" s="435">
        <f>SUMIF(124:124,G43,125:125)-SUMIF(124:124,C43,125:125)+100</f>
        <v>100</v>
      </c>
      <c r="I43" s="2498" t="s">
        <v>3549</v>
      </c>
      <c r="J43" s="435">
        <f>SUMIF(124:124,I43,125:125)-SUMIF(124:124,C43,125:125)+100</f>
        <v>100</v>
      </c>
      <c r="K43" s="612">
        <v>2</v>
      </c>
      <c r="L43" s="1135"/>
      <c r="M43" s="1126"/>
      <c r="N43" s="1126"/>
      <c r="O43" s="1126"/>
      <c r="P43" s="3270"/>
      <c r="Q43" s="1796" t="str">
        <f t="shared" si="11"/>
        <v>内部装修维护情况</v>
      </c>
      <c r="R43" s="773" t="s">
        <v>17</v>
      </c>
      <c r="S43" s="774">
        <f t="shared" si="12"/>
        <v>100</v>
      </c>
      <c r="T43" s="773" t="s">
        <v>17</v>
      </c>
      <c r="U43" s="774">
        <f t="shared" si="13"/>
        <v>100</v>
      </c>
      <c r="V43" s="773" t="s">
        <v>17</v>
      </c>
      <c r="W43" s="774">
        <f t="shared" si="14"/>
        <v>100</v>
      </c>
      <c r="X43" s="1799"/>
      <c r="Y43" s="3272"/>
      <c r="Z43" s="1800" t="str">
        <f t="shared" si="15"/>
        <v>内部装修维护情况</v>
      </c>
      <c r="AA43" s="1797">
        <f t="shared" si="3"/>
        <v>1</v>
      </c>
      <c r="AB43" s="1797">
        <f t="shared" si="4"/>
        <v>1</v>
      </c>
      <c r="AC43" s="1797">
        <f t="shared" si="5"/>
        <v>1</v>
      </c>
    </row>
    <row r="44" spans="1:29" s="117" customFormat="1" ht="15" hidden="1">
      <c r="A44" s="473"/>
      <c r="B44" s="1373"/>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70"/>
      <c r="Q44" s="1781">
        <f t="shared" si="11"/>
        <v>0</v>
      </c>
      <c r="R44" s="769" t="s">
        <v>17</v>
      </c>
      <c r="S44" s="770">
        <f t="shared" si="12"/>
        <v>100</v>
      </c>
      <c r="T44" s="769" t="s">
        <v>17</v>
      </c>
      <c r="U44" s="770">
        <f t="shared" si="13"/>
        <v>100</v>
      </c>
      <c r="V44" s="769" t="s">
        <v>17</v>
      </c>
      <c r="W44" s="770">
        <f t="shared" si="14"/>
        <v>100</v>
      </c>
      <c r="X44" s="771"/>
      <c r="Y44" s="3272"/>
      <c r="Z44" s="55">
        <f t="shared" si="15"/>
        <v>0</v>
      </c>
      <c r="AA44" s="772">
        <f t="shared" si="3"/>
        <v>1</v>
      </c>
      <c r="AB44" s="772">
        <f t="shared" si="4"/>
        <v>1</v>
      </c>
      <c r="AC44" s="772">
        <f t="shared" si="5"/>
        <v>1</v>
      </c>
    </row>
    <row r="45" spans="1:29" ht="15" hidden="1">
      <c r="A45" s="472"/>
      <c r="B45" s="1373"/>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70"/>
      <c r="Q45" s="1796">
        <f t="shared" si="11"/>
        <v>0</v>
      </c>
      <c r="R45" s="773" t="s">
        <v>17</v>
      </c>
      <c r="S45" s="774">
        <f t="shared" si="12"/>
        <v>100</v>
      </c>
      <c r="T45" s="773" t="s">
        <v>17</v>
      </c>
      <c r="U45" s="774">
        <f t="shared" si="13"/>
        <v>100</v>
      </c>
      <c r="V45" s="773" t="s">
        <v>17</v>
      </c>
      <c r="W45" s="774">
        <f t="shared" si="14"/>
        <v>100</v>
      </c>
      <c r="X45" s="1799"/>
      <c r="Y45" s="3272"/>
      <c r="Z45" s="1800">
        <f t="shared" si="15"/>
        <v>0</v>
      </c>
      <c r="AA45" s="1797">
        <f t="shared" si="3"/>
        <v>1</v>
      </c>
      <c r="AB45" s="1797">
        <f t="shared" si="4"/>
        <v>1</v>
      </c>
      <c r="AC45" s="1797">
        <f t="shared" si="5"/>
        <v>1</v>
      </c>
    </row>
    <row r="46" spans="1:29" ht="15.75" hidden="1" thickBot="1">
      <c r="A46" s="478"/>
      <c r="B46" s="248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71"/>
      <c r="Q46" s="1796">
        <f t="shared" si="11"/>
        <v>0</v>
      </c>
      <c r="R46" s="773" t="s">
        <v>17</v>
      </c>
      <c r="S46" s="774">
        <f t="shared" si="12"/>
        <v>100</v>
      </c>
      <c r="T46" s="773" t="s">
        <v>17</v>
      </c>
      <c r="U46" s="774">
        <f t="shared" si="13"/>
        <v>100</v>
      </c>
      <c r="V46" s="773" t="s">
        <v>17</v>
      </c>
      <c r="W46" s="774">
        <f t="shared" si="14"/>
        <v>100</v>
      </c>
      <c r="X46" s="1799"/>
      <c r="Y46" s="3273"/>
      <c r="Z46" s="1800">
        <f t="shared" si="15"/>
        <v>0</v>
      </c>
      <c r="AA46" s="1797">
        <f t="shared" si="3"/>
        <v>1</v>
      </c>
      <c r="AB46" s="1797">
        <f t="shared" si="4"/>
        <v>1</v>
      </c>
      <c r="AC46" s="1797">
        <f t="shared" si="5"/>
        <v>1</v>
      </c>
    </row>
    <row r="47" spans="1:29" ht="15">
      <c r="A47" s="479" t="s">
        <v>2490</v>
      </c>
      <c r="B47" s="480"/>
      <c r="C47" s="1394" t="s">
        <v>1</v>
      </c>
      <c r="D47" s="1395"/>
      <c r="E47" s="1396">
        <v>42800</v>
      </c>
      <c r="F47" s="1397"/>
      <c r="G47" s="1398">
        <v>52000</v>
      </c>
      <c r="H47" s="1399"/>
      <c r="I47" s="1396">
        <v>43000</v>
      </c>
      <c r="J47" s="1399"/>
      <c r="K47" s="782"/>
      <c r="L47" s="1138"/>
      <c r="M47" s="1139"/>
      <c r="N47" s="1126"/>
      <c r="O47" s="1139"/>
      <c r="P47" s="3265" t="str">
        <f>A47</f>
        <v>成交单价（元/平方米）</v>
      </c>
      <c r="Q47" s="3265"/>
      <c r="R47" s="3296">
        <f>E47</f>
        <v>42800</v>
      </c>
      <c r="S47" s="3296"/>
      <c r="T47" s="3296">
        <f>G47</f>
        <v>52000</v>
      </c>
      <c r="U47" s="3296"/>
      <c r="V47" s="3296">
        <f>I47</f>
        <v>43000</v>
      </c>
      <c r="W47" s="3296"/>
      <c r="X47" s="758"/>
      <c r="Y47" s="780"/>
      <c r="Z47" s="758"/>
      <c r="AA47" s="758"/>
      <c r="AB47" s="758"/>
      <c r="AC47" s="758"/>
    </row>
    <row r="48" spans="1:29" ht="15.75" thickBot="1">
      <c r="A48" s="486" t="s">
        <v>2581</v>
      </c>
      <c r="B48" s="487"/>
      <c r="C48" s="1400">
        <f>R49</f>
        <v>44315</v>
      </c>
      <c r="D48" s="1401"/>
      <c r="E48" s="1402">
        <f>R48</f>
        <v>45840</v>
      </c>
      <c r="F48" s="1402"/>
      <c r="G48" s="1400">
        <f>T48</f>
        <v>47220</v>
      </c>
      <c r="H48" s="1401"/>
      <c r="I48" s="1402">
        <f>V48</f>
        <v>39885</v>
      </c>
      <c r="J48" s="1401"/>
      <c r="K48" s="783"/>
      <c r="L48" s="1138"/>
      <c r="M48" s="1139"/>
      <c r="N48" s="1126"/>
      <c r="O48" s="1139"/>
      <c r="P48" s="3265" t="str">
        <f>A48</f>
        <v>比较价值（元/平方米）</v>
      </c>
      <c r="Q48" s="3265"/>
      <c r="R48" s="3266">
        <f>IF(F1="售价",ROUND(PRODUCT(R47,AA7:AA46),0),ROUND(PRODUCT(R47,AA7:AA46),1))</f>
        <v>45840</v>
      </c>
      <c r="S48" s="3266"/>
      <c r="T48" s="3266">
        <f>IF(F1="售价",ROUND(PRODUCT(T47,AB7:AB46),0),ROUND(PRODUCT(T47,AB7:AB46),1))</f>
        <v>47220</v>
      </c>
      <c r="U48" s="3266"/>
      <c r="V48" s="3266">
        <f>IF(F1="售价",ROUND(PRODUCT(V47,AC7:AC46),0),ROUND(PRODUCT(V47,AC7:AC46),1))</f>
        <v>39885</v>
      </c>
      <c r="W48" s="3266"/>
      <c r="X48" s="758"/>
      <c r="Y48" s="758"/>
      <c r="Z48" s="758"/>
      <c r="AA48" s="758"/>
      <c r="AB48" s="758"/>
      <c r="AC48" s="758"/>
    </row>
    <row r="49" spans="1:29" ht="15.75" thickBot="1">
      <c r="A49" s="492" t="s">
        <v>3677</v>
      </c>
      <c r="B49" s="493"/>
      <c r="C49" s="1404">
        <f>R49</f>
        <v>44315</v>
      </c>
      <c r="D49" s="1404"/>
      <c r="E49" s="1404"/>
      <c r="F49" s="1404"/>
      <c r="G49" s="1404"/>
      <c r="H49" s="1404"/>
      <c r="I49" s="1404"/>
      <c r="J49" s="1404"/>
      <c r="K49" s="784"/>
      <c r="L49" s="1138"/>
      <c r="M49" s="1139"/>
      <c r="N49" s="1126"/>
      <c r="O49" s="1139"/>
      <c r="P49" s="3262" t="str">
        <f>A49</f>
        <v>底商比较价值（楼面单价，元/平方米）</v>
      </c>
      <c r="Q49" s="3263"/>
      <c r="R49" s="3264">
        <f>IF(F1="售价",ROUND(AVERAGE(R48:V48),0),ROUND(AVERAGE(R48:V48),1))</f>
        <v>44315</v>
      </c>
      <c r="S49" s="3264"/>
      <c r="T49" s="3264"/>
      <c r="U49" s="3264"/>
      <c r="V49" s="3264"/>
      <c r="W49" s="3264"/>
      <c r="X49" s="758"/>
      <c r="Y49" s="758"/>
      <c r="Z49" s="758"/>
      <c r="AA49" s="758"/>
      <c r="AB49" s="758"/>
      <c r="AC49" s="758"/>
    </row>
    <row r="50" spans="1:29">
      <c r="A50" s="1139"/>
      <c r="B50" s="1139"/>
      <c r="C50" s="1139"/>
      <c r="D50" s="1139"/>
      <c r="E50" s="1139"/>
      <c r="F50" s="1139"/>
      <c r="G50" s="3014" t="s">
        <v>3665</v>
      </c>
      <c r="H50" s="1139"/>
      <c r="I50" s="1139"/>
      <c r="J50" s="1139"/>
      <c r="K50" s="1100"/>
      <c r="L50" s="1101"/>
      <c r="M50" s="1139"/>
      <c r="N50" s="1139"/>
      <c r="O50" s="1139"/>
      <c r="P50" s="674"/>
      <c r="Q50" s="758"/>
      <c r="R50" s="758"/>
      <c r="S50" s="758"/>
      <c r="T50" s="758"/>
      <c r="U50" s="758"/>
      <c r="V50" s="758"/>
      <c r="W50" s="758"/>
      <c r="X50" s="758"/>
      <c r="Y50" s="758"/>
      <c r="Z50" s="758"/>
      <c r="AA50" s="758"/>
      <c r="AB50" s="758"/>
      <c r="AC50" s="758"/>
    </row>
    <row r="51" spans="1:29" hidden="1">
      <c r="A51" s="1139"/>
      <c r="B51" s="1139"/>
      <c r="C51" s="1139"/>
      <c r="D51" s="1139"/>
      <c r="E51" s="1139"/>
      <c r="F51" s="1139"/>
      <c r="G51" s="1139"/>
      <c r="H51" s="1139"/>
      <c r="I51" s="1139"/>
      <c r="J51" s="1139"/>
      <c r="K51" s="1100"/>
      <c r="L51" s="1101"/>
      <c r="M51" s="1139"/>
      <c r="N51" s="1139"/>
      <c r="O51" s="1139"/>
      <c r="P51" s="674"/>
      <c r="Q51" s="758"/>
      <c r="R51" s="758"/>
      <c r="S51" s="758"/>
      <c r="T51" s="758"/>
      <c r="U51" s="758"/>
      <c r="V51" s="758"/>
      <c r="W51" s="758"/>
      <c r="X51" s="758"/>
      <c r="Y51" s="758"/>
      <c r="Z51" s="758"/>
      <c r="AA51" s="758"/>
      <c r="AB51" s="758"/>
      <c r="AC51" s="758"/>
    </row>
    <row r="52" spans="1:29" ht="13.5" customHeight="1">
      <c r="A52" s="1139"/>
      <c r="B52" s="1139"/>
      <c r="C52" s="497" t="s">
        <v>2583</v>
      </c>
      <c r="D52" s="498"/>
      <c r="E52" s="499">
        <f>IF(E47&lt;E48,E48/E47-1,E47/E48-1)</f>
        <v>7.1028037383177534E-2</v>
      </c>
      <c r="F52" s="500" t="str">
        <f>IF(OR(E52&gt;=0.3,E52&lt;=-0.3),"超过30%","")</f>
        <v/>
      </c>
      <c r="G52" s="499">
        <f>IF(G47&lt;G48,G48/G47-1,G47/G48-1)</f>
        <v>0.10122829309614567</v>
      </c>
      <c r="H52" s="500" t="str">
        <f>IF(OR(G52&gt;=0.3,G52&lt;=-0.3),"超过30%","")</f>
        <v/>
      </c>
      <c r="I52" s="499">
        <f>IF(I47&lt;I48,I48/I47-1,I47/I48-1)</f>
        <v>7.8099536166478689E-2</v>
      </c>
      <c r="J52" s="500" t="str">
        <f>IF(OR(I52&gt;=0.3,I52&lt;=-0.3),"超过30%","")</f>
        <v/>
      </c>
      <c r="K52" s="1100"/>
      <c r="L52" s="1101"/>
      <c r="M52" s="1139"/>
      <c r="N52" s="1139"/>
      <c r="O52" s="1139"/>
      <c r="P52" s="674"/>
      <c r="Q52" s="758"/>
      <c r="R52" s="758"/>
      <c r="S52" s="758"/>
      <c r="T52" s="758"/>
      <c r="U52" s="758"/>
      <c r="V52" s="758"/>
      <c r="W52" s="758"/>
      <c r="X52" s="758"/>
      <c r="Y52" s="758"/>
      <c r="Z52" s="758"/>
      <c r="AA52" s="758"/>
      <c r="AB52" s="758"/>
      <c r="AC52" s="758"/>
    </row>
    <row r="53" spans="1:29" ht="13.5" customHeight="1">
      <c r="A53" s="1139"/>
      <c r="B53" s="1139"/>
      <c r="C53" s="497" t="s">
        <v>2584</v>
      </c>
      <c r="D53" s="501"/>
      <c r="E53" s="499">
        <f>IF(E48&lt;G48,G48/E48-1,E48/G48-1)</f>
        <v>3.0104712041884918E-2</v>
      </c>
      <c r="F53" s="500" t="str">
        <f>IF(OR(E53&gt;=0.2,E53&lt;=-0.2),"超过20%","")</f>
        <v/>
      </c>
      <c r="G53" s="499">
        <f>IF(G48&lt;I48,I48/G48-1,G48/I48-1)</f>
        <v>0.183903723204212</v>
      </c>
      <c r="H53" s="500" t="str">
        <f>IF(OR(G53&gt;=0.2,G53&lt;=-0.2),"超过20%","")</f>
        <v/>
      </c>
      <c r="I53" s="499">
        <f>IF(I48&lt;E48,E48/I48-1,I48/E48-1)</f>
        <v>0.1493042497179391</v>
      </c>
      <c r="J53" s="500" t="str">
        <f>IF(OR(I53&gt;=0.2,I53&lt;=-0.2),"超过20%","")</f>
        <v/>
      </c>
      <c r="K53" s="1100"/>
      <c r="L53" s="1101"/>
      <c r="M53" s="1139"/>
      <c r="N53" s="1139"/>
      <c r="O53" s="1139"/>
      <c r="P53" s="674"/>
      <c r="Q53" s="758"/>
      <c r="R53" s="758"/>
      <c r="S53" s="758"/>
      <c r="T53" s="758"/>
      <c r="U53" s="758"/>
      <c r="V53" s="758"/>
      <c r="W53" s="758"/>
      <c r="X53" s="758"/>
      <c r="Y53" s="758"/>
      <c r="Z53" s="758"/>
      <c r="AA53" s="758"/>
      <c r="AB53" s="758"/>
      <c r="AC53" s="758"/>
    </row>
    <row r="54" spans="1:29" s="502" customFormat="1" ht="13.5" customHeight="1">
      <c r="A54" s="1140"/>
      <c r="B54" s="1140"/>
      <c r="C54" s="497" t="s">
        <v>2585</v>
      </c>
      <c r="D54" s="501"/>
      <c r="E54" s="499">
        <f>IF(E47&lt;G47,G47/E47-1,E47/G47-1)</f>
        <v>0.2149532710280373</v>
      </c>
      <c r="F54" s="500" t="str">
        <f>IF(OR(E54&gt;=0.3,E54&lt;=-0.3),"超过30%","")</f>
        <v/>
      </c>
      <c r="G54" s="499">
        <f>IF(G47&lt;I47,I47/G47-1,G47/I47-1)</f>
        <v>0.20930232558139528</v>
      </c>
      <c r="H54" s="500" t="str">
        <f>IF(OR(G54&gt;=0.3,G54&lt;=-0.3),"超过30%","")</f>
        <v/>
      </c>
      <c r="I54" s="499">
        <f>IF(I47&lt;E47,E47/I47-1,I47/E47-1)</f>
        <v>4.6728971962617383E-3</v>
      </c>
      <c r="J54" s="500" t="str">
        <f>IF(OR(I54&gt;=0.3,I54&lt;=-0.3),"超过30%","")</f>
        <v/>
      </c>
      <c r="K54" s="1143"/>
      <c r="L54" s="1144"/>
      <c r="M54" s="1140"/>
      <c r="N54" s="1140"/>
      <c r="O54" s="1140"/>
      <c r="P54" s="2549"/>
      <c r="Q54" s="759"/>
      <c r="R54" s="759"/>
      <c r="S54" s="759"/>
      <c r="T54" s="759"/>
      <c r="U54" s="759"/>
      <c r="V54" s="759"/>
      <c r="W54" s="759"/>
      <c r="X54" s="759"/>
      <c r="Y54" s="759"/>
      <c r="Z54" s="759"/>
      <c r="AA54" s="759"/>
      <c r="AB54" s="759"/>
      <c r="AC54" s="759"/>
    </row>
    <row r="55" spans="1:29" s="502" customFormat="1">
      <c r="A55" s="1140"/>
      <c r="B55" s="1141"/>
      <c r="C55" s="1145"/>
      <c r="D55" s="1140"/>
      <c r="E55" s="1140"/>
      <c r="F55" s="1140"/>
      <c r="G55" s="1140"/>
      <c r="H55" s="1140"/>
      <c r="I55" s="1140"/>
      <c r="J55" s="1140"/>
      <c r="K55" s="1143"/>
      <c r="L55" s="1144"/>
      <c r="M55" s="1140"/>
      <c r="N55" s="1140"/>
      <c r="O55" s="1140"/>
      <c r="P55" s="2549"/>
      <c r="Q55" s="759"/>
      <c r="R55" s="759"/>
      <c r="S55" s="759"/>
      <c r="T55" s="759"/>
      <c r="U55" s="759"/>
      <c r="V55" s="759"/>
      <c r="W55" s="759"/>
      <c r="X55" s="759"/>
      <c r="Y55" s="759"/>
      <c r="Z55" s="759"/>
      <c r="AA55" s="759"/>
      <c r="AB55" s="759"/>
      <c r="AC55" s="759"/>
    </row>
    <row r="56" spans="1:29">
      <c r="A56" s="1139"/>
      <c r="B56" s="1141"/>
      <c r="C56" s="1145"/>
      <c r="D56" s="1139"/>
      <c r="E56" s="1139"/>
      <c r="F56" s="1139"/>
      <c r="G56" s="1139"/>
      <c r="H56" s="1139"/>
      <c r="I56" s="1139"/>
      <c r="J56" s="1139"/>
      <c r="K56" s="1100"/>
      <c r="L56" s="1101"/>
      <c r="M56" s="1139"/>
      <c r="N56" s="1139"/>
      <c r="O56" s="1139"/>
      <c r="P56" s="674"/>
      <c r="Q56" s="758"/>
      <c r="R56" s="758"/>
      <c r="S56" s="758"/>
      <c r="T56" s="758"/>
      <c r="U56" s="758"/>
      <c r="V56" s="758"/>
      <c r="W56" s="758"/>
      <c r="X56" s="758"/>
      <c r="Y56" s="758"/>
      <c r="Z56" s="758"/>
      <c r="AA56" s="758"/>
      <c r="AB56" s="758"/>
      <c r="AC56" s="758"/>
    </row>
    <row r="57" spans="1:29" ht="21.75" thickBot="1">
      <c r="A57" s="762" t="s">
        <v>2586</v>
      </c>
      <c r="B57" s="758"/>
      <c r="C57" s="763"/>
      <c r="D57" s="763"/>
      <c r="E57" s="763"/>
      <c r="F57" s="764"/>
      <c r="G57" s="764"/>
      <c r="H57" s="763"/>
      <c r="I57" s="763"/>
      <c r="J57" s="763"/>
      <c r="K57" s="765"/>
      <c r="L57" s="1156"/>
      <c r="M57" s="1154"/>
      <c r="N57" s="1154"/>
      <c r="O57" s="1154"/>
      <c r="P57" s="2550"/>
      <c r="Q57" s="2551"/>
      <c r="R57" s="758"/>
      <c r="S57" s="758"/>
      <c r="T57" s="758"/>
      <c r="U57" s="758"/>
      <c r="V57" s="758"/>
      <c r="W57" s="758"/>
      <c r="X57" s="758"/>
      <c r="Y57" s="758"/>
      <c r="Z57" s="758"/>
      <c r="AA57" s="758"/>
      <c r="AB57" s="758"/>
      <c r="AC57" s="758"/>
    </row>
    <row r="58" spans="1:29" s="508" customFormat="1" ht="15">
      <c r="A58" s="505" t="s">
        <v>2461</v>
      </c>
      <c r="B58" s="506"/>
      <c r="C58" s="1560" t="str">
        <f>YEAR(C7)&amp;"-"&amp;MONTH(C7)</f>
        <v>2018-3</v>
      </c>
      <c r="D58" s="1561">
        <f>EDATE(C58,-1)</f>
        <v>43132</v>
      </c>
      <c r="E58" s="1561">
        <f t="shared" ref="E58:N58" si="16">EDATE(D58,-1)</f>
        <v>43101</v>
      </c>
      <c r="F58" s="1561">
        <f t="shared" si="16"/>
        <v>43070</v>
      </c>
      <c r="G58" s="1561">
        <f t="shared" si="16"/>
        <v>43040</v>
      </c>
      <c r="H58" s="1561">
        <f t="shared" si="16"/>
        <v>43009</v>
      </c>
      <c r="I58" s="1561">
        <f t="shared" si="16"/>
        <v>42979</v>
      </c>
      <c r="J58" s="1561">
        <f t="shared" si="16"/>
        <v>42948</v>
      </c>
      <c r="K58" s="1561">
        <f t="shared" si="16"/>
        <v>42917</v>
      </c>
      <c r="L58" s="1561">
        <f t="shared" si="16"/>
        <v>42887</v>
      </c>
      <c r="M58" s="1561">
        <f t="shared" si="16"/>
        <v>42856</v>
      </c>
      <c r="N58" s="1561">
        <f t="shared" si="16"/>
        <v>42826</v>
      </c>
      <c r="O58" s="1561">
        <f>EDATE(N58,-1)</f>
        <v>42795</v>
      </c>
      <c r="P58" s="1556"/>
    </row>
    <row r="59" spans="1:29" s="117" customFormat="1" ht="15">
      <c r="A59" s="509"/>
      <c r="B59" s="510"/>
      <c r="C59" s="1559">
        <v>100</v>
      </c>
      <c r="D59" s="512">
        <v>100</v>
      </c>
      <c r="E59" s="512">
        <v>100</v>
      </c>
      <c r="F59" s="512">
        <v>99</v>
      </c>
      <c r="G59" s="512">
        <v>99</v>
      </c>
      <c r="H59" s="512">
        <v>99</v>
      </c>
      <c r="I59" s="512">
        <v>98</v>
      </c>
      <c r="J59" s="512">
        <v>98</v>
      </c>
      <c r="K59" s="512">
        <v>98</v>
      </c>
      <c r="L59" s="512">
        <v>97</v>
      </c>
      <c r="M59" s="513">
        <v>97</v>
      </c>
      <c r="N59" s="512"/>
      <c r="O59" s="513"/>
      <c r="P59" s="2511"/>
    </row>
    <row r="60" spans="1:29" s="117" customFormat="1" ht="15.75" thickBot="1">
      <c r="A60" s="515" t="s">
        <v>2497</v>
      </c>
      <c r="B60" s="516"/>
      <c r="C60" s="517"/>
      <c r="D60" s="518"/>
      <c r="E60" s="518"/>
      <c r="F60" s="518"/>
      <c r="G60" s="518"/>
      <c r="H60" s="518"/>
      <c r="I60" s="518"/>
      <c r="J60" s="518"/>
      <c r="K60" s="518"/>
      <c r="L60" s="518"/>
      <c r="M60" s="519"/>
      <c r="N60" s="518"/>
      <c r="O60" s="519"/>
      <c r="P60" s="2511"/>
      <c r="Q60" s="504"/>
    </row>
    <row r="61" spans="1:29" s="117" customFormat="1" ht="15">
      <c r="A61" s="521" t="s">
        <v>2463</v>
      </c>
      <c r="B61" s="510"/>
      <c r="C61" s="522" t="s">
        <v>2564</v>
      </c>
      <c r="D61" s="523"/>
      <c r="E61" s="523"/>
      <c r="F61" s="523"/>
      <c r="G61" s="523"/>
      <c r="H61" s="523"/>
      <c r="I61" s="523"/>
      <c r="J61" s="523"/>
      <c r="K61" s="523"/>
      <c r="L61" s="524"/>
      <c r="M61" s="525"/>
      <c r="N61" s="1146"/>
      <c r="O61" s="1146"/>
      <c r="P61" s="2512"/>
      <c r="Q61" s="504"/>
    </row>
    <row r="62" spans="1:29" s="117" customFormat="1" ht="15.75" thickBot="1">
      <c r="A62" s="521"/>
      <c r="B62" s="510"/>
      <c r="C62" s="511">
        <v>100</v>
      </c>
      <c r="D62" s="512"/>
      <c r="E62" s="512"/>
      <c r="F62" s="512"/>
      <c r="G62" s="512"/>
      <c r="H62" s="512"/>
      <c r="I62" s="512"/>
      <c r="J62" s="512"/>
      <c r="K62" s="512"/>
      <c r="L62" s="512"/>
      <c r="M62" s="514"/>
      <c r="N62" s="1146"/>
      <c r="O62" s="1146"/>
      <c r="P62" s="2511"/>
      <c r="Q62" s="504"/>
    </row>
    <row r="63" spans="1:29">
      <c r="A63" s="527" t="s">
        <v>2500</v>
      </c>
      <c r="B63" s="528" t="s">
        <v>2467</v>
      </c>
      <c r="C63" s="529" t="str">
        <f>C9</f>
        <v>商业</v>
      </c>
      <c r="D63" s="530"/>
      <c r="E63" s="530"/>
      <c r="F63" s="530"/>
      <c r="G63" s="530"/>
      <c r="H63" s="530"/>
      <c r="I63" s="530"/>
      <c r="J63" s="530"/>
      <c r="K63" s="531"/>
      <c r="L63" s="532"/>
      <c r="M63" s="533"/>
      <c r="N63" s="1147"/>
      <c r="O63" s="1147"/>
      <c r="P63" s="2513"/>
      <c r="Q63" s="504"/>
    </row>
    <row r="64" spans="1:29" ht="15.75" thickBot="1">
      <c r="A64" s="534"/>
      <c r="B64" s="535"/>
      <c r="C64" s="536">
        <v>100</v>
      </c>
      <c r="D64" s="536"/>
      <c r="E64" s="536"/>
      <c r="F64" s="536"/>
      <c r="G64" s="536"/>
      <c r="H64" s="536"/>
      <c r="I64" s="536"/>
      <c r="J64" s="536"/>
      <c r="K64" s="536"/>
      <c r="L64" s="536"/>
      <c r="M64" s="537"/>
      <c r="N64" s="1148"/>
      <c r="O64" s="1148"/>
      <c r="P64" s="2513"/>
      <c r="Q64" s="504"/>
    </row>
    <row r="65" spans="1:17" ht="27.75" thickTop="1">
      <c r="A65" s="534"/>
      <c r="B65" s="538" t="s">
        <v>2470</v>
      </c>
      <c r="C65" s="539" t="s">
        <v>2501</v>
      </c>
      <c r="D65" s="539" t="s">
        <v>2502</v>
      </c>
      <c r="E65" s="539" t="s">
        <v>2503</v>
      </c>
      <c r="F65" s="539" t="s">
        <v>2504</v>
      </c>
      <c r="G65" s="539" t="s">
        <v>2505</v>
      </c>
      <c r="H65" s="539" t="s">
        <v>2506</v>
      </c>
      <c r="I65" s="539" t="s">
        <v>2507</v>
      </c>
      <c r="J65" s="539"/>
      <c r="K65" s="540"/>
      <c r="L65" s="541"/>
      <c r="M65" s="542"/>
      <c r="N65" s="1147"/>
      <c r="O65" s="1147"/>
      <c r="P65" s="2513"/>
      <c r="Q65" s="504"/>
    </row>
    <row r="66" spans="1:17" ht="15.75" thickBot="1">
      <c r="A66" s="534"/>
      <c r="B66" s="543"/>
      <c r="C66" s="544" t="s">
        <v>24</v>
      </c>
      <c r="D66" s="544" t="s">
        <v>25</v>
      </c>
      <c r="E66" s="544" t="s">
        <v>26</v>
      </c>
      <c r="F66" s="544">
        <v>100</v>
      </c>
      <c r="G66" s="544">
        <f>F66-$K10</f>
        <v>95</v>
      </c>
      <c r="H66" s="544">
        <f>G66-$K10</f>
        <v>90</v>
      </c>
      <c r="I66" s="544">
        <f>H66-$K10</f>
        <v>85</v>
      </c>
      <c r="J66" s="544"/>
      <c r="K66" s="544"/>
      <c r="L66" s="544"/>
      <c r="M66" s="545"/>
      <c r="N66" s="1148"/>
      <c r="O66" s="1148"/>
      <c r="P66" s="2513"/>
      <c r="Q66" s="504"/>
    </row>
    <row r="67" spans="1:17" ht="15.75" thickTop="1">
      <c r="A67" s="534"/>
      <c r="B67" s="546" t="s">
        <v>2471</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v>
      </c>
      <c r="J67" s="547" t="str">
        <f t="shared" si="17"/>
        <v>（含）-</v>
      </c>
      <c r="K67" s="547" t="str">
        <f t="shared" si="17"/>
        <v>（含）-</v>
      </c>
      <c r="L67" s="547" t="str">
        <f t="shared" si="17"/>
        <v>（含）-</v>
      </c>
      <c r="M67" s="448" t="str">
        <f>M68&amp;"（含）"&amp;"-"&amp;P68</f>
        <v>（含）-</v>
      </c>
      <c r="N67" s="1148"/>
      <c r="O67" s="1148"/>
      <c r="P67" s="2513"/>
      <c r="Q67" s="504"/>
    </row>
    <row r="68" spans="1:17" ht="15">
      <c r="A68" s="534"/>
      <c r="B68" s="548"/>
      <c r="C68" s="549">
        <v>0</v>
      </c>
      <c r="D68" s="549">
        <v>1</v>
      </c>
      <c r="E68" s="549">
        <v>2</v>
      </c>
      <c r="F68" s="549">
        <v>3</v>
      </c>
      <c r="G68" s="549">
        <v>4</v>
      </c>
      <c r="H68" s="549">
        <v>5</v>
      </c>
      <c r="I68" s="549">
        <v>6</v>
      </c>
      <c r="J68" s="549"/>
      <c r="K68" s="550"/>
      <c r="L68" s="551"/>
      <c r="M68" s="552"/>
      <c r="N68" s="1147"/>
      <c r="O68" s="1147"/>
      <c r="P68" s="2513"/>
      <c r="Q68" s="504"/>
    </row>
    <row r="69" spans="1:17" ht="15.75" thickBot="1">
      <c r="A69" s="534"/>
      <c r="B69" s="535"/>
      <c r="C69" s="544">
        <v>100</v>
      </c>
      <c r="D69" s="544">
        <f t="shared" ref="D69:M69" si="18">C69-$K11</f>
        <v>99.5</v>
      </c>
      <c r="E69" s="544">
        <f t="shared" si="18"/>
        <v>99</v>
      </c>
      <c r="F69" s="544">
        <f t="shared" si="18"/>
        <v>98.5</v>
      </c>
      <c r="G69" s="544">
        <f t="shared" si="18"/>
        <v>98</v>
      </c>
      <c r="H69" s="544">
        <f t="shared" si="18"/>
        <v>97.5</v>
      </c>
      <c r="I69" s="544">
        <f t="shared" si="18"/>
        <v>97</v>
      </c>
      <c r="J69" s="544">
        <f t="shared" si="18"/>
        <v>96.5</v>
      </c>
      <c r="K69" s="544">
        <f t="shared" si="18"/>
        <v>96</v>
      </c>
      <c r="L69" s="544">
        <f t="shared" si="18"/>
        <v>95.5</v>
      </c>
      <c r="M69" s="545">
        <f t="shared" si="18"/>
        <v>95</v>
      </c>
      <c r="N69" s="1148"/>
      <c r="O69" s="1148"/>
      <c r="P69" s="2513"/>
      <c r="Q69" s="504"/>
    </row>
    <row r="70" spans="1:17" s="471" customFormat="1" ht="15.75" thickTop="1">
      <c r="A70" s="553"/>
      <c r="B70" s="538">
        <f>B12</f>
        <v>0</v>
      </c>
      <c r="C70" s="554"/>
      <c r="D70" s="554"/>
      <c r="E70" s="554"/>
      <c r="F70" s="554"/>
      <c r="G70" s="554"/>
      <c r="H70" s="555"/>
      <c r="I70" s="555"/>
      <c r="J70" s="555"/>
      <c r="K70" s="555"/>
      <c r="L70" s="556"/>
      <c r="M70" s="557"/>
      <c r="N70" s="1149"/>
      <c r="O70" s="1149"/>
      <c r="P70" s="2514"/>
      <c r="Q70" s="559"/>
    </row>
    <row r="71" spans="1:17" s="471" customFormat="1" ht="15.75" thickBot="1">
      <c r="A71" s="553"/>
      <c r="B71" s="543"/>
      <c r="C71" s="560"/>
      <c r="D71" s="536"/>
      <c r="E71" s="536"/>
      <c r="F71" s="536"/>
      <c r="G71" s="536"/>
      <c r="H71" s="536"/>
      <c r="I71" s="536"/>
      <c r="J71" s="536"/>
      <c r="K71" s="536"/>
      <c r="L71" s="536"/>
      <c r="M71" s="537"/>
      <c r="N71" s="1148"/>
      <c r="O71" s="1148"/>
      <c r="P71" s="2514"/>
      <c r="Q71" s="559"/>
    </row>
    <row r="72" spans="1:17" s="471" customFormat="1" ht="15.75" thickTop="1">
      <c r="A72" s="553"/>
      <c r="B72" s="538">
        <f>B13</f>
        <v>0</v>
      </c>
      <c r="C72" s="554"/>
      <c r="D72" s="554"/>
      <c r="E72" s="554"/>
      <c r="F72" s="554"/>
      <c r="G72" s="554"/>
      <c r="H72" s="555"/>
      <c r="I72" s="555"/>
      <c r="J72" s="555"/>
      <c r="K72" s="555"/>
      <c r="L72" s="556"/>
      <c r="M72" s="557"/>
      <c r="N72" s="1149"/>
      <c r="O72" s="1149"/>
      <c r="P72" s="2515"/>
      <c r="Q72" s="561"/>
    </row>
    <row r="73" spans="1:17" s="471" customFormat="1" ht="15.75" thickBot="1">
      <c r="A73" s="553"/>
      <c r="B73" s="543"/>
      <c r="C73" s="560"/>
      <c r="D73" s="536"/>
      <c r="E73" s="536"/>
      <c r="F73" s="536"/>
      <c r="G73" s="560"/>
      <c r="H73" s="562"/>
      <c r="I73" s="562"/>
      <c r="J73" s="562"/>
      <c r="K73" s="562"/>
      <c r="L73" s="562"/>
      <c r="M73" s="563"/>
      <c r="N73" s="1149"/>
      <c r="O73" s="1149"/>
      <c r="P73" s="2514"/>
      <c r="Q73" s="559"/>
    </row>
    <row r="74" spans="1:17" s="471" customFormat="1" ht="15.75" thickTop="1">
      <c r="A74" s="553"/>
      <c r="B74" s="546">
        <f>B14</f>
        <v>0</v>
      </c>
      <c r="C74" s="554"/>
      <c r="D74" s="554"/>
      <c r="E74" s="554"/>
      <c r="F74" s="554"/>
      <c r="G74" s="523"/>
      <c r="H74" s="564"/>
      <c r="I74" s="564"/>
      <c r="J74" s="564"/>
      <c r="K74" s="564"/>
      <c r="L74" s="565"/>
      <c r="M74" s="566"/>
      <c r="N74" s="1149"/>
      <c r="O74" s="1149"/>
      <c r="P74" s="2516"/>
      <c r="Q74" s="559"/>
    </row>
    <row r="75" spans="1:17" s="471" customFormat="1" ht="15.75" thickBot="1">
      <c r="A75" s="568"/>
      <c r="B75" s="569"/>
      <c r="C75" s="570"/>
      <c r="D75" s="570"/>
      <c r="E75" s="570"/>
      <c r="F75" s="570"/>
      <c r="G75" s="570"/>
      <c r="H75" s="571"/>
      <c r="I75" s="571"/>
      <c r="J75" s="571"/>
      <c r="K75" s="571"/>
      <c r="L75" s="571"/>
      <c r="M75" s="572"/>
      <c r="N75" s="1149"/>
      <c r="O75" s="1149"/>
      <c r="P75" s="2514"/>
      <c r="Q75" s="559"/>
    </row>
    <row r="76" spans="1:17">
      <c r="A76" s="527" t="s">
        <v>2472</v>
      </c>
      <c r="B76" s="528" t="s">
        <v>2508</v>
      </c>
      <c r="C76" s="573" t="s">
        <v>2509</v>
      </c>
      <c r="D76" s="573" t="s">
        <v>2510</v>
      </c>
      <c r="E76" s="573" t="s">
        <v>2511</v>
      </c>
      <c r="F76" s="573" t="s">
        <v>2512</v>
      </c>
      <c r="G76" s="573" t="s">
        <v>2513</v>
      </c>
      <c r="H76" s="529"/>
      <c r="I76" s="529"/>
      <c r="J76" s="529"/>
      <c r="K76" s="574"/>
      <c r="L76" s="575"/>
      <c r="M76" s="576"/>
      <c r="N76" s="1147"/>
      <c r="O76" s="1147"/>
      <c r="P76" s="2517"/>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8"/>
      <c r="O77" s="1148"/>
      <c r="P77" s="2513"/>
      <c r="Q77" s="504"/>
    </row>
    <row r="78" spans="1:17" ht="15.75" thickTop="1">
      <c r="A78" s="534"/>
      <c r="B78" s="538" t="s">
        <v>2514</v>
      </c>
      <c r="C78" s="578" t="s">
        <v>2509</v>
      </c>
      <c r="D78" s="578" t="s">
        <v>2510</v>
      </c>
      <c r="E78" s="578" t="s">
        <v>2511</v>
      </c>
      <c r="F78" s="578" t="s">
        <v>2512</v>
      </c>
      <c r="G78" s="578" t="s">
        <v>2513</v>
      </c>
      <c r="H78" s="539"/>
      <c r="I78" s="539"/>
      <c r="J78" s="539"/>
      <c r="K78" s="540"/>
      <c r="L78" s="541"/>
      <c r="M78" s="542"/>
      <c r="N78" s="1147"/>
      <c r="O78" s="1147"/>
      <c r="P78" s="2513"/>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8"/>
      <c r="O79" s="1148"/>
      <c r="P79" s="2513"/>
      <c r="Q79" s="504"/>
    </row>
    <row r="80" spans="1:17" ht="15.75" thickTop="1">
      <c r="A80" s="534"/>
      <c r="B80" s="538" t="s">
        <v>2515</v>
      </c>
      <c r="C80" s="578" t="s">
        <v>2509</v>
      </c>
      <c r="D80" s="578" t="s">
        <v>2510</v>
      </c>
      <c r="E80" s="578" t="s">
        <v>2511</v>
      </c>
      <c r="F80" s="578" t="s">
        <v>2512</v>
      </c>
      <c r="G80" s="578" t="s">
        <v>2513</v>
      </c>
      <c r="H80" s="539"/>
      <c r="I80" s="539"/>
      <c r="J80" s="539"/>
      <c r="K80" s="540"/>
      <c r="L80" s="541"/>
      <c r="M80" s="542"/>
      <c r="N80" s="1147"/>
      <c r="O80" s="1147"/>
      <c r="P80" s="2513"/>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48"/>
      <c r="O81" s="1148"/>
      <c r="P81" s="2513"/>
      <c r="Q81" s="504"/>
    </row>
    <row r="82" spans="1:17" ht="15.75" thickTop="1">
      <c r="A82" s="534"/>
      <c r="B82" s="546" t="s">
        <v>2567</v>
      </c>
      <c r="C82" s="659" t="s">
        <v>2587</v>
      </c>
      <c r="D82" s="659" t="s">
        <v>2588</v>
      </c>
      <c r="E82" s="659" t="s">
        <v>2589</v>
      </c>
      <c r="F82" s="659" t="s">
        <v>2590</v>
      </c>
      <c r="G82" s="659" t="s">
        <v>2591</v>
      </c>
      <c r="H82" s="539"/>
      <c r="I82" s="539"/>
      <c r="J82" s="539"/>
      <c r="K82" s="539"/>
      <c r="L82" s="539"/>
      <c r="M82" s="1369"/>
      <c r="N82" s="1148"/>
      <c r="O82" s="1148"/>
      <c r="P82" s="2513"/>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48"/>
      <c r="O83" s="1148"/>
      <c r="P83" s="2513"/>
      <c r="Q83" s="504"/>
    </row>
    <row r="84" spans="1:17" ht="15.75" thickTop="1">
      <c r="A84" s="534"/>
      <c r="B84" s="538" t="s">
        <v>2521</v>
      </c>
      <c r="C84" s="578" t="s">
        <v>2509</v>
      </c>
      <c r="D84" s="578" t="s">
        <v>2510</v>
      </c>
      <c r="E84" s="578" t="s">
        <v>2511</v>
      </c>
      <c r="F84" s="578" t="s">
        <v>2512</v>
      </c>
      <c r="G84" s="578" t="s">
        <v>2513</v>
      </c>
      <c r="H84" s="539"/>
      <c r="I84" s="539"/>
      <c r="J84" s="539"/>
      <c r="K84" s="540"/>
      <c r="L84" s="541"/>
      <c r="M84" s="542"/>
      <c r="N84" s="1147"/>
      <c r="O84" s="1147"/>
      <c r="P84" s="2513"/>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48"/>
      <c r="O85" s="1148"/>
      <c r="P85" s="2513"/>
      <c r="Q85" s="504"/>
    </row>
    <row r="86" spans="1:17" s="117" customFormat="1" ht="15.75" thickTop="1">
      <c r="A86" s="579"/>
      <c r="B86" s="538" t="s">
        <v>2592</v>
      </c>
      <c r="C86" s="2991" t="s">
        <v>3630</v>
      </c>
      <c r="D86" s="2991" t="s">
        <v>3631</v>
      </c>
      <c r="E86" s="2991" t="s">
        <v>3633</v>
      </c>
      <c r="F86" s="2991" t="s">
        <v>3634</v>
      </c>
      <c r="G86" s="554"/>
      <c r="H86" s="554"/>
      <c r="I86" s="554"/>
      <c r="J86" s="554"/>
      <c r="K86" s="554"/>
      <c r="L86" s="580"/>
      <c r="M86" s="581"/>
      <c r="N86" s="1146"/>
      <c r="O86" s="1146"/>
      <c r="P86" s="2513"/>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48"/>
      <c r="O87" s="1148"/>
      <c r="P87" s="2513"/>
      <c r="Q87" s="504"/>
    </row>
    <row r="88" spans="1:17" s="117" customFormat="1" ht="15.75" thickTop="1">
      <c r="A88" s="579"/>
      <c r="B88" s="538" t="str">
        <f>B26</f>
        <v>平面位置/可视性</v>
      </c>
      <c r="C88" s="3010" t="s">
        <v>2509</v>
      </c>
      <c r="D88" s="3010" t="s">
        <v>2510</v>
      </c>
      <c r="E88" s="3010" t="s">
        <v>2511</v>
      </c>
      <c r="F88" s="3010" t="s">
        <v>2512</v>
      </c>
      <c r="G88" s="3010" t="s">
        <v>2513</v>
      </c>
      <c r="H88" s="554"/>
      <c r="I88" s="554"/>
      <c r="J88" s="554"/>
      <c r="K88" s="554"/>
      <c r="L88" s="554"/>
      <c r="M88" s="581"/>
      <c r="N88" s="1146"/>
      <c r="O88" s="1146"/>
      <c r="P88" s="2513"/>
      <c r="Q88" s="504"/>
    </row>
    <row r="89" spans="1:17" s="117" customFormat="1" ht="15.75" thickBot="1">
      <c r="A89" s="579"/>
      <c r="B89" s="543"/>
      <c r="C89" s="560">
        <v>100</v>
      </c>
      <c r="D89" s="536">
        <v>98</v>
      </c>
      <c r="E89" s="536">
        <v>96</v>
      </c>
      <c r="F89" s="536">
        <v>94</v>
      </c>
      <c r="G89" s="536">
        <v>92</v>
      </c>
      <c r="H89" s="536"/>
      <c r="I89" s="536"/>
      <c r="J89" s="536"/>
      <c r="K89" s="536"/>
      <c r="L89" s="536"/>
      <c r="M89" s="536"/>
      <c r="N89" s="1148"/>
      <c r="O89" s="1148"/>
      <c r="P89" s="2513"/>
      <c r="Q89" s="504"/>
    </row>
    <row r="90" spans="1:17" s="471" customFormat="1" ht="15.75" thickTop="1">
      <c r="A90" s="553"/>
      <c r="B90" s="538" t="str">
        <f>B27</f>
        <v>人流量</v>
      </c>
      <c r="C90" s="3010" t="s">
        <v>2509</v>
      </c>
      <c r="D90" s="3010" t="s">
        <v>2510</v>
      </c>
      <c r="E90" s="3010" t="s">
        <v>2511</v>
      </c>
      <c r="F90" s="3010" t="s">
        <v>2512</v>
      </c>
      <c r="G90" s="3010" t="s">
        <v>2513</v>
      </c>
      <c r="H90" s="555"/>
      <c r="I90" s="555"/>
      <c r="J90" s="555"/>
      <c r="K90" s="555"/>
      <c r="L90" s="556"/>
      <c r="M90" s="557"/>
      <c r="N90" s="1149"/>
      <c r="O90" s="1149"/>
      <c r="P90" s="2514"/>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49"/>
      <c r="O91" s="1149"/>
      <c r="P91" s="2514"/>
      <c r="Q91" s="559"/>
    </row>
    <row r="92" spans="1:17" ht="15.75" thickTop="1">
      <c r="A92" s="534"/>
      <c r="B92" s="538" t="str">
        <f>B28</f>
        <v>楼层</v>
      </c>
      <c r="C92" s="554">
        <v>1</v>
      </c>
      <c r="D92" s="554">
        <v>2</v>
      </c>
      <c r="E92" s="3011" t="s">
        <v>3636</v>
      </c>
      <c r="F92" s="554"/>
      <c r="G92" s="554"/>
      <c r="H92" s="554"/>
      <c r="I92" s="554"/>
      <c r="J92" s="554"/>
      <c r="K92" s="554"/>
      <c r="L92" s="580"/>
      <c r="M92" s="581"/>
      <c r="N92" s="1147"/>
      <c r="O92" s="1147"/>
      <c r="P92" s="2513"/>
      <c r="Q92" s="504"/>
    </row>
    <row r="93" spans="1:17" ht="15.75" thickBot="1">
      <c r="A93" s="534"/>
      <c r="B93" s="543"/>
      <c r="C93" s="536">
        <v>100</v>
      </c>
      <c r="D93" s="536">
        <v>80</v>
      </c>
      <c r="E93" s="536">
        <f>ROUND((C93+D93)/2,1)</f>
        <v>90</v>
      </c>
      <c r="F93" s="536"/>
      <c r="G93" s="536"/>
      <c r="H93" s="536"/>
      <c r="I93" s="536"/>
      <c r="J93" s="536"/>
      <c r="K93" s="536"/>
      <c r="L93" s="536"/>
      <c r="M93" s="537"/>
      <c r="N93" s="1148"/>
      <c r="O93" s="1148"/>
      <c r="P93" s="2513"/>
      <c r="Q93" s="504"/>
    </row>
    <row r="94" spans="1:17" ht="15.75" hidden="1" thickTop="1">
      <c r="A94" s="534"/>
      <c r="B94" s="538">
        <f>B29</f>
        <v>0</v>
      </c>
      <c r="C94" s="554"/>
      <c r="D94" s="554"/>
      <c r="E94" s="554"/>
      <c r="F94" s="554"/>
      <c r="G94" s="583"/>
      <c r="H94" s="583"/>
      <c r="I94" s="583"/>
      <c r="J94" s="583"/>
      <c r="K94" s="584"/>
      <c r="L94" s="585"/>
      <c r="M94" s="586"/>
      <c r="N94" s="1147"/>
      <c r="O94" s="1147"/>
      <c r="P94" s="2513"/>
      <c r="Q94" s="504"/>
    </row>
    <row r="95" spans="1:17" ht="15.75" hidden="1" thickBot="1">
      <c r="A95" s="534"/>
      <c r="B95" s="543"/>
      <c r="C95" s="560"/>
      <c r="D95" s="536"/>
      <c r="E95" s="536"/>
      <c r="F95" s="536"/>
      <c r="G95" s="536"/>
      <c r="H95" s="536"/>
      <c r="I95" s="536"/>
      <c r="J95" s="536"/>
      <c r="K95" s="536"/>
      <c r="L95" s="536"/>
      <c r="M95" s="537"/>
      <c r="N95" s="1148"/>
      <c r="O95" s="1148"/>
      <c r="P95" s="2513"/>
      <c r="Q95" s="504"/>
    </row>
    <row r="96" spans="1:17" ht="15.75" hidden="1" thickTop="1">
      <c r="A96" s="534"/>
      <c r="B96" s="538">
        <f>B30</f>
        <v>0</v>
      </c>
      <c r="C96" s="554"/>
      <c r="D96" s="554"/>
      <c r="E96" s="554"/>
      <c r="F96" s="554"/>
      <c r="G96" s="583"/>
      <c r="H96" s="583"/>
      <c r="I96" s="583"/>
      <c r="J96" s="583"/>
      <c r="K96" s="584"/>
      <c r="L96" s="585"/>
      <c r="M96" s="586"/>
      <c r="N96" s="1147"/>
      <c r="O96" s="1147"/>
      <c r="P96" s="2513"/>
      <c r="Q96" s="504"/>
    </row>
    <row r="97" spans="1:17" ht="15.75" hidden="1" thickBot="1">
      <c r="A97" s="534"/>
      <c r="B97" s="543"/>
      <c r="C97" s="560"/>
      <c r="D97" s="536"/>
      <c r="E97" s="536"/>
      <c r="F97" s="536"/>
      <c r="G97" s="536"/>
      <c r="H97" s="536"/>
      <c r="I97" s="536"/>
      <c r="J97" s="536"/>
      <c r="K97" s="536"/>
      <c r="L97" s="536"/>
      <c r="M97" s="537"/>
      <c r="N97" s="1148"/>
      <c r="O97" s="1148"/>
      <c r="P97" s="2513"/>
      <c r="Q97" s="504"/>
    </row>
    <row r="98" spans="1:17" ht="15.75" hidden="1" thickTop="1">
      <c r="A98" s="534"/>
      <c r="B98" s="546">
        <f>B31</f>
        <v>0</v>
      </c>
      <c r="C98" s="554"/>
      <c r="D98" s="554"/>
      <c r="E98" s="554"/>
      <c r="F98" s="554"/>
      <c r="G98" s="587"/>
      <c r="H98" s="587"/>
      <c r="I98" s="587"/>
      <c r="J98" s="587"/>
      <c r="K98" s="588"/>
      <c r="L98" s="589"/>
      <c r="M98" s="590"/>
      <c r="N98" s="1147"/>
      <c r="O98" s="1147"/>
      <c r="P98" s="2513"/>
      <c r="Q98" s="504"/>
    </row>
    <row r="99" spans="1:17" ht="15.75" hidden="1" thickBot="1">
      <c r="A99" s="2519"/>
      <c r="B99" s="569"/>
      <c r="C99" s="570"/>
      <c r="D99" s="570"/>
      <c r="E99" s="570"/>
      <c r="F99" s="570"/>
      <c r="G99" s="591"/>
      <c r="H99" s="591"/>
      <c r="I99" s="591"/>
      <c r="J99" s="591"/>
      <c r="K99" s="591"/>
      <c r="L99" s="591"/>
      <c r="M99" s="592"/>
      <c r="N99" s="1148"/>
      <c r="O99" s="1148"/>
      <c r="P99" s="2513"/>
      <c r="Q99" s="504"/>
    </row>
    <row r="100" spans="1:17" ht="15" thickTop="1">
      <c r="A100" s="527" t="s">
        <v>2476</v>
      </c>
      <c r="B100" s="528" t="s">
        <v>2593</v>
      </c>
      <c r="C100" s="2992" t="s">
        <v>3638</v>
      </c>
      <c r="D100" s="2992" t="s">
        <v>3639</v>
      </c>
      <c r="E100" s="2992" t="s">
        <v>3640</v>
      </c>
      <c r="F100" s="2992" t="s">
        <v>3642</v>
      </c>
      <c r="G100" s="530"/>
      <c r="H100" s="530"/>
      <c r="I100" s="530"/>
      <c r="J100" s="530"/>
      <c r="K100" s="531"/>
      <c r="L100" s="532"/>
      <c r="M100" s="533"/>
      <c r="N100" s="1147"/>
      <c r="O100" s="1147"/>
      <c r="P100" s="2513"/>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8"/>
      <c r="O101" s="1148"/>
      <c r="P101" s="2513"/>
      <c r="Q101" s="504"/>
    </row>
    <row r="102" spans="1:17" ht="15.75" thickTop="1">
      <c r="A102" s="534"/>
      <c r="B102" s="538" t="s">
        <v>2525</v>
      </c>
      <c r="C102" s="578" t="str">
        <f>C103&amp;"(含)"&amp;"-"&amp;D103</f>
        <v>100(含)-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46"/>
      <c r="O102" s="1146"/>
      <c r="P102" s="2513"/>
      <c r="Q102" s="504"/>
    </row>
    <row r="103" spans="1:17" s="471" customFormat="1">
      <c r="A103" s="593"/>
      <c r="B103" s="594"/>
      <c r="C103" s="595">
        <v>100</v>
      </c>
      <c r="D103" s="595"/>
      <c r="E103" s="595"/>
      <c r="F103" s="595"/>
      <c r="G103" s="595"/>
      <c r="H103" s="595"/>
      <c r="I103" s="595"/>
      <c r="J103" s="596"/>
      <c r="K103" s="596"/>
      <c r="L103" s="597"/>
      <c r="M103" s="598"/>
      <c r="N103" s="1149"/>
      <c r="O103" s="1149"/>
      <c r="P103" s="2514"/>
      <c r="Q103" s="559"/>
    </row>
    <row r="104" spans="1:17" s="471" customFormat="1" ht="15.75" thickBot="1">
      <c r="A104" s="553"/>
      <c r="B104" s="543"/>
      <c r="C104" s="560">
        <v>100</v>
      </c>
      <c r="D104" s="536"/>
      <c r="E104" s="536"/>
      <c r="F104" s="536"/>
      <c r="G104" s="536"/>
      <c r="H104" s="536"/>
      <c r="I104" s="536"/>
      <c r="J104" s="536"/>
      <c r="K104" s="536"/>
      <c r="L104" s="536"/>
      <c r="M104" s="537"/>
      <c r="N104" s="1148"/>
      <c r="O104" s="1148"/>
      <c r="P104" s="2514"/>
      <c r="Q104" s="559"/>
    </row>
    <row r="105" spans="1:17" ht="15" thickTop="1">
      <c r="A105" s="599"/>
      <c r="B105" s="538" t="s">
        <v>2526</v>
      </c>
      <c r="C105" s="2991" t="s">
        <v>3643</v>
      </c>
      <c r="D105" s="554"/>
      <c r="E105" s="583"/>
      <c r="F105" s="583"/>
      <c r="G105" s="583"/>
      <c r="H105" s="583"/>
      <c r="I105" s="583"/>
      <c r="J105" s="583"/>
      <c r="K105" s="584"/>
      <c r="L105" s="585"/>
      <c r="M105" s="586"/>
      <c r="N105" s="1147"/>
      <c r="O105" s="1147"/>
      <c r="P105" s="251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8"/>
      <c r="O106" s="1148"/>
      <c r="P106" s="2513"/>
      <c r="Q106" s="504"/>
    </row>
    <row r="107" spans="1:17" ht="15" thickTop="1">
      <c r="A107" s="599"/>
      <c r="B107" s="538" t="s">
        <v>2528</v>
      </c>
      <c r="C107" s="2991" t="s">
        <v>3644</v>
      </c>
      <c r="D107" s="2991" t="s">
        <v>3645</v>
      </c>
      <c r="E107" s="554"/>
      <c r="F107" s="583"/>
      <c r="G107" s="583"/>
      <c r="H107" s="583"/>
      <c r="I107" s="583"/>
      <c r="J107" s="583"/>
      <c r="K107" s="584"/>
      <c r="L107" s="585"/>
      <c r="M107" s="586"/>
      <c r="N107" s="1147"/>
      <c r="O107" s="1147"/>
      <c r="P107" s="251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8"/>
      <c r="O108" s="1148"/>
      <c r="P108" s="2513"/>
      <c r="Q108" s="504"/>
    </row>
    <row r="109" spans="1:17" ht="15" thickTop="1">
      <c r="A109" s="599"/>
      <c r="B109" s="538" t="s">
        <v>1916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513"/>
      <c r="Q109" s="504"/>
    </row>
    <row r="110" spans="1:17">
      <c r="A110" s="599"/>
      <c r="B110" s="546"/>
      <c r="C110" s="603">
        <v>0.5</v>
      </c>
      <c r="D110" s="603">
        <v>0.6</v>
      </c>
      <c r="E110" s="603">
        <v>0.7</v>
      </c>
      <c r="F110" s="603">
        <v>0.8</v>
      </c>
      <c r="G110" s="603">
        <v>0.9</v>
      </c>
      <c r="H110" s="603">
        <v>1.0001</v>
      </c>
      <c r="I110" s="622"/>
      <c r="J110" s="622"/>
      <c r="K110" s="623"/>
      <c r="L110" s="624"/>
      <c r="M110" s="625"/>
      <c r="N110" s="1147"/>
      <c r="O110" s="1147"/>
      <c r="P110" s="251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8"/>
      <c r="O111" s="1148"/>
      <c r="P111" s="2513"/>
      <c r="Q111" s="504"/>
    </row>
    <row r="112" spans="1:17" s="471" customFormat="1" ht="15" thickTop="1">
      <c r="A112" s="593"/>
      <c r="B112" s="538" t="s">
        <v>2530</v>
      </c>
      <c r="C112" s="2991" t="s">
        <v>3646</v>
      </c>
      <c r="D112" s="2991" t="s">
        <v>3647</v>
      </c>
      <c r="E112" s="2991" t="s">
        <v>3648</v>
      </c>
      <c r="F112" s="2991" t="s">
        <v>3649</v>
      </c>
      <c r="G112" s="2991" t="s">
        <v>3650</v>
      </c>
      <c r="H112" s="583"/>
      <c r="I112" s="583"/>
      <c r="J112" s="583"/>
      <c r="K112" s="584"/>
      <c r="L112" s="585"/>
      <c r="M112" s="586"/>
      <c r="N112" s="1149"/>
      <c r="O112" s="1149"/>
      <c r="P112" s="251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49"/>
      <c r="O113" s="1149"/>
      <c r="P113" s="2514"/>
      <c r="Q113" s="559"/>
    </row>
    <row r="114" spans="1:17" ht="15" thickTop="1">
      <c r="A114" s="599"/>
      <c r="B114" s="538" t="s">
        <v>2594</v>
      </c>
      <c r="C114" s="2991" t="s">
        <v>3652</v>
      </c>
      <c r="D114" s="2991" t="s">
        <v>3654</v>
      </c>
      <c r="E114" s="583"/>
      <c r="F114" s="583"/>
      <c r="G114" s="583"/>
      <c r="H114" s="583"/>
      <c r="I114" s="583"/>
      <c r="J114" s="583"/>
      <c r="K114" s="584"/>
      <c r="L114" s="585"/>
      <c r="M114" s="586"/>
      <c r="N114" s="1147"/>
      <c r="O114" s="1147"/>
      <c r="P114" s="2513"/>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48"/>
      <c r="O115" s="1148"/>
      <c r="P115" s="2513"/>
      <c r="Q115" s="504"/>
    </row>
    <row r="116" spans="1:17" ht="15" thickTop="1">
      <c r="A116" s="599"/>
      <c r="B116" s="538" t="s">
        <v>2595</v>
      </c>
      <c r="C116" s="2991" t="s">
        <v>3656</v>
      </c>
      <c r="D116" s="2991" t="s">
        <v>3657</v>
      </c>
      <c r="E116" s="554"/>
      <c r="F116" s="554"/>
      <c r="G116" s="554"/>
      <c r="H116" s="583"/>
      <c r="I116" s="583"/>
      <c r="J116" s="583"/>
      <c r="K116" s="584"/>
      <c r="L116" s="585"/>
      <c r="M116" s="586"/>
      <c r="N116" s="1147"/>
      <c r="O116" s="1147"/>
      <c r="P116" s="2513"/>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8"/>
      <c r="O117" s="1148"/>
      <c r="P117" s="2513"/>
      <c r="Q117" s="504"/>
    </row>
    <row r="118" spans="1:17" ht="15" thickTop="1">
      <c r="A118" s="599"/>
      <c r="B118" s="538" t="s">
        <v>2596</v>
      </c>
      <c r="C118" s="626">
        <v>99</v>
      </c>
      <c r="D118" s="626">
        <v>205</v>
      </c>
      <c r="E118" s="626">
        <v>46</v>
      </c>
      <c r="F118" s="626">
        <v>1000</v>
      </c>
      <c r="G118" s="626">
        <v>1500</v>
      </c>
      <c r="H118" s="555">
        <v>1595.68</v>
      </c>
      <c r="I118" s="555"/>
      <c r="J118" s="555"/>
      <c r="K118" s="555"/>
      <c r="L118" s="556"/>
      <c r="M118" s="557"/>
      <c r="N118" s="1147"/>
      <c r="O118" s="1147"/>
      <c r="P118" s="2513"/>
      <c r="Q118" s="504"/>
    </row>
    <row r="119" spans="1:17" ht="15.75" thickBot="1">
      <c r="A119" s="534"/>
      <c r="B119" s="543"/>
      <c r="C119" s="560">
        <v>100</v>
      </c>
      <c r="D119" s="536">
        <v>100</v>
      </c>
      <c r="E119" s="536">
        <v>100</v>
      </c>
      <c r="F119" s="536">
        <v>100.5</v>
      </c>
      <c r="G119" s="536">
        <v>100.5</v>
      </c>
      <c r="H119" s="536">
        <v>101</v>
      </c>
      <c r="I119" s="536"/>
      <c r="J119" s="536"/>
      <c r="K119" s="536"/>
      <c r="L119" s="536"/>
      <c r="M119" s="537"/>
      <c r="N119" s="1148"/>
      <c r="O119" s="1148"/>
      <c r="P119" s="2513"/>
      <c r="Q119" s="504"/>
    </row>
    <row r="120" spans="1:17" s="471" customFormat="1" ht="15" thickTop="1">
      <c r="A120" s="593"/>
      <c r="B120" s="538" t="s">
        <v>2597</v>
      </c>
      <c r="C120" s="2993" t="s">
        <v>3658</v>
      </c>
      <c r="D120" s="2993" t="s">
        <v>3629</v>
      </c>
      <c r="E120" s="2993" t="s">
        <v>3659</v>
      </c>
      <c r="F120" s="2993" t="s">
        <v>3660</v>
      </c>
      <c r="G120" s="3012" t="s">
        <v>3661</v>
      </c>
      <c r="H120" s="555"/>
      <c r="I120" s="555"/>
      <c r="J120" s="555"/>
      <c r="K120" s="555"/>
      <c r="L120" s="556"/>
      <c r="M120" s="557"/>
      <c r="N120" s="1149"/>
      <c r="O120" s="1149"/>
      <c r="P120" s="2514"/>
      <c r="Q120" s="559"/>
    </row>
    <row r="121" spans="1:17" s="471" customFormat="1" ht="15.75" thickBot="1">
      <c r="A121" s="553"/>
      <c r="B121" s="535"/>
      <c r="C121" s="582">
        <v>100</v>
      </c>
      <c r="D121" s="544">
        <f>C121-$K41</f>
        <v>95</v>
      </c>
      <c r="E121" s="544">
        <f t="shared" ref="E121:M121" si="29">D121-$K41</f>
        <v>90</v>
      </c>
      <c r="F121" s="544">
        <f t="shared" si="29"/>
        <v>85</v>
      </c>
      <c r="G121" s="544">
        <f t="shared" si="29"/>
        <v>80</v>
      </c>
      <c r="H121" s="544">
        <f t="shared" si="29"/>
        <v>75</v>
      </c>
      <c r="I121" s="544">
        <f t="shared" si="29"/>
        <v>70</v>
      </c>
      <c r="J121" s="544">
        <f t="shared" si="29"/>
        <v>65</v>
      </c>
      <c r="K121" s="544">
        <f t="shared" si="29"/>
        <v>60</v>
      </c>
      <c r="L121" s="544">
        <f t="shared" si="29"/>
        <v>55</v>
      </c>
      <c r="M121" s="545">
        <f t="shared" si="29"/>
        <v>50</v>
      </c>
      <c r="N121" s="1149"/>
      <c r="O121" s="1149"/>
      <c r="P121" s="2514"/>
      <c r="Q121" s="559"/>
    </row>
    <row r="122" spans="1:17" ht="15" thickTop="1">
      <c r="A122" s="599"/>
      <c r="B122" s="538" t="s">
        <v>2532</v>
      </c>
      <c r="C122" s="2991" t="s">
        <v>3662</v>
      </c>
      <c r="D122" s="2991" t="s">
        <v>3663</v>
      </c>
      <c r="E122" s="2991" t="s">
        <v>3645</v>
      </c>
      <c r="F122" s="583"/>
      <c r="G122" s="583"/>
      <c r="H122" s="583"/>
      <c r="I122" s="583"/>
      <c r="J122" s="583"/>
      <c r="K122" s="584"/>
      <c r="L122" s="585"/>
      <c r="M122" s="586"/>
      <c r="N122" s="1147"/>
      <c r="O122" s="1147"/>
      <c r="P122" s="251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8"/>
      <c r="O123" s="1148"/>
      <c r="P123" s="2513"/>
      <c r="Q123" s="504"/>
    </row>
    <row r="124" spans="1:17" ht="15" thickTop="1">
      <c r="A124" s="599"/>
      <c r="B124" s="538" t="s">
        <v>2533</v>
      </c>
      <c r="C124" s="578" t="s">
        <v>2509</v>
      </c>
      <c r="D124" s="578" t="s">
        <v>2510</v>
      </c>
      <c r="E124" s="578" t="s">
        <v>2511</v>
      </c>
      <c r="F124" s="578" t="s">
        <v>2512</v>
      </c>
      <c r="G124" s="578" t="s">
        <v>2513</v>
      </c>
      <c r="H124" s="539"/>
      <c r="I124" s="539"/>
      <c r="J124" s="539"/>
      <c r="K124" s="540"/>
      <c r="L124" s="541"/>
      <c r="M124" s="542"/>
      <c r="N124" s="1147"/>
      <c r="O124" s="1147"/>
      <c r="P124" s="251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8"/>
      <c r="O125" s="1148"/>
      <c r="P125" s="2513"/>
      <c r="Q125" s="504"/>
    </row>
    <row r="126" spans="1:17" s="471" customFormat="1" ht="15" thickTop="1">
      <c r="A126" s="593"/>
      <c r="B126" s="538">
        <f>B44</f>
        <v>0</v>
      </c>
      <c r="C126" s="554"/>
      <c r="D126" s="554"/>
      <c r="E126" s="554"/>
      <c r="F126" s="554"/>
      <c r="G126" s="554"/>
      <c r="H126" s="555"/>
      <c r="I126" s="555"/>
      <c r="J126" s="555"/>
      <c r="K126" s="555"/>
      <c r="L126" s="556"/>
      <c r="M126" s="557"/>
      <c r="N126" s="1149"/>
      <c r="O126" s="1149"/>
      <c r="P126" s="2514"/>
      <c r="Q126" s="559"/>
    </row>
    <row r="127" spans="1:17" s="471" customFormat="1" ht="15.75" thickBot="1">
      <c r="A127" s="553"/>
      <c r="B127" s="543"/>
      <c r="C127" s="560"/>
      <c r="D127" s="536"/>
      <c r="E127" s="536"/>
      <c r="F127" s="536"/>
      <c r="G127" s="560"/>
      <c r="H127" s="562"/>
      <c r="I127" s="562"/>
      <c r="J127" s="562"/>
      <c r="K127" s="562"/>
      <c r="L127" s="562"/>
      <c r="M127" s="563"/>
      <c r="N127" s="1149"/>
      <c r="O127" s="1149"/>
      <c r="P127" s="2514"/>
      <c r="Q127" s="559"/>
    </row>
    <row r="128" spans="1:17" ht="15" thickTop="1">
      <c r="A128" s="599"/>
      <c r="B128" s="538">
        <f>B45</f>
        <v>0</v>
      </c>
      <c r="C128" s="554"/>
      <c r="D128" s="554"/>
      <c r="E128" s="554"/>
      <c r="F128" s="554"/>
      <c r="G128" s="583"/>
      <c r="H128" s="583"/>
      <c r="I128" s="583"/>
      <c r="J128" s="583"/>
      <c r="K128" s="584"/>
      <c r="L128" s="585"/>
      <c r="M128" s="586"/>
      <c r="N128" s="1147"/>
      <c r="O128" s="1147"/>
      <c r="P128" s="2513"/>
      <c r="Q128" s="504"/>
    </row>
    <row r="129" spans="1:17" ht="15.75" thickBot="1">
      <c r="A129" s="534"/>
      <c r="B129" s="543"/>
      <c r="C129" s="560"/>
      <c r="D129" s="536"/>
      <c r="E129" s="536"/>
      <c r="F129" s="536"/>
      <c r="G129" s="536"/>
      <c r="H129" s="536"/>
      <c r="I129" s="536"/>
      <c r="J129" s="536"/>
      <c r="K129" s="536"/>
      <c r="L129" s="536"/>
      <c r="M129" s="537"/>
      <c r="N129" s="1148"/>
      <c r="O129" s="1148"/>
      <c r="P129" s="2513"/>
      <c r="Q129" s="504"/>
    </row>
    <row r="130" spans="1:17" ht="15" thickTop="1">
      <c r="A130" s="599"/>
      <c r="B130" s="546">
        <f>B46</f>
        <v>0</v>
      </c>
      <c r="C130" s="554"/>
      <c r="D130" s="554"/>
      <c r="E130" s="554"/>
      <c r="F130" s="554"/>
      <c r="G130" s="587"/>
      <c r="H130" s="587"/>
      <c r="I130" s="587"/>
      <c r="J130" s="587"/>
      <c r="K130" s="523"/>
      <c r="L130" s="524"/>
      <c r="M130" s="590"/>
      <c r="N130" s="1147"/>
      <c r="O130" s="1147"/>
      <c r="P130" s="2513"/>
      <c r="Q130" s="504"/>
    </row>
    <row r="131" spans="1:17" ht="15.75" thickBot="1">
      <c r="A131" s="2519"/>
      <c r="B131" s="569"/>
      <c r="C131" s="570"/>
      <c r="D131" s="570"/>
      <c r="E131" s="570"/>
      <c r="F131" s="570"/>
      <c r="G131" s="591"/>
      <c r="H131" s="591"/>
      <c r="I131" s="591"/>
      <c r="J131" s="591"/>
      <c r="K131" s="591"/>
      <c r="L131" s="591"/>
      <c r="M131" s="592"/>
      <c r="N131" s="1148"/>
      <c r="O131" s="1148"/>
      <c r="P131" s="251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9" sqref="E1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5" customFormat="1" ht="28.5" customHeight="1" thickBot="1">
      <c r="A1" s="1604" t="s">
        <v>2441</v>
      </c>
      <c r="B1" s="2552" t="s">
        <v>2598</v>
      </c>
      <c r="C1" s="1606" t="s">
        <v>2443</v>
      </c>
      <c r="D1" s="1607" t="s">
        <v>3439</v>
      </c>
      <c r="E1" s="1616"/>
      <c r="F1" s="2469" t="s">
        <v>3542</v>
      </c>
      <c r="G1" s="1617" t="s">
        <v>2555</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8" customFormat="1" ht="28.5" customHeight="1" thickTop="1">
      <c r="A2" s="1603" t="s">
        <v>2240</v>
      </c>
      <c r="B2" s="1405" t="e">
        <f>IF(C2="——",ROUND(C50*D3/10000,0),ROUND(C50*D3/10000,0)-D2)</f>
        <v>#DIV/0!</v>
      </c>
      <c r="C2" s="2471" t="s">
        <v>70</v>
      </c>
      <c r="D2" s="1352" t="e">
        <f ca="1">SUMIF(INDIRECT("'"&amp;F2&amp;"'"&amp;"!A:A"),"承租人权益价值",INDIRECT("'"&amp;F2&amp;"'"&amp;"!c:c"))</f>
        <v>#REF!</v>
      </c>
      <c r="E2" s="2472" t="s">
        <v>2241</v>
      </c>
      <c r="F2" s="2473"/>
      <c r="G2" s="1120"/>
      <c r="H2" s="1120"/>
      <c r="I2" s="1120"/>
      <c r="J2" s="1120"/>
      <c r="K2" s="1120"/>
      <c r="L2" s="1123"/>
      <c r="M2" s="1124"/>
      <c r="N2" s="1124"/>
      <c r="O2" s="1124"/>
      <c r="P2" s="767"/>
      <c r="Q2" s="767"/>
      <c r="R2" s="767"/>
      <c r="S2" s="767"/>
      <c r="T2" s="767"/>
      <c r="U2" s="767"/>
      <c r="V2" s="767"/>
      <c r="W2" s="767"/>
      <c r="X2" s="767"/>
      <c r="Y2" s="767"/>
      <c r="Z2" s="767"/>
      <c r="AA2" s="767"/>
      <c r="AB2" s="767"/>
      <c r="AC2" s="768"/>
    </row>
    <row r="3" spans="1:29" s="398" customFormat="1" ht="28.5" customHeight="1" thickBot="1">
      <c r="A3" s="247" t="s">
        <v>2242</v>
      </c>
      <c r="B3" s="609" t="e">
        <f>IF(C2="——",C50,ROUND(B2*10000/D3,0))</f>
        <v>#DIV/0!</v>
      </c>
      <c r="C3" s="400" t="s">
        <v>2556</v>
      </c>
      <c r="D3" s="399">
        <f>IF(D1="",'数据-汇总表'!E3,SUMIF('数据-汇总表'!$C19:$C33,D1,'数据-汇总表'!$E19:$E33))</f>
        <v>0</v>
      </c>
      <c r="E3" s="2546"/>
      <c r="F3" s="1121"/>
      <c r="G3" s="1120"/>
      <c r="H3" s="1120"/>
      <c r="I3" s="1120"/>
      <c r="J3" s="1120"/>
      <c r="K3" s="1122"/>
      <c r="L3" s="1123"/>
      <c r="M3" s="1124"/>
      <c r="N3" s="1124"/>
      <c r="O3" s="1124"/>
      <c r="P3" s="767"/>
      <c r="Q3" s="767"/>
      <c r="R3" s="767"/>
      <c r="S3" s="767"/>
      <c r="T3" s="767"/>
      <c r="U3" s="767"/>
      <c r="V3" s="767"/>
      <c r="W3" s="767"/>
      <c r="X3" s="767"/>
      <c r="Y3" s="767"/>
      <c r="Z3" s="767"/>
      <c r="AA3" s="767"/>
      <c r="AB3" s="767"/>
      <c r="AC3" s="768"/>
    </row>
    <row r="4" spans="1:29" ht="15">
      <c r="A4" s="401" t="s">
        <v>2557</v>
      </c>
      <c r="B4" s="402"/>
      <c r="C4" s="3280" t="s">
        <v>2558</v>
      </c>
      <c r="D4" s="3281"/>
      <c r="E4" s="3282" t="s">
        <v>2559</v>
      </c>
      <c r="F4" s="3283"/>
      <c r="G4" s="3280" t="s">
        <v>2560</v>
      </c>
      <c r="H4" s="3281"/>
      <c r="I4" s="3280" t="s">
        <v>2561</v>
      </c>
      <c r="J4" s="3281"/>
      <c r="K4" s="610" t="s">
        <v>2562</v>
      </c>
      <c r="L4" s="1125"/>
      <c r="M4" s="1126"/>
      <c r="N4" s="1126"/>
      <c r="O4" s="1126"/>
      <c r="P4" s="3347" t="s">
        <v>2563</v>
      </c>
      <c r="Q4" s="3348"/>
      <c r="R4" s="3351" t="s">
        <v>2559</v>
      </c>
      <c r="S4" s="3352"/>
      <c r="T4" s="3351" t="s">
        <v>2560</v>
      </c>
      <c r="U4" s="3352"/>
      <c r="V4" s="3353" t="s">
        <v>2561</v>
      </c>
      <c r="W4" s="3353"/>
      <c r="X4" s="2553"/>
      <c r="Y4" s="3351" t="s">
        <v>2563</v>
      </c>
      <c r="Z4" s="3352"/>
      <c r="AA4" s="3355" t="s">
        <v>2559</v>
      </c>
      <c r="AB4" s="3355" t="s">
        <v>2560</v>
      </c>
      <c r="AC4" s="3344" t="s">
        <v>2561</v>
      </c>
    </row>
    <row r="5" spans="1:29" ht="15">
      <c r="A5" s="404"/>
      <c r="B5" s="405"/>
      <c r="C5" s="3304">
        <v>1201</v>
      </c>
      <c r="D5" s="3300"/>
      <c r="E5" s="3356" t="s">
        <v>2456</v>
      </c>
      <c r="F5" s="3306"/>
      <c r="G5" s="3304" t="s">
        <v>2457</v>
      </c>
      <c r="H5" s="3300"/>
      <c r="I5" s="3304" t="s">
        <v>2458</v>
      </c>
      <c r="J5" s="3300"/>
      <c r="K5" s="610"/>
      <c r="L5" s="1125"/>
      <c r="M5" s="1126"/>
      <c r="N5" s="1126"/>
      <c r="O5" s="1126"/>
      <c r="P5" s="3349"/>
      <c r="Q5" s="3287"/>
      <c r="R5" s="3292"/>
      <c r="S5" s="3293"/>
      <c r="T5" s="3292"/>
      <c r="U5" s="3293"/>
      <c r="V5" s="3296"/>
      <c r="W5" s="3296"/>
      <c r="X5" s="1799"/>
      <c r="Y5" s="3292"/>
      <c r="Z5" s="3293"/>
      <c r="AA5" s="3278"/>
      <c r="AB5" s="3278"/>
      <c r="AC5" s="3345"/>
    </row>
    <row r="6" spans="1:29" ht="15.75" thickBot="1">
      <c r="A6" s="406"/>
      <c r="B6" s="407"/>
      <c r="C6" s="3297" t="s">
        <v>3541</v>
      </c>
      <c r="D6" s="3298"/>
      <c r="E6" s="3339" t="s">
        <v>2459</v>
      </c>
      <c r="F6" s="3340"/>
      <c r="G6" s="3338" t="s">
        <v>2459</v>
      </c>
      <c r="H6" s="3298"/>
      <c r="I6" s="3338" t="s">
        <v>2459</v>
      </c>
      <c r="J6" s="3298"/>
      <c r="K6" s="610" t="s">
        <v>2460</v>
      </c>
      <c r="L6" s="1125"/>
      <c r="M6" s="1126"/>
      <c r="N6" s="1126"/>
      <c r="O6" s="1126"/>
      <c r="P6" s="3350"/>
      <c r="Q6" s="3289"/>
      <c r="R6" s="3292"/>
      <c r="S6" s="3293"/>
      <c r="T6" s="3294"/>
      <c r="U6" s="3295"/>
      <c r="V6" s="3296"/>
      <c r="W6" s="3296"/>
      <c r="X6" s="1799"/>
      <c r="Y6" s="3294"/>
      <c r="Z6" s="3295"/>
      <c r="AA6" s="3279"/>
      <c r="AB6" s="3279"/>
      <c r="AC6" s="3346"/>
    </row>
    <row r="7" spans="1:29" s="117" customFormat="1" ht="15.75" thickBot="1">
      <c r="A7" s="408" t="s">
        <v>2461</v>
      </c>
      <c r="B7" s="409"/>
      <c r="C7" s="410">
        <f>'数据-取费表'!B2</f>
        <v>43161</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54" t="s">
        <v>2462</v>
      </c>
      <c r="Q7" s="3303"/>
      <c r="R7" s="769" t="s">
        <v>17</v>
      </c>
      <c r="S7" s="770">
        <f t="shared" ref="S7:S15" si="0">F7</f>
        <v>0</v>
      </c>
      <c r="T7" s="769" t="s">
        <v>17</v>
      </c>
      <c r="U7" s="770">
        <f t="shared" ref="U7:U15" si="1">H7</f>
        <v>0</v>
      </c>
      <c r="V7" s="769" t="s">
        <v>17</v>
      </c>
      <c r="W7" s="770">
        <f t="shared" ref="W7:W15" si="2">J7</f>
        <v>0</v>
      </c>
      <c r="X7" s="771"/>
      <c r="Y7" s="3301" t="s">
        <v>2462</v>
      </c>
      <c r="Z7" s="3302"/>
      <c r="AA7" s="772" t="e">
        <f>D7/F7</f>
        <v>#DIV/0!</v>
      </c>
      <c r="AB7" s="772" t="e">
        <f>D7/H7</f>
        <v>#DIV/0!</v>
      </c>
      <c r="AC7" s="2554" t="e">
        <f>D7/J7</f>
        <v>#DIV/0!</v>
      </c>
    </row>
    <row r="8" spans="1:29" s="117" customFormat="1" ht="15.75" thickBot="1">
      <c r="A8" s="408" t="s">
        <v>2463</v>
      </c>
      <c r="B8" s="409"/>
      <c r="C8" s="414" t="s">
        <v>2564</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54" t="s">
        <v>2465</v>
      </c>
      <c r="Q8" s="3302"/>
      <c r="R8" s="769" t="s">
        <v>17</v>
      </c>
      <c r="S8" s="770">
        <f t="shared" si="0"/>
        <v>0</v>
      </c>
      <c r="T8" s="769" t="s">
        <v>17</v>
      </c>
      <c r="U8" s="770">
        <f t="shared" si="1"/>
        <v>0</v>
      </c>
      <c r="V8" s="769" t="s">
        <v>17</v>
      </c>
      <c r="W8" s="770">
        <f t="shared" si="2"/>
        <v>0</v>
      </c>
      <c r="X8" s="771"/>
      <c r="Y8" s="3301" t="s">
        <v>2465</v>
      </c>
      <c r="Z8" s="3302"/>
      <c r="AA8" s="772" t="e">
        <f t="shared" ref="AA8:AA47" si="3">D8/F8</f>
        <v>#DIV/0!</v>
      </c>
      <c r="AB8" s="772" t="e">
        <f t="shared" ref="AB8:AB47" si="4">D8/H8</f>
        <v>#DIV/0!</v>
      </c>
      <c r="AC8" s="2554" t="e">
        <f t="shared" ref="AC8:AC47" si="5">D8/J8</f>
        <v>#DIV/0!</v>
      </c>
    </row>
    <row r="9" spans="1:29" s="117" customFormat="1">
      <c r="A9" s="415" t="s">
        <v>2466</v>
      </c>
      <c r="B9" s="71" t="s">
        <v>2467</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76" t="s">
        <v>2468</v>
      </c>
      <c r="Q9" s="1781" t="str">
        <f t="shared" ref="Q9:Q15" si="6">B9</f>
        <v>用途</v>
      </c>
      <c r="R9" s="769" t="s">
        <v>17</v>
      </c>
      <c r="S9" s="770">
        <f t="shared" si="0"/>
        <v>100</v>
      </c>
      <c r="T9" s="769" t="s">
        <v>17</v>
      </c>
      <c r="U9" s="770">
        <f t="shared" si="1"/>
        <v>100</v>
      </c>
      <c r="V9" s="769" t="s">
        <v>17</v>
      </c>
      <c r="W9" s="770">
        <f t="shared" si="2"/>
        <v>100</v>
      </c>
      <c r="X9" s="771"/>
      <c r="Y9" s="3142" t="s">
        <v>2469</v>
      </c>
      <c r="Z9" s="55" t="str">
        <f t="shared" ref="Z9:Z15" si="7">Q9</f>
        <v>用途</v>
      </c>
      <c r="AA9" s="772">
        <f t="shared" si="3"/>
        <v>1</v>
      </c>
      <c r="AB9" s="772">
        <f t="shared" si="4"/>
        <v>1</v>
      </c>
      <c r="AC9" s="2554">
        <f t="shared" si="5"/>
        <v>1</v>
      </c>
    </row>
    <row r="10" spans="1:29" s="427" customFormat="1" ht="27">
      <c r="A10" s="421"/>
      <c r="B10" s="422" t="s">
        <v>2470</v>
      </c>
      <c r="C10" s="423" t="s">
        <v>3543</v>
      </c>
      <c r="D10" s="136">
        <v>100</v>
      </c>
      <c r="E10" s="423"/>
      <c r="F10" s="136">
        <f>SUMIF(66:66,E10,67:67)-SUMIF(66:66,C10,67:67)+100</f>
        <v>0</v>
      </c>
      <c r="G10" s="424"/>
      <c r="H10" s="136">
        <f>SUMIF(66:66,G10,67:67)-SUMIF(66:66,C10,67:67)+100</f>
        <v>0</v>
      </c>
      <c r="I10" s="423"/>
      <c r="J10" s="136">
        <f>SUMIF(66:66,I10,67:67)-SUMIF(66:66,C10,67:67)+100</f>
        <v>0</v>
      </c>
      <c r="K10" s="612"/>
      <c r="L10" s="1130"/>
      <c r="M10" s="1131"/>
      <c r="N10" s="1131"/>
      <c r="O10" s="1131"/>
      <c r="P10" s="3276"/>
      <c r="Q10" s="1781" t="str">
        <f t="shared" si="6"/>
        <v>土地使用年限（年）</v>
      </c>
      <c r="R10" s="769" t="s">
        <v>17</v>
      </c>
      <c r="S10" s="770">
        <f t="shared" si="0"/>
        <v>0</v>
      </c>
      <c r="T10" s="769" t="s">
        <v>17</v>
      </c>
      <c r="U10" s="770">
        <f t="shared" si="1"/>
        <v>0</v>
      </c>
      <c r="V10" s="769" t="s">
        <v>17</v>
      </c>
      <c r="W10" s="770">
        <f t="shared" si="2"/>
        <v>0</v>
      </c>
      <c r="X10" s="771"/>
      <c r="Y10" s="3142"/>
      <c r="Z10" s="55" t="str">
        <f t="shared" si="7"/>
        <v>土地使用年限（年）</v>
      </c>
      <c r="AA10" s="772" t="e">
        <f t="shared" si="3"/>
        <v>#DIV/0!</v>
      </c>
      <c r="AB10" s="772" t="e">
        <f t="shared" si="4"/>
        <v>#DIV/0!</v>
      </c>
      <c r="AC10" s="2554" t="e">
        <f t="shared" si="5"/>
        <v>#DIV/0!</v>
      </c>
    </row>
    <row r="11" spans="1:29" ht="15.75" thickBot="1">
      <c r="A11" s="428"/>
      <c r="B11" s="422" t="s">
        <v>2471</v>
      </c>
      <c r="C11" s="429">
        <f>'数据-汇总表'!I7</f>
        <v>4.79</v>
      </c>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76"/>
      <c r="Q11" s="1781" t="str">
        <f t="shared" si="6"/>
        <v>容积率</v>
      </c>
      <c r="R11" s="769" t="s">
        <v>17</v>
      </c>
      <c r="S11" s="770" t="e">
        <f t="shared" si="0"/>
        <v>#N/A</v>
      </c>
      <c r="T11" s="769" t="s">
        <v>17</v>
      </c>
      <c r="U11" s="770" t="e">
        <f t="shared" si="1"/>
        <v>#N/A</v>
      </c>
      <c r="V11" s="769" t="s">
        <v>17</v>
      </c>
      <c r="W11" s="770" t="e">
        <f t="shared" si="2"/>
        <v>#N/A</v>
      </c>
      <c r="X11" s="771"/>
      <c r="Y11" s="3142"/>
      <c r="Z11" s="55" t="str">
        <f t="shared" si="7"/>
        <v>容积率</v>
      </c>
      <c r="AA11" s="772" t="e">
        <f t="shared" si="3"/>
        <v>#N/A</v>
      </c>
      <c r="AB11" s="772" t="e">
        <f t="shared" si="4"/>
        <v>#N/A</v>
      </c>
      <c r="AC11" s="2554" t="e">
        <f t="shared" si="5"/>
        <v>#N/A</v>
      </c>
    </row>
    <row r="12" spans="1:29" s="117" customFormat="1" ht="15" hidden="1">
      <c r="A12" s="431"/>
      <c r="B12" s="2485"/>
      <c r="C12" s="432"/>
      <c r="D12" s="433">
        <v>100</v>
      </c>
      <c r="E12" s="432"/>
      <c r="F12" s="136">
        <f>SUMIF(71:71,E12,72:72)-SUMIF(71:71,C12,72:72)+100</f>
        <v>100</v>
      </c>
      <c r="G12" s="2555"/>
      <c r="H12" s="136">
        <f>SUMIF(71:71,G12,72:72)-SUMIF(71:71,C12,72:72)+100</f>
        <v>100</v>
      </c>
      <c r="I12" s="432"/>
      <c r="J12" s="136">
        <f>SUMIF(71:71,I12,72:72)-SUMIF(71:71,C12,72:72)+100</f>
        <v>100</v>
      </c>
      <c r="K12" s="613"/>
      <c r="L12" s="1127"/>
      <c r="M12" s="1128"/>
      <c r="N12" s="1128"/>
      <c r="O12" s="1128"/>
      <c r="P12" s="3276"/>
      <c r="Q12" s="1781">
        <f t="shared" si="6"/>
        <v>0</v>
      </c>
      <c r="R12" s="769" t="s">
        <v>17</v>
      </c>
      <c r="S12" s="770">
        <f t="shared" si="0"/>
        <v>100</v>
      </c>
      <c r="T12" s="769" t="s">
        <v>17</v>
      </c>
      <c r="U12" s="770">
        <f t="shared" si="1"/>
        <v>100</v>
      </c>
      <c r="V12" s="769" t="s">
        <v>17</v>
      </c>
      <c r="W12" s="770">
        <f t="shared" si="2"/>
        <v>100</v>
      </c>
      <c r="X12" s="771"/>
      <c r="Y12" s="3142"/>
      <c r="Z12" s="55">
        <f t="shared" si="7"/>
        <v>0</v>
      </c>
      <c r="AA12" s="772">
        <f>D12/F12</f>
        <v>1</v>
      </c>
      <c r="AB12" s="772">
        <f>D12/H12</f>
        <v>1</v>
      </c>
      <c r="AC12" s="2554">
        <f>D12/J12</f>
        <v>1</v>
      </c>
    </row>
    <row r="13" spans="1:29" ht="15" hidden="1">
      <c r="A13" s="428"/>
      <c r="B13" s="2485"/>
      <c r="C13" s="434"/>
      <c r="D13" s="435">
        <v>100</v>
      </c>
      <c r="E13" s="432"/>
      <c r="F13" s="136">
        <f>SUMIF(73:73,E13,74:74)-SUMIF(73:73,C13,74:74)+100</f>
        <v>100</v>
      </c>
      <c r="G13" s="2555"/>
      <c r="H13" s="435">
        <f>SUMIF(73:73,G13,74:74)-SUMIF(73:73,C13,74:74)+100</f>
        <v>100</v>
      </c>
      <c r="I13" s="432"/>
      <c r="J13" s="435">
        <f>SUMIF(73:73,I13,74:74)-SUMIF(73:73,C13,74:74)+100</f>
        <v>100</v>
      </c>
      <c r="K13" s="613"/>
      <c r="L13" s="1135"/>
      <c r="M13" s="1126"/>
      <c r="N13" s="1126"/>
      <c r="O13" s="1126"/>
      <c r="P13" s="3276"/>
      <c r="Q13" s="1781">
        <f t="shared" si="6"/>
        <v>0</v>
      </c>
      <c r="R13" s="769" t="s">
        <v>17</v>
      </c>
      <c r="S13" s="770">
        <f t="shared" si="0"/>
        <v>100</v>
      </c>
      <c r="T13" s="769" t="s">
        <v>17</v>
      </c>
      <c r="U13" s="770">
        <f t="shared" si="1"/>
        <v>100</v>
      </c>
      <c r="V13" s="769" t="s">
        <v>17</v>
      </c>
      <c r="W13" s="770">
        <f t="shared" si="2"/>
        <v>100</v>
      </c>
      <c r="X13" s="771"/>
      <c r="Y13" s="3142"/>
      <c r="Z13" s="55">
        <f t="shared" si="7"/>
        <v>0</v>
      </c>
      <c r="AA13" s="772">
        <f t="shared" si="3"/>
        <v>1</v>
      </c>
      <c r="AB13" s="772">
        <f t="shared" si="4"/>
        <v>1</v>
      </c>
      <c r="AC13" s="2554">
        <f t="shared" si="5"/>
        <v>1</v>
      </c>
    </row>
    <row r="14" spans="1:29" ht="15.75" hidden="1" thickBot="1">
      <c r="A14" s="436"/>
      <c r="B14" s="2487"/>
      <c r="C14" s="437"/>
      <c r="D14" s="438">
        <v>100</v>
      </c>
      <c r="E14" s="627"/>
      <c r="F14" s="438">
        <f>SUMIF(75:75,E14,76:76)-SUMIF(75:75,C14,76:76)+100</f>
        <v>100</v>
      </c>
      <c r="G14" s="2555"/>
      <c r="H14" s="438">
        <f>SUMIF(75:75,G14,76:76)-SUMIF(75:75,C14,76:76)+100</f>
        <v>100</v>
      </c>
      <c r="I14" s="432"/>
      <c r="J14" s="438">
        <f>SUMIF(75:75,I14,76:76)-SUMIF(75:75,C14,76:76)+100</f>
        <v>100</v>
      </c>
      <c r="K14" s="613"/>
      <c r="L14" s="1135"/>
      <c r="M14" s="1126"/>
      <c r="N14" s="1126"/>
      <c r="O14" s="1126"/>
      <c r="P14" s="3276"/>
      <c r="Q14" s="1781">
        <f t="shared" si="6"/>
        <v>0</v>
      </c>
      <c r="R14" s="769" t="s">
        <v>17</v>
      </c>
      <c r="S14" s="770">
        <f t="shared" si="0"/>
        <v>100</v>
      </c>
      <c r="T14" s="769" t="s">
        <v>17</v>
      </c>
      <c r="U14" s="770">
        <f t="shared" si="1"/>
        <v>100</v>
      </c>
      <c r="V14" s="769" t="s">
        <v>17</v>
      </c>
      <c r="W14" s="770">
        <f t="shared" si="2"/>
        <v>100</v>
      </c>
      <c r="X14" s="771"/>
      <c r="Y14" s="3142"/>
      <c r="Z14" s="55">
        <f t="shared" si="7"/>
        <v>0</v>
      </c>
      <c r="AA14" s="772">
        <f t="shared" si="3"/>
        <v>1</v>
      </c>
      <c r="AB14" s="772">
        <f t="shared" si="4"/>
        <v>1</v>
      </c>
      <c r="AC14" s="2554">
        <f t="shared" si="5"/>
        <v>1</v>
      </c>
    </row>
    <row r="15" spans="1:29" ht="15">
      <c r="A15" s="440" t="s">
        <v>2472</v>
      </c>
      <c r="B15" s="628" t="s">
        <v>2599</v>
      </c>
      <c r="C15" s="255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74" t="s">
        <v>2473</v>
      </c>
      <c r="Q15" s="1796" t="str">
        <f t="shared" si="6"/>
        <v>办公集聚程度</v>
      </c>
      <c r="R15" s="773" t="s">
        <v>17</v>
      </c>
      <c r="S15" s="774">
        <f t="shared" si="0"/>
        <v>100</v>
      </c>
      <c r="T15" s="773" t="s">
        <v>17</v>
      </c>
      <c r="U15" s="774">
        <f t="shared" si="1"/>
        <v>100</v>
      </c>
      <c r="V15" s="773" t="s">
        <v>17</v>
      </c>
      <c r="W15" s="774">
        <f t="shared" si="2"/>
        <v>100</v>
      </c>
      <c r="X15" s="1799"/>
      <c r="Y15" s="3267" t="s">
        <v>2473</v>
      </c>
      <c r="Z15" s="1800" t="str">
        <f t="shared" si="7"/>
        <v>办公集聚程度</v>
      </c>
      <c r="AA15" s="1797">
        <f t="shared" si="3"/>
        <v>1</v>
      </c>
      <c r="AB15" s="1797">
        <f t="shared" si="4"/>
        <v>1</v>
      </c>
      <c r="AC15" s="2557">
        <f t="shared" si="5"/>
        <v>1</v>
      </c>
    </row>
    <row r="16" spans="1:29" ht="15">
      <c r="A16" s="428"/>
      <c r="B16" s="629"/>
      <c r="C16" s="2496"/>
      <c r="D16" s="448"/>
      <c r="E16" s="447"/>
      <c r="F16" s="448"/>
      <c r="G16" s="2496"/>
      <c r="H16" s="450"/>
      <c r="I16" s="447"/>
      <c r="J16" s="448"/>
      <c r="K16" s="615"/>
      <c r="L16" s="1135"/>
      <c r="M16" s="1126"/>
      <c r="N16" s="1126"/>
      <c r="O16" s="1126"/>
      <c r="P16" s="3275"/>
      <c r="Q16" s="1796"/>
      <c r="R16" s="773"/>
      <c r="S16" s="774"/>
      <c r="T16" s="773"/>
      <c r="U16" s="774"/>
      <c r="V16" s="773"/>
      <c r="W16" s="774"/>
      <c r="X16" s="1799"/>
      <c r="Y16" s="3268"/>
      <c r="Z16" s="1800"/>
      <c r="AA16" s="1797">
        <v>1</v>
      </c>
      <c r="AB16" s="1797">
        <v>1</v>
      </c>
      <c r="AC16" s="2557">
        <v>1</v>
      </c>
    </row>
    <row r="17" spans="1:29" ht="15">
      <c r="A17" s="428"/>
      <c r="B17" s="630" t="s">
        <v>2012</v>
      </c>
      <c r="C17" s="255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75"/>
      <c r="Q17" s="1796" t="str">
        <f>B17</f>
        <v>交通便捷度</v>
      </c>
      <c r="R17" s="773" t="s">
        <v>17</v>
      </c>
      <c r="S17" s="774">
        <f>F17</f>
        <v>100</v>
      </c>
      <c r="T17" s="773" t="s">
        <v>17</v>
      </c>
      <c r="U17" s="774">
        <f>H17</f>
        <v>100</v>
      </c>
      <c r="V17" s="773" t="s">
        <v>17</v>
      </c>
      <c r="W17" s="774">
        <f>J17</f>
        <v>100</v>
      </c>
      <c r="X17" s="1799"/>
      <c r="Y17" s="3268"/>
      <c r="Z17" s="1800" t="str">
        <f>Q17</f>
        <v>交通便捷度</v>
      </c>
      <c r="AA17" s="1797">
        <f t="shared" si="3"/>
        <v>1</v>
      </c>
      <c r="AB17" s="1797">
        <f t="shared" si="4"/>
        <v>1</v>
      </c>
      <c r="AC17" s="2557">
        <f t="shared" si="5"/>
        <v>1</v>
      </c>
    </row>
    <row r="18" spans="1:29" ht="15">
      <c r="A18" s="428"/>
      <c r="B18" s="631"/>
      <c r="C18" s="2559"/>
      <c r="D18" s="450"/>
      <c r="E18" s="2494"/>
      <c r="F18" s="450"/>
      <c r="G18" s="2495"/>
      <c r="H18" s="448"/>
      <c r="I18" s="2495"/>
      <c r="J18" s="448"/>
      <c r="K18" s="615"/>
      <c r="L18" s="1135"/>
      <c r="M18" s="1126"/>
      <c r="N18" s="1126"/>
      <c r="O18" s="1126"/>
      <c r="P18" s="3275"/>
      <c r="Q18" s="1796"/>
      <c r="R18" s="773"/>
      <c r="S18" s="774"/>
      <c r="T18" s="773"/>
      <c r="U18" s="774"/>
      <c r="V18" s="773"/>
      <c r="W18" s="774"/>
      <c r="X18" s="1799"/>
      <c r="Y18" s="3268"/>
      <c r="Z18" s="1800"/>
      <c r="AA18" s="1797">
        <v>1</v>
      </c>
      <c r="AB18" s="1797">
        <v>1</v>
      </c>
      <c r="AC18" s="2557">
        <v>1</v>
      </c>
    </row>
    <row r="19" spans="1:29" ht="15">
      <c r="A19" s="428"/>
      <c r="B19" s="630" t="s">
        <v>2600</v>
      </c>
      <c r="C19" s="255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75"/>
      <c r="Q19" s="1796" t="str">
        <f>B19</f>
        <v>公共配套设施</v>
      </c>
      <c r="R19" s="773" t="s">
        <v>17</v>
      </c>
      <c r="S19" s="774">
        <f>F19</f>
        <v>100</v>
      </c>
      <c r="T19" s="773" t="s">
        <v>17</v>
      </c>
      <c r="U19" s="774">
        <f>H19</f>
        <v>100</v>
      </c>
      <c r="V19" s="773" t="s">
        <v>17</v>
      </c>
      <c r="W19" s="774">
        <f>J19</f>
        <v>100</v>
      </c>
      <c r="X19" s="1799"/>
      <c r="Y19" s="3268"/>
      <c r="Z19" s="1800" t="str">
        <f>Q19</f>
        <v>公共配套设施</v>
      </c>
      <c r="AA19" s="1797">
        <f t="shared" si="3"/>
        <v>1</v>
      </c>
      <c r="AB19" s="1797">
        <f t="shared" si="4"/>
        <v>1</v>
      </c>
      <c r="AC19" s="2557">
        <f t="shared" si="5"/>
        <v>1</v>
      </c>
    </row>
    <row r="20" spans="1:29" ht="15">
      <c r="A20" s="428"/>
      <c r="B20" s="631"/>
      <c r="C20" s="2496"/>
      <c r="D20" s="448"/>
      <c r="E20" s="2489"/>
      <c r="F20" s="448"/>
      <c r="G20" s="2490"/>
      <c r="H20" s="448"/>
      <c r="I20" s="2490"/>
      <c r="J20" s="448"/>
      <c r="K20" s="615"/>
      <c r="L20" s="1135"/>
      <c r="M20" s="1126"/>
      <c r="N20" s="1126"/>
      <c r="O20" s="1126"/>
      <c r="P20" s="3275"/>
      <c r="Q20" s="1796"/>
      <c r="R20" s="773"/>
      <c r="S20" s="774"/>
      <c r="T20" s="773"/>
      <c r="U20" s="774"/>
      <c r="V20" s="773"/>
      <c r="W20" s="774"/>
      <c r="X20" s="1799"/>
      <c r="Y20" s="3268"/>
      <c r="Z20" s="1800"/>
      <c r="AA20" s="1797">
        <v>1</v>
      </c>
      <c r="AB20" s="1797">
        <v>1</v>
      </c>
      <c r="AC20" s="2557">
        <v>1</v>
      </c>
    </row>
    <row r="21" spans="1:29" ht="15">
      <c r="A21" s="428"/>
      <c r="B21" s="632" t="s">
        <v>2601</v>
      </c>
      <c r="C21" s="255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75"/>
      <c r="Q21" s="1796" t="str">
        <f>B21</f>
        <v>基础设施水平</v>
      </c>
      <c r="R21" s="773" t="s">
        <v>17</v>
      </c>
      <c r="S21" s="774">
        <f>F21</f>
        <v>100</v>
      </c>
      <c r="T21" s="773" t="s">
        <v>17</v>
      </c>
      <c r="U21" s="774">
        <f>H21</f>
        <v>100</v>
      </c>
      <c r="V21" s="773" t="s">
        <v>17</v>
      </c>
      <c r="W21" s="774">
        <f>J21</f>
        <v>100</v>
      </c>
      <c r="X21" s="1799"/>
      <c r="Y21" s="3268"/>
      <c r="Z21" s="1800" t="str">
        <f>Q21</f>
        <v>基础设施水平</v>
      </c>
      <c r="AA21" s="1797">
        <f t="shared" ref="AA21" si="8">D21/F21</f>
        <v>1</v>
      </c>
      <c r="AB21" s="1797">
        <f t="shared" ref="AB21" si="9">D21/H21</f>
        <v>1</v>
      </c>
      <c r="AC21" s="2557">
        <f t="shared" ref="AC21" si="10">D21/J21</f>
        <v>1</v>
      </c>
    </row>
    <row r="22" spans="1:29" ht="15">
      <c r="A22" s="428"/>
      <c r="B22" s="632"/>
      <c r="C22" s="2559"/>
      <c r="D22" s="448"/>
      <c r="E22" s="447"/>
      <c r="F22" s="448"/>
      <c r="G22" s="2496"/>
      <c r="H22" s="448"/>
      <c r="I22" s="2496"/>
      <c r="J22" s="448"/>
      <c r="K22" s="1370"/>
      <c r="L22" s="1135"/>
      <c r="M22" s="1126"/>
      <c r="N22" s="1126"/>
      <c r="O22" s="1126"/>
      <c r="P22" s="3275"/>
      <c r="Q22" s="1796"/>
      <c r="R22" s="773"/>
      <c r="S22" s="774"/>
      <c r="T22" s="773"/>
      <c r="U22" s="774"/>
      <c r="V22" s="773"/>
      <c r="W22" s="774"/>
      <c r="X22" s="1799"/>
      <c r="Y22" s="3268"/>
      <c r="Z22" s="1800"/>
      <c r="AA22" s="1797">
        <v>1</v>
      </c>
      <c r="AB22" s="1797">
        <v>1</v>
      </c>
      <c r="AC22" s="2557">
        <v>1</v>
      </c>
    </row>
    <row r="23" spans="1:29" ht="15">
      <c r="A23" s="428"/>
      <c r="B23" s="630" t="s">
        <v>2602</v>
      </c>
      <c r="C23" s="255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75"/>
      <c r="Q23" s="1796" t="str">
        <f>B23</f>
        <v>环境质量</v>
      </c>
      <c r="R23" s="773" t="s">
        <v>17</v>
      </c>
      <c r="S23" s="774">
        <f>F23</f>
        <v>100</v>
      </c>
      <c r="T23" s="773" t="s">
        <v>17</v>
      </c>
      <c r="U23" s="774">
        <f>H23</f>
        <v>100</v>
      </c>
      <c r="V23" s="773" t="s">
        <v>17</v>
      </c>
      <c r="W23" s="774">
        <f>J23</f>
        <v>100</v>
      </c>
      <c r="X23" s="1799"/>
      <c r="Y23" s="3268"/>
      <c r="Z23" s="1800" t="str">
        <f>Q23</f>
        <v>环境质量</v>
      </c>
      <c r="AA23" s="1797">
        <f t="shared" si="3"/>
        <v>1</v>
      </c>
      <c r="AB23" s="1797">
        <f t="shared" si="4"/>
        <v>1</v>
      </c>
      <c r="AC23" s="2557">
        <f t="shared" si="5"/>
        <v>1</v>
      </c>
    </row>
    <row r="24" spans="1:29" ht="15">
      <c r="A24" s="428"/>
      <c r="B24" s="632"/>
      <c r="C24" s="2496"/>
      <c r="D24" s="448"/>
      <c r="E24" s="2489"/>
      <c r="F24" s="448"/>
      <c r="G24" s="2490"/>
      <c r="H24" s="448"/>
      <c r="I24" s="2490"/>
      <c r="J24" s="448"/>
      <c r="K24" s="615"/>
      <c r="L24" s="1135"/>
      <c r="M24" s="1126"/>
      <c r="N24" s="1126"/>
      <c r="O24" s="1126"/>
      <c r="P24" s="3275"/>
      <c r="Q24" s="1796"/>
      <c r="R24" s="773"/>
      <c r="S24" s="774"/>
      <c r="T24" s="773"/>
      <c r="U24" s="774"/>
      <c r="V24" s="773"/>
      <c r="W24" s="774"/>
      <c r="X24" s="1799"/>
      <c r="Y24" s="3268"/>
      <c r="Z24" s="1800"/>
      <c r="AA24" s="1797">
        <v>1</v>
      </c>
      <c r="AB24" s="1797">
        <v>1</v>
      </c>
      <c r="AC24" s="2557">
        <v>1</v>
      </c>
    </row>
    <row r="25" spans="1:29" ht="27">
      <c r="A25" s="404"/>
      <c r="B25" s="630" t="s">
        <v>2603</v>
      </c>
      <c r="C25" s="2500"/>
      <c r="D25" s="435">
        <v>100</v>
      </c>
      <c r="E25" s="434"/>
      <c r="F25" s="435">
        <f>SUMIF(87:87,E26,88:88)-SUMIF(87:87,C26,88:88)+100</f>
        <v>100</v>
      </c>
      <c r="G25" s="2500"/>
      <c r="H25" s="435">
        <f>SUMIF(87:87,G26,88:88)-SUMIF(87:87,C26,88:88)+100</f>
        <v>100</v>
      </c>
      <c r="I25" s="434"/>
      <c r="J25" s="435">
        <f>SUMIF(87:87,I26,88:88)-SUMIF(87:87,C26,88:88)+100</f>
        <v>100</v>
      </c>
      <c r="K25" s="614"/>
      <c r="L25" s="1135"/>
      <c r="M25" s="1126"/>
      <c r="N25" s="1126"/>
      <c r="O25" s="1126"/>
      <c r="P25" s="3275"/>
      <c r="Q25" s="1796" t="str">
        <f>B25</f>
        <v>毗邻道路的类型与等级</v>
      </c>
      <c r="R25" s="773" t="s">
        <v>17</v>
      </c>
      <c r="S25" s="774">
        <f>F25</f>
        <v>100</v>
      </c>
      <c r="T25" s="773" t="s">
        <v>17</v>
      </c>
      <c r="U25" s="774">
        <f>H25</f>
        <v>100</v>
      </c>
      <c r="V25" s="773" t="s">
        <v>17</v>
      </c>
      <c r="W25" s="774">
        <f>J25</f>
        <v>100</v>
      </c>
      <c r="X25" s="1799"/>
      <c r="Y25" s="3268"/>
      <c r="Z25" s="1800" t="str">
        <f>Q25</f>
        <v>毗邻道路的类型与等级</v>
      </c>
      <c r="AA25" s="1797">
        <f t="shared" si="3"/>
        <v>1</v>
      </c>
      <c r="AB25" s="1797">
        <f t="shared" si="4"/>
        <v>1</v>
      </c>
      <c r="AC25" s="2557">
        <f t="shared" si="5"/>
        <v>1</v>
      </c>
    </row>
    <row r="26" spans="1:29" ht="15">
      <c r="A26" s="404"/>
      <c r="B26" s="631"/>
      <c r="C26" s="633"/>
      <c r="D26" s="435"/>
      <c r="E26" s="616"/>
      <c r="F26" s="435"/>
      <c r="G26" s="633"/>
      <c r="H26" s="435"/>
      <c r="I26" s="616"/>
      <c r="J26" s="435"/>
      <c r="K26" s="615"/>
      <c r="L26" s="1135"/>
      <c r="M26" s="1126"/>
      <c r="N26" s="1126"/>
      <c r="O26" s="1126"/>
      <c r="P26" s="3275"/>
      <c r="Q26" s="1796"/>
      <c r="R26" s="773"/>
      <c r="S26" s="774"/>
      <c r="T26" s="773"/>
      <c r="U26" s="774"/>
      <c r="V26" s="773"/>
      <c r="W26" s="774"/>
      <c r="X26" s="1799"/>
      <c r="Y26" s="3268"/>
      <c r="Z26" s="1800"/>
      <c r="AA26" s="1797">
        <v>1</v>
      </c>
      <c r="AB26" s="1797">
        <v>1</v>
      </c>
      <c r="AC26" s="2557">
        <v>1</v>
      </c>
    </row>
    <row r="27" spans="1:29" ht="15">
      <c r="A27" s="428"/>
      <c r="B27" s="631" t="s">
        <v>2571</v>
      </c>
      <c r="C27" s="633"/>
      <c r="D27" s="435">
        <v>100</v>
      </c>
      <c r="E27" s="616"/>
      <c r="F27" s="435">
        <f>SUMIF(89:89,E27,90:90)-SUMIF(89:89,C27,90:90)+100</f>
        <v>100</v>
      </c>
      <c r="G27" s="633"/>
      <c r="H27" s="435">
        <f>SUMIF(89:89,G27,90:90)-SUMIF(89:89,C27,90:90)+100</f>
        <v>100</v>
      </c>
      <c r="I27" s="616"/>
      <c r="J27" s="435">
        <f>SUMIF(89:89,I27,90:90)-SUMIF(89:89,C27,90:90)+100</f>
        <v>100</v>
      </c>
      <c r="K27" s="612"/>
      <c r="L27" s="1135"/>
      <c r="M27" s="1126"/>
      <c r="N27" s="1126"/>
      <c r="O27" s="1126"/>
      <c r="P27" s="3275"/>
      <c r="Q27" s="1796" t="str">
        <f t="shared" ref="Q27:Q47" si="11">B27</f>
        <v>楼层</v>
      </c>
      <c r="R27" s="773" t="s">
        <v>17</v>
      </c>
      <c r="S27" s="774">
        <f>F27</f>
        <v>100</v>
      </c>
      <c r="T27" s="773" t="s">
        <v>17</v>
      </c>
      <c r="U27" s="774">
        <f>H27</f>
        <v>100</v>
      </c>
      <c r="V27" s="773" t="s">
        <v>17</v>
      </c>
      <c r="W27" s="774">
        <f>J27</f>
        <v>100</v>
      </c>
      <c r="X27" s="1799"/>
      <c r="Y27" s="3268"/>
      <c r="Z27" s="1800" t="str">
        <f>Q27</f>
        <v>楼层</v>
      </c>
      <c r="AA27" s="1797">
        <f t="shared" si="3"/>
        <v>1</v>
      </c>
      <c r="AB27" s="1797">
        <f t="shared" si="4"/>
        <v>1</v>
      </c>
      <c r="AC27" s="2557">
        <f t="shared" si="5"/>
        <v>1</v>
      </c>
    </row>
    <row r="28" spans="1:29" s="117" customFormat="1" ht="15">
      <c r="A28" s="431"/>
      <c r="B28" s="630" t="s">
        <v>2604</v>
      </c>
      <c r="C28" s="2560"/>
      <c r="D28" s="462">
        <v>100</v>
      </c>
      <c r="E28" s="2548"/>
      <c r="F28" s="462">
        <f>SUMIF(91:91,E28,92:92)-SUMIF(91:91,C28,92:92)+100</f>
        <v>100</v>
      </c>
      <c r="G28" s="2560"/>
      <c r="H28" s="462">
        <f>SUMIF(91:91,G28,92:92)-SUMIF(91:91,C28,92:92)+100</f>
        <v>100</v>
      </c>
      <c r="I28" s="2548"/>
      <c r="J28" s="462">
        <f>SUMIF(91:91,I28,92:92)-SUMIF(91:91,C28,92:92)+100</f>
        <v>100</v>
      </c>
      <c r="K28" s="612"/>
      <c r="L28" s="1127"/>
      <c r="M28" s="1128"/>
      <c r="N28" s="1128"/>
      <c r="O28" s="1128"/>
      <c r="P28" s="3275"/>
      <c r="Q28" s="1781" t="str">
        <f t="shared" si="11"/>
        <v>朝向</v>
      </c>
      <c r="R28" s="769" t="s">
        <v>17</v>
      </c>
      <c r="S28" s="770">
        <f>F28</f>
        <v>100</v>
      </c>
      <c r="T28" s="769" t="s">
        <v>17</v>
      </c>
      <c r="U28" s="770">
        <f>H28</f>
        <v>100</v>
      </c>
      <c r="V28" s="769" t="s">
        <v>17</v>
      </c>
      <c r="W28" s="770">
        <f>J28</f>
        <v>100</v>
      </c>
      <c r="X28" s="771"/>
      <c r="Y28" s="3268"/>
      <c r="Z28" s="55" t="str">
        <f>Q28</f>
        <v>朝向</v>
      </c>
      <c r="AA28" s="1797">
        <f>D28/F28</f>
        <v>1</v>
      </c>
      <c r="AB28" s="1797">
        <f>D28/H28</f>
        <v>1</v>
      </c>
      <c r="AC28" s="2557">
        <f>D28/J28</f>
        <v>1</v>
      </c>
    </row>
    <row r="29" spans="1:29" ht="15">
      <c r="A29" s="428"/>
      <c r="B29" s="2561">
        <v>111</v>
      </c>
      <c r="C29" s="2500"/>
      <c r="D29" s="435">
        <v>100</v>
      </c>
      <c r="E29" s="432"/>
      <c r="F29" s="435">
        <f>SUMIF(93:93,E29,94:94)-SUMIF(93:93,C29,94:94)+100</f>
        <v>100</v>
      </c>
      <c r="G29" s="2555"/>
      <c r="H29" s="435">
        <f>SUMIF(93:93,G29,94:94)-SUMIF(93:93,C29,94:94)+100</f>
        <v>100</v>
      </c>
      <c r="I29" s="432"/>
      <c r="J29" s="435">
        <f>SUMIF(93:93,I29,94:94)-SUMIF(93:93,C29,94:94)+100</f>
        <v>100</v>
      </c>
      <c r="K29" s="613"/>
      <c r="L29" s="1135"/>
      <c r="M29" s="1126"/>
      <c r="N29" s="1126"/>
      <c r="O29" s="1126"/>
      <c r="P29" s="3275"/>
      <c r="Q29" s="1796">
        <f t="shared" si="11"/>
        <v>111</v>
      </c>
      <c r="R29" s="773" t="s">
        <v>17</v>
      </c>
      <c r="S29" s="774">
        <f t="shared" ref="S29:S47" si="12">F29</f>
        <v>100</v>
      </c>
      <c r="T29" s="773" t="s">
        <v>17</v>
      </c>
      <c r="U29" s="774">
        <f t="shared" ref="U29:U47" si="13">H29</f>
        <v>100</v>
      </c>
      <c r="V29" s="773" t="s">
        <v>17</v>
      </c>
      <c r="W29" s="774">
        <f t="shared" ref="W29:W47" si="14">J29</f>
        <v>100</v>
      </c>
      <c r="X29" s="1799"/>
      <c r="Y29" s="3268"/>
      <c r="Z29" s="1800">
        <f t="shared" ref="Z29:Z47" si="15">Q29</f>
        <v>111</v>
      </c>
      <c r="AA29" s="1797">
        <f t="shared" si="3"/>
        <v>1</v>
      </c>
      <c r="AB29" s="1797">
        <f t="shared" si="4"/>
        <v>1</v>
      </c>
      <c r="AC29" s="2557">
        <f t="shared" si="5"/>
        <v>1</v>
      </c>
    </row>
    <row r="30" spans="1:29" ht="15">
      <c r="A30" s="428"/>
      <c r="B30" s="2561">
        <v>111</v>
      </c>
      <c r="C30" s="2500"/>
      <c r="D30" s="435">
        <v>100</v>
      </c>
      <c r="E30" s="432"/>
      <c r="F30" s="435">
        <f>SUMIF(95:95,E30,96:96)-SUMIF(95:95,C30,96:96)+100</f>
        <v>100</v>
      </c>
      <c r="G30" s="2555"/>
      <c r="H30" s="435">
        <f>SUMIF(95:95,G30,96:96)-SUMIF(95:95,C30,96:96)+100</f>
        <v>100</v>
      </c>
      <c r="I30" s="432"/>
      <c r="J30" s="435">
        <f>SUMIF(95:95,I30,96:96)-SUMIF(95:95,C30,96:96)+100</f>
        <v>100</v>
      </c>
      <c r="K30" s="613"/>
      <c r="L30" s="1135"/>
      <c r="M30" s="1126"/>
      <c r="N30" s="1126"/>
      <c r="O30" s="1126"/>
      <c r="P30" s="3275"/>
      <c r="Q30" s="1796">
        <f t="shared" si="11"/>
        <v>111</v>
      </c>
      <c r="R30" s="773" t="s">
        <v>17</v>
      </c>
      <c r="S30" s="774">
        <f t="shared" si="12"/>
        <v>100</v>
      </c>
      <c r="T30" s="773" t="s">
        <v>17</v>
      </c>
      <c r="U30" s="774">
        <f t="shared" si="13"/>
        <v>100</v>
      </c>
      <c r="V30" s="773" t="s">
        <v>17</v>
      </c>
      <c r="W30" s="774">
        <f t="shared" si="14"/>
        <v>100</v>
      </c>
      <c r="X30" s="1799"/>
      <c r="Y30" s="3268"/>
      <c r="Z30" s="1800">
        <f t="shared" si="15"/>
        <v>111</v>
      </c>
      <c r="AA30" s="1797">
        <f t="shared" si="3"/>
        <v>1</v>
      </c>
      <c r="AB30" s="1797">
        <f t="shared" si="4"/>
        <v>1</v>
      </c>
      <c r="AC30" s="2557">
        <f t="shared" si="5"/>
        <v>1</v>
      </c>
    </row>
    <row r="31" spans="1:29" ht="15">
      <c r="A31" s="428"/>
      <c r="B31" s="2561">
        <v>111</v>
      </c>
      <c r="C31" s="2500"/>
      <c r="D31" s="435">
        <v>100</v>
      </c>
      <c r="E31" s="432"/>
      <c r="F31" s="435">
        <f>SUMIF(97:97,E31,98:98)-SUMIF(97:97,C31,98:98)+100</f>
        <v>100</v>
      </c>
      <c r="G31" s="2555"/>
      <c r="H31" s="435">
        <f>SUMIF(97:97,G31,98:98)-SUMIF(97:97,C31,98:98)+100</f>
        <v>100</v>
      </c>
      <c r="I31" s="432"/>
      <c r="J31" s="435">
        <f>SUMIF(97:97,I31,98:98)-SUMIF(97:97,C31,98:98)+100</f>
        <v>100</v>
      </c>
      <c r="K31" s="613"/>
      <c r="L31" s="1135"/>
      <c r="M31" s="1126"/>
      <c r="N31" s="1126"/>
      <c r="O31" s="1126"/>
      <c r="P31" s="3275"/>
      <c r="Q31" s="1796">
        <f t="shared" si="11"/>
        <v>111</v>
      </c>
      <c r="R31" s="773" t="s">
        <v>17</v>
      </c>
      <c r="S31" s="774">
        <f t="shared" si="12"/>
        <v>100</v>
      </c>
      <c r="T31" s="773" t="s">
        <v>17</v>
      </c>
      <c r="U31" s="774">
        <f t="shared" si="13"/>
        <v>100</v>
      </c>
      <c r="V31" s="773" t="s">
        <v>17</v>
      </c>
      <c r="W31" s="774">
        <f t="shared" si="14"/>
        <v>100</v>
      </c>
      <c r="X31" s="1799"/>
      <c r="Y31" s="3268"/>
      <c r="Z31" s="1800">
        <f t="shared" si="15"/>
        <v>111</v>
      </c>
      <c r="AA31" s="1797">
        <f t="shared" si="3"/>
        <v>1</v>
      </c>
      <c r="AB31" s="1797">
        <f t="shared" si="4"/>
        <v>1</v>
      </c>
      <c r="AC31" s="2557">
        <f t="shared" si="5"/>
        <v>1</v>
      </c>
    </row>
    <row r="32" spans="1:29" ht="15.75" thickBot="1">
      <c r="A32" s="436"/>
      <c r="B32" s="634">
        <v>111</v>
      </c>
      <c r="C32" s="2501"/>
      <c r="D32" s="438">
        <v>100</v>
      </c>
      <c r="E32" s="627"/>
      <c r="F32" s="438">
        <f>SUMIF(99:99,E32,100:100)-SUMIF(99:99,C32,100:100)+100</f>
        <v>100</v>
      </c>
      <c r="G32" s="2555"/>
      <c r="H32" s="438">
        <f>SUMIF(99:99,G32,100:100)-SUMIF(99:99,C32,100:100)+100</f>
        <v>100</v>
      </c>
      <c r="I32" s="432"/>
      <c r="J32" s="438">
        <f>SUMIF(99:99,I32,100:100)-SUMIF(99:99,C32,100:100)+100</f>
        <v>100</v>
      </c>
      <c r="K32" s="613"/>
      <c r="L32" s="1135"/>
      <c r="M32" s="1126"/>
      <c r="N32" s="1126"/>
      <c r="O32" s="1126"/>
      <c r="P32" s="3275"/>
      <c r="Q32" s="1796">
        <f t="shared" si="11"/>
        <v>111</v>
      </c>
      <c r="R32" s="773" t="s">
        <v>17</v>
      </c>
      <c r="S32" s="774">
        <f t="shared" si="12"/>
        <v>100</v>
      </c>
      <c r="T32" s="773" t="s">
        <v>17</v>
      </c>
      <c r="U32" s="774">
        <f t="shared" si="13"/>
        <v>100</v>
      </c>
      <c r="V32" s="773" t="s">
        <v>17</v>
      </c>
      <c r="W32" s="774">
        <f t="shared" si="14"/>
        <v>100</v>
      </c>
      <c r="X32" s="1799"/>
      <c r="Y32" s="3268"/>
      <c r="Z32" s="1800">
        <f t="shared" si="15"/>
        <v>111</v>
      </c>
      <c r="AA32" s="1797">
        <f t="shared" si="3"/>
        <v>1</v>
      </c>
      <c r="AB32" s="1797">
        <f t="shared" si="4"/>
        <v>1</v>
      </c>
      <c r="AC32" s="2557">
        <f t="shared" si="5"/>
        <v>1</v>
      </c>
    </row>
    <row r="33" spans="1:29" ht="15">
      <c r="A33" s="440" t="s">
        <v>2476</v>
      </c>
      <c r="B33" s="71" t="s">
        <v>2605</v>
      </c>
      <c r="C33" s="2562"/>
      <c r="D33" s="467">
        <v>100</v>
      </c>
      <c r="E33" s="2562"/>
      <c r="F33" s="461">
        <f>SUMIF(101:101,E33,102:102)-SUMIF(101:101,C33,102:102)+100</f>
        <v>100</v>
      </c>
      <c r="G33" s="2562"/>
      <c r="H33" s="435">
        <f>SUMIF(101:101,G33,102:102)-SUMIF(101:101,C33,102:102)+100</f>
        <v>100</v>
      </c>
      <c r="I33" s="2562"/>
      <c r="J33" s="467">
        <f>SUMIF(101:101,I33,102:102)-SUMIF(101:101,C33,102:102)+100</f>
        <v>100</v>
      </c>
      <c r="K33" s="612"/>
      <c r="L33" s="1135"/>
      <c r="M33" s="1126"/>
      <c r="N33" s="1126"/>
      <c r="O33" s="1126"/>
      <c r="P33" s="3269" t="s">
        <v>2478</v>
      </c>
      <c r="Q33" s="1796" t="str">
        <f t="shared" si="11"/>
        <v>建筑类型</v>
      </c>
      <c r="R33" s="773" t="s">
        <v>17</v>
      </c>
      <c r="S33" s="774">
        <f t="shared" si="12"/>
        <v>100</v>
      </c>
      <c r="T33" s="773" t="s">
        <v>17</v>
      </c>
      <c r="U33" s="774">
        <f t="shared" si="13"/>
        <v>100</v>
      </c>
      <c r="V33" s="773" t="s">
        <v>17</v>
      </c>
      <c r="W33" s="774">
        <f t="shared" si="14"/>
        <v>100</v>
      </c>
      <c r="X33" s="1799"/>
      <c r="Y33" s="3272" t="s">
        <v>2478</v>
      </c>
      <c r="Z33" s="1800" t="str">
        <f t="shared" si="15"/>
        <v>建筑类型</v>
      </c>
      <c r="AA33" s="1797">
        <f t="shared" si="3"/>
        <v>1</v>
      </c>
      <c r="AB33" s="1797">
        <f t="shared" si="4"/>
        <v>1</v>
      </c>
      <c r="AC33" s="2557">
        <f t="shared" si="5"/>
        <v>1</v>
      </c>
    </row>
    <row r="34" spans="1:29" s="471" customFormat="1" ht="15">
      <c r="A34" s="468"/>
      <c r="B34" s="422" t="s">
        <v>2479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70"/>
      <c r="Q34" s="775" t="str">
        <f t="shared" si="11"/>
        <v>项目建筑规模</v>
      </c>
      <c r="R34" s="776" t="s">
        <v>17</v>
      </c>
      <c r="S34" s="777" t="e">
        <f t="shared" si="12"/>
        <v>#N/A</v>
      </c>
      <c r="T34" s="776" t="s">
        <v>17</v>
      </c>
      <c r="U34" s="777" t="e">
        <f t="shared" si="13"/>
        <v>#N/A</v>
      </c>
      <c r="V34" s="776" t="s">
        <v>17</v>
      </c>
      <c r="W34" s="777" t="e">
        <f t="shared" si="14"/>
        <v>#N/A</v>
      </c>
      <c r="X34" s="778"/>
      <c r="Y34" s="3272"/>
      <c r="Z34" s="779" t="str">
        <f t="shared" si="15"/>
        <v>项目建筑规模</v>
      </c>
      <c r="AA34" s="1797" t="e">
        <f t="shared" si="3"/>
        <v>#N/A</v>
      </c>
      <c r="AB34" s="1797" t="e">
        <f t="shared" si="4"/>
        <v>#N/A</v>
      </c>
      <c r="AC34" s="2557" t="e">
        <f t="shared" si="5"/>
        <v>#N/A</v>
      </c>
    </row>
    <row r="35" spans="1:29" ht="15">
      <c r="A35" s="472"/>
      <c r="B35" s="422" t="s">
        <v>2480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70"/>
      <c r="Q35" s="1796" t="str">
        <f t="shared" si="11"/>
        <v>建筑结构</v>
      </c>
      <c r="R35" s="773" t="s">
        <v>17</v>
      </c>
      <c r="S35" s="774">
        <f t="shared" si="12"/>
        <v>100</v>
      </c>
      <c r="T35" s="773" t="s">
        <v>17</v>
      </c>
      <c r="U35" s="774">
        <f t="shared" si="13"/>
        <v>100</v>
      </c>
      <c r="V35" s="773" t="s">
        <v>17</v>
      </c>
      <c r="W35" s="774">
        <f t="shared" si="14"/>
        <v>100</v>
      </c>
      <c r="X35" s="1799"/>
      <c r="Y35" s="3272"/>
      <c r="Z35" s="1800" t="str">
        <f t="shared" si="15"/>
        <v>建筑结构</v>
      </c>
      <c r="AA35" s="1797">
        <f t="shared" si="3"/>
        <v>1</v>
      </c>
      <c r="AB35" s="1797">
        <f t="shared" si="4"/>
        <v>1</v>
      </c>
      <c r="AC35" s="2557">
        <f t="shared" si="5"/>
        <v>1</v>
      </c>
    </row>
    <row r="36" spans="1:29" ht="15">
      <c r="A36" s="472"/>
      <c r="B36" s="422" t="s">
        <v>2573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70"/>
      <c r="Q36" s="1796" t="str">
        <f t="shared" si="11"/>
        <v>公共部分装修</v>
      </c>
      <c r="R36" s="773" t="s">
        <v>17</v>
      </c>
      <c r="S36" s="774">
        <f t="shared" si="12"/>
        <v>100</v>
      </c>
      <c r="T36" s="773" t="s">
        <v>17</v>
      </c>
      <c r="U36" s="774">
        <f t="shared" si="13"/>
        <v>100</v>
      </c>
      <c r="V36" s="773" t="s">
        <v>17</v>
      </c>
      <c r="W36" s="774">
        <f t="shared" si="14"/>
        <v>100</v>
      </c>
      <c r="X36" s="1799"/>
      <c r="Y36" s="3272"/>
      <c r="Z36" s="1800" t="str">
        <f t="shared" si="15"/>
        <v>公共部分装修</v>
      </c>
      <c r="AA36" s="1797">
        <f t="shared" si="3"/>
        <v>1</v>
      </c>
      <c r="AB36" s="1797">
        <f t="shared" si="4"/>
        <v>1</v>
      </c>
      <c r="AC36" s="2557">
        <f t="shared" si="5"/>
        <v>1</v>
      </c>
    </row>
    <row r="37" spans="1:29" ht="15">
      <c r="A37" s="472"/>
      <c r="B37" s="422" t="s">
        <v>2574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70"/>
      <c r="Q37" s="1796" t="str">
        <f t="shared" si="11"/>
        <v>成新度</v>
      </c>
      <c r="R37" s="773" t="s">
        <v>17</v>
      </c>
      <c r="S37" s="774" t="e">
        <f t="shared" si="12"/>
        <v>#N/A</v>
      </c>
      <c r="T37" s="773" t="s">
        <v>17</v>
      </c>
      <c r="U37" s="774" t="e">
        <f t="shared" si="13"/>
        <v>#N/A</v>
      </c>
      <c r="V37" s="773" t="s">
        <v>17</v>
      </c>
      <c r="W37" s="774" t="e">
        <f t="shared" si="14"/>
        <v>#N/A</v>
      </c>
      <c r="X37" s="1799"/>
      <c r="Y37" s="3272"/>
      <c r="Z37" s="1800" t="str">
        <f t="shared" si="15"/>
        <v>成新度</v>
      </c>
      <c r="AA37" s="1797" t="e">
        <f t="shared" si="3"/>
        <v>#N/A</v>
      </c>
      <c r="AB37" s="1797" t="e">
        <f t="shared" si="4"/>
        <v>#N/A</v>
      </c>
      <c r="AC37" s="2557" t="e">
        <f t="shared" si="5"/>
        <v>#N/A</v>
      </c>
    </row>
    <row r="38" spans="1:29" s="117" customFormat="1" ht="15">
      <c r="A38" s="473"/>
      <c r="B38" s="422" t="s">
        <v>2606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70"/>
      <c r="Q38" s="1781" t="str">
        <f t="shared" si="11"/>
        <v>写字楼等级</v>
      </c>
      <c r="R38" s="769" t="s">
        <v>17</v>
      </c>
      <c r="S38" s="770">
        <f t="shared" si="12"/>
        <v>100</v>
      </c>
      <c r="T38" s="769" t="s">
        <v>17</v>
      </c>
      <c r="U38" s="770">
        <f t="shared" si="13"/>
        <v>100</v>
      </c>
      <c r="V38" s="769" t="s">
        <v>17</v>
      </c>
      <c r="W38" s="770">
        <f t="shared" si="14"/>
        <v>100</v>
      </c>
      <c r="X38" s="771"/>
      <c r="Y38" s="3272"/>
      <c r="Z38" s="55" t="str">
        <f t="shared" si="15"/>
        <v>写字楼等级</v>
      </c>
      <c r="AA38" s="772">
        <f t="shared" si="3"/>
        <v>1</v>
      </c>
      <c r="AB38" s="772">
        <f t="shared" si="4"/>
        <v>1</v>
      </c>
      <c r="AC38" s="2554">
        <f t="shared" si="5"/>
        <v>1</v>
      </c>
    </row>
    <row r="39" spans="1:29" ht="15">
      <c r="A39" s="472"/>
      <c r="B39" s="422" t="s">
        <v>2607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70" t="s">
        <v>2478</v>
      </c>
      <c r="Q39" s="1796" t="str">
        <f t="shared" si="11"/>
        <v>物业管理</v>
      </c>
      <c r="R39" s="773" t="s">
        <v>17</v>
      </c>
      <c r="S39" s="774">
        <f t="shared" si="12"/>
        <v>100</v>
      </c>
      <c r="T39" s="773" t="s">
        <v>17</v>
      </c>
      <c r="U39" s="774">
        <f t="shared" si="13"/>
        <v>100</v>
      </c>
      <c r="V39" s="773" t="s">
        <v>17</v>
      </c>
      <c r="W39" s="774">
        <f t="shared" si="14"/>
        <v>100</v>
      </c>
      <c r="X39" s="1799"/>
      <c r="Y39" s="3272" t="s">
        <v>2478</v>
      </c>
      <c r="Z39" s="1800" t="str">
        <f t="shared" si="15"/>
        <v>物业管理</v>
      </c>
      <c r="AA39" s="1797">
        <f t="shared" si="3"/>
        <v>1</v>
      </c>
      <c r="AB39" s="1797">
        <f t="shared" si="4"/>
        <v>1</v>
      </c>
      <c r="AC39" s="2557">
        <f t="shared" si="5"/>
        <v>1</v>
      </c>
    </row>
    <row r="40" spans="1:29" ht="15">
      <c r="A40" s="472"/>
      <c r="B40" s="422" t="s">
        <v>2575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70"/>
      <c r="Q40" s="1796" t="str">
        <f t="shared" si="11"/>
        <v>市政基础设施</v>
      </c>
      <c r="R40" s="773" t="s">
        <v>17</v>
      </c>
      <c r="S40" s="774">
        <f t="shared" si="12"/>
        <v>100</v>
      </c>
      <c r="T40" s="773" t="s">
        <v>17</v>
      </c>
      <c r="U40" s="774">
        <f t="shared" si="13"/>
        <v>100</v>
      </c>
      <c r="V40" s="773" t="s">
        <v>17</v>
      </c>
      <c r="W40" s="774">
        <f t="shared" si="14"/>
        <v>100</v>
      </c>
      <c r="X40" s="1799"/>
      <c r="Y40" s="3272"/>
      <c r="Z40" s="1800" t="str">
        <f t="shared" si="15"/>
        <v>市政基础设施</v>
      </c>
      <c r="AA40" s="1797">
        <f t="shared" si="3"/>
        <v>1</v>
      </c>
      <c r="AB40" s="1797">
        <f t="shared" si="4"/>
        <v>1</v>
      </c>
      <c r="AC40" s="2557">
        <f t="shared" si="5"/>
        <v>1</v>
      </c>
    </row>
    <row r="41" spans="1:29" ht="15">
      <c r="A41" s="472"/>
      <c r="B41" s="422" t="s">
        <v>2577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70"/>
      <c r="Q41" s="1796" t="str">
        <f t="shared" si="11"/>
        <v>层高</v>
      </c>
      <c r="R41" s="773" t="s">
        <v>17</v>
      </c>
      <c r="S41" s="774">
        <f t="shared" si="12"/>
        <v>100</v>
      </c>
      <c r="T41" s="773" t="s">
        <v>17</v>
      </c>
      <c r="U41" s="774">
        <f t="shared" si="13"/>
        <v>100</v>
      </c>
      <c r="V41" s="773" t="s">
        <v>17</v>
      </c>
      <c r="W41" s="774">
        <f t="shared" si="14"/>
        <v>100</v>
      </c>
      <c r="X41" s="1799"/>
      <c r="Y41" s="3272"/>
      <c r="Z41" s="1800" t="str">
        <f t="shared" si="15"/>
        <v>层高</v>
      </c>
      <c r="AA41" s="1797">
        <f t="shared" si="3"/>
        <v>1</v>
      </c>
      <c r="AB41" s="1797">
        <f t="shared" si="4"/>
        <v>1</v>
      </c>
      <c r="AC41" s="2557">
        <f t="shared" si="5"/>
        <v>1</v>
      </c>
    </row>
    <row r="42" spans="1:29" s="471" customFormat="1" ht="15">
      <c r="A42" s="468"/>
      <c r="B42" s="1798" t="s">
        <v>2608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70"/>
      <c r="Q42" s="775" t="str">
        <f t="shared" si="11"/>
        <v>单套建筑面积</v>
      </c>
      <c r="R42" s="776" t="s">
        <v>17</v>
      </c>
      <c r="S42" s="777">
        <f t="shared" si="12"/>
        <v>100</v>
      </c>
      <c r="T42" s="776" t="s">
        <v>17</v>
      </c>
      <c r="U42" s="777">
        <f t="shared" si="13"/>
        <v>100</v>
      </c>
      <c r="V42" s="776" t="s">
        <v>17</v>
      </c>
      <c r="W42" s="777">
        <f t="shared" si="14"/>
        <v>100</v>
      </c>
      <c r="X42" s="778"/>
      <c r="Y42" s="3272"/>
      <c r="Z42" s="779" t="str">
        <f t="shared" si="15"/>
        <v>单套建筑面积</v>
      </c>
      <c r="AA42" s="1797">
        <f t="shared" si="3"/>
        <v>1</v>
      </c>
      <c r="AB42" s="1797">
        <f t="shared" si="4"/>
        <v>1</v>
      </c>
      <c r="AC42" s="2557">
        <f t="shared" si="5"/>
        <v>1</v>
      </c>
    </row>
    <row r="43" spans="1:29" ht="15">
      <c r="A43" s="472"/>
      <c r="B43" s="422" t="s">
        <v>2580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70"/>
      <c r="Q43" s="1796" t="str">
        <f t="shared" si="11"/>
        <v>内部装修</v>
      </c>
      <c r="R43" s="773" t="s">
        <v>17</v>
      </c>
      <c r="S43" s="774">
        <f t="shared" si="12"/>
        <v>100</v>
      </c>
      <c r="T43" s="773" t="s">
        <v>17</v>
      </c>
      <c r="U43" s="774">
        <f t="shared" si="13"/>
        <v>100</v>
      </c>
      <c r="V43" s="773" t="s">
        <v>17</v>
      </c>
      <c r="W43" s="774">
        <f t="shared" si="14"/>
        <v>100</v>
      </c>
      <c r="X43" s="1799"/>
      <c r="Y43" s="3272"/>
      <c r="Z43" s="1800" t="str">
        <f t="shared" si="15"/>
        <v>内部装修</v>
      </c>
      <c r="AA43" s="1797">
        <f t="shared" si="3"/>
        <v>1</v>
      </c>
      <c r="AB43" s="1797">
        <f t="shared" si="4"/>
        <v>1</v>
      </c>
      <c r="AC43" s="2557">
        <f t="shared" si="5"/>
        <v>1</v>
      </c>
    </row>
    <row r="44" spans="1:29" ht="15">
      <c r="A44" s="472"/>
      <c r="B44" s="422" t="s">
        <v>2489</v>
      </c>
      <c r="C44" s="460"/>
      <c r="D44" s="435">
        <v>100</v>
      </c>
      <c r="E44" s="2498"/>
      <c r="F44" s="461">
        <f>SUMIF(125:125,E44,126:126)-SUMIF(125:125,C44,126:126)+100</f>
        <v>100</v>
      </c>
      <c r="G44" s="2498"/>
      <c r="H44" s="435">
        <f>SUMIF(125:125,G44,126:126)-SUMIF(125:125,C44,126:126)+100</f>
        <v>100</v>
      </c>
      <c r="I44" s="2498"/>
      <c r="J44" s="435">
        <f>SUMIF(125:125,I44,126:126)-SUMIF(125:125,C44,126:126)+100</f>
        <v>100</v>
      </c>
      <c r="K44" s="612"/>
      <c r="L44" s="1135"/>
      <c r="M44" s="1126"/>
      <c r="N44" s="1126"/>
      <c r="O44" s="1126"/>
      <c r="P44" s="3270"/>
      <c r="Q44" s="1796" t="str">
        <f t="shared" si="11"/>
        <v>内部装修维护情况</v>
      </c>
      <c r="R44" s="773" t="s">
        <v>17</v>
      </c>
      <c r="S44" s="774">
        <f t="shared" si="12"/>
        <v>100</v>
      </c>
      <c r="T44" s="773" t="s">
        <v>17</v>
      </c>
      <c r="U44" s="774">
        <f t="shared" si="13"/>
        <v>100</v>
      </c>
      <c r="V44" s="773" t="s">
        <v>17</v>
      </c>
      <c r="W44" s="774">
        <f t="shared" si="14"/>
        <v>100</v>
      </c>
      <c r="X44" s="1799"/>
      <c r="Y44" s="3272"/>
      <c r="Z44" s="1800" t="str">
        <f t="shared" si="15"/>
        <v>内部装修维护情况</v>
      </c>
      <c r="AA44" s="1797">
        <f t="shared" si="3"/>
        <v>1</v>
      </c>
      <c r="AB44" s="1797">
        <f t="shared" si="4"/>
        <v>1</v>
      </c>
      <c r="AC44" s="2557">
        <f t="shared" si="5"/>
        <v>1</v>
      </c>
    </row>
    <row r="45" spans="1:29" s="117" customFormat="1" ht="15">
      <c r="A45" s="473"/>
      <c r="B45" s="137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70"/>
      <c r="Q45" s="1781">
        <f t="shared" si="11"/>
        <v>111</v>
      </c>
      <c r="R45" s="769" t="s">
        <v>17</v>
      </c>
      <c r="S45" s="770">
        <f t="shared" si="12"/>
        <v>100</v>
      </c>
      <c r="T45" s="769" t="s">
        <v>17</v>
      </c>
      <c r="U45" s="770">
        <f t="shared" si="13"/>
        <v>100</v>
      </c>
      <c r="V45" s="769" t="s">
        <v>17</v>
      </c>
      <c r="W45" s="770">
        <f t="shared" si="14"/>
        <v>100</v>
      </c>
      <c r="X45" s="771"/>
      <c r="Y45" s="3272"/>
      <c r="Z45" s="55">
        <f t="shared" si="15"/>
        <v>111</v>
      </c>
      <c r="AA45" s="772">
        <f t="shared" si="3"/>
        <v>1</v>
      </c>
      <c r="AB45" s="772">
        <f t="shared" si="4"/>
        <v>1</v>
      </c>
      <c r="AC45" s="2554">
        <f t="shared" si="5"/>
        <v>1</v>
      </c>
    </row>
    <row r="46" spans="1:29" ht="15">
      <c r="A46" s="472"/>
      <c r="B46" s="137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70"/>
      <c r="Q46" s="1796">
        <f t="shared" si="11"/>
        <v>111</v>
      </c>
      <c r="R46" s="773" t="s">
        <v>17</v>
      </c>
      <c r="S46" s="774">
        <f t="shared" si="12"/>
        <v>100</v>
      </c>
      <c r="T46" s="773" t="s">
        <v>17</v>
      </c>
      <c r="U46" s="774">
        <f t="shared" si="13"/>
        <v>100</v>
      </c>
      <c r="V46" s="773" t="s">
        <v>17</v>
      </c>
      <c r="W46" s="774">
        <f t="shared" si="14"/>
        <v>100</v>
      </c>
      <c r="X46" s="1799"/>
      <c r="Y46" s="3272"/>
      <c r="Z46" s="1800">
        <f t="shared" si="15"/>
        <v>111</v>
      </c>
      <c r="AA46" s="1797">
        <f t="shared" si="3"/>
        <v>1</v>
      </c>
      <c r="AB46" s="1797">
        <f t="shared" si="4"/>
        <v>1</v>
      </c>
      <c r="AC46" s="2557">
        <f t="shared" si="5"/>
        <v>1</v>
      </c>
    </row>
    <row r="47" spans="1:29" ht="15.75" thickBot="1">
      <c r="A47" s="478"/>
      <c r="B47" s="248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71"/>
      <c r="Q47" s="1796">
        <f t="shared" si="11"/>
        <v>111</v>
      </c>
      <c r="R47" s="773" t="s">
        <v>17</v>
      </c>
      <c r="S47" s="774">
        <f t="shared" si="12"/>
        <v>100</v>
      </c>
      <c r="T47" s="773" t="s">
        <v>17</v>
      </c>
      <c r="U47" s="774">
        <f t="shared" si="13"/>
        <v>100</v>
      </c>
      <c r="V47" s="773" t="s">
        <v>17</v>
      </c>
      <c r="W47" s="774">
        <f t="shared" si="14"/>
        <v>100</v>
      </c>
      <c r="X47" s="1799"/>
      <c r="Y47" s="3273"/>
      <c r="Z47" s="1800">
        <f t="shared" si="15"/>
        <v>111</v>
      </c>
      <c r="AA47" s="1797">
        <f t="shared" si="3"/>
        <v>1</v>
      </c>
      <c r="AB47" s="1797">
        <f t="shared" si="4"/>
        <v>1</v>
      </c>
      <c r="AC47" s="2557">
        <f t="shared" si="5"/>
        <v>1</v>
      </c>
    </row>
    <row r="48" spans="1:29" ht="15">
      <c r="A48" s="479" t="s">
        <v>2490</v>
      </c>
      <c r="B48" s="480"/>
      <c r="C48" s="1394" t="s">
        <v>1</v>
      </c>
      <c r="D48" s="1395"/>
      <c r="E48" s="1396"/>
      <c r="F48" s="1397"/>
      <c r="G48" s="1398"/>
      <c r="H48" s="1399"/>
      <c r="I48" s="1396"/>
      <c r="J48" s="485"/>
      <c r="K48" s="782"/>
      <c r="L48" s="1138"/>
      <c r="M48" s="1126"/>
      <c r="N48" s="1126"/>
      <c r="O48" s="1126"/>
      <c r="P48" s="3276" t="str">
        <f>A48</f>
        <v>成交单价（元/平方米）</v>
      </c>
      <c r="Q48" s="3265"/>
      <c r="R48" s="3266">
        <f>E48</f>
        <v>0</v>
      </c>
      <c r="S48" s="3266"/>
      <c r="T48" s="3266">
        <f>G48</f>
        <v>0</v>
      </c>
      <c r="U48" s="3266"/>
      <c r="V48" s="3266">
        <f>I48</f>
        <v>0</v>
      </c>
      <c r="W48" s="3266"/>
      <c r="X48" s="446"/>
      <c r="Y48" s="780"/>
      <c r="Z48" s="446"/>
      <c r="AA48" s="446"/>
      <c r="AB48" s="446"/>
      <c r="AC48" s="629"/>
    </row>
    <row r="49" spans="1:29" ht="15.75" thickBot="1">
      <c r="A49" s="486" t="s">
        <v>2581</v>
      </c>
      <c r="B49" s="487"/>
      <c r="C49" s="1400" t="e">
        <f>R50</f>
        <v>#DIV/0!</v>
      </c>
      <c r="D49" s="1401"/>
      <c r="E49" s="1402" t="e">
        <f>R49</f>
        <v>#DIV/0!</v>
      </c>
      <c r="F49" s="1402"/>
      <c r="G49" s="1400" t="e">
        <f>T49</f>
        <v>#DIV/0!</v>
      </c>
      <c r="H49" s="1401"/>
      <c r="I49" s="1402" t="e">
        <f>V49</f>
        <v>#DIV/0!</v>
      </c>
      <c r="J49" s="489"/>
      <c r="K49" s="783"/>
      <c r="L49" s="1138"/>
      <c r="M49" s="1126"/>
      <c r="N49" s="1126"/>
      <c r="O49" s="1126"/>
      <c r="P49" s="3276"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46"/>
      <c r="Y49" s="446"/>
      <c r="Z49" s="446"/>
      <c r="AA49" s="446"/>
      <c r="AB49" s="446"/>
      <c r="AC49" s="629"/>
    </row>
    <row r="50" spans="1:29" ht="15.75" thickBot="1">
      <c r="A50" s="492" t="s">
        <v>2582</v>
      </c>
      <c r="B50" s="493"/>
      <c r="C50" s="1404" t="e">
        <f>R50</f>
        <v>#DIV/0!</v>
      </c>
      <c r="D50" s="1404"/>
      <c r="E50" s="1404"/>
      <c r="F50" s="1404"/>
      <c r="G50" s="1404"/>
      <c r="H50" s="1404"/>
      <c r="I50" s="1404"/>
      <c r="J50" s="494"/>
      <c r="K50" s="784"/>
      <c r="L50" s="1138"/>
      <c r="M50" s="1126"/>
      <c r="N50" s="1126"/>
      <c r="O50" s="1126"/>
      <c r="P50" s="3341" t="str">
        <f>A50</f>
        <v>估价对象XX用房的比较价值（楼面单价，元/平方米）</v>
      </c>
      <c r="Q50" s="3342"/>
      <c r="R50" s="3343" t="e">
        <f>IF(F1="售价",ROUND(AVERAGE(R49:V49),0),ROUND(AVERAGE(R49:V49),1))</f>
        <v>#DIV/0!</v>
      </c>
      <c r="S50" s="3343"/>
      <c r="T50" s="3343"/>
      <c r="U50" s="3343"/>
      <c r="V50" s="3343"/>
      <c r="W50" s="3343"/>
      <c r="X50" s="2537"/>
      <c r="Y50" s="2537"/>
      <c r="Z50" s="2537"/>
      <c r="AA50" s="2537"/>
      <c r="AB50" s="2537"/>
      <c r="AC50" s="2538"/>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2583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2584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2585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563"/>
    </row>
    <row r="56" spans="1:29" s="502" customFormat="1">
      <c r="A56" s="1140"/>
      <c r="B56" s="1141"/>
      <c r="C56" s="1145"/>
      <c r="D56" s="1140"/>
      <c r="E56" s="1140"/>
      <c r="F56" s="1140"/>
      <c r="G56" s="1140"/>
      <c r="H56" s="1140"/>
      <c r="I56" s="1140"/>
      <c r="J56" s="1140"/>
      <c r="K56" s="1143"/>
      <c r="L56" s="1144"/>
      <c r="M56" s="1140"/>
      <c r="N56" s="1140"/>
      <c r="O56" s="1140"/>
      <c r="P56" s="2563"/>
    </row>
    <row r="57" spans="1:29">
      <c r="A57" s="1139"/>
      <c r="B57" s="1141"/>
      <c r="C57" s="1145"/>
      <c r="D57" s="1139"/>
      <c r="E57" s="1139"/>
      <c r="F57" s="1139"/>
      <c r="G57" s="1139"/>
      <c r="H57" s="1139"/>
      <c r="I57" s="1139"/>
      <c r="J57" s="1139"/>
      <c r="K57" s="1100"/>
      <c r="L57" s="1101"/>
      <c r="M57" s="1139"/>
      <c r="N57" s="1139"/>
      <c r="O57" s="1139"/>
    </row>
    <row r="58" spans="1:29" ht="21.75" thickBot="1">
      <c r="A58" s="762" t="s">
        <v>2586</v>
      </c>
      <c r="B58" s="758"/>
      <c r="C58" s="763"/>
      <c r="D58" s="763"/>
      <c r="E58" s="763"/>
      <c r="F58" s="764"/>
      <c r="G58" s="764"/>
      <c r="H58" s="763"/>
      <c r="I58" s="763"/>
      <c r="J58" s="763"/>
      <c r="K58" s="765"/>
      <c r="L58" s="1156"/>
      <c r="M58" s="1154"/>
      <c r="N58" s="1154"/>
      <c r="O58" s="1154"/>
      <c r="P58" s="2564"/>
      <c r="Q58" s="504"/>
    </row>
    <row r="59" spans="1:29" s="508" customFormat="1" ht="15">
      <c r="A59" s="505" t="s">
        <v>2461</v>
      </c>
      <c r="B59" s="506"/>
      <c r="C59" s="1560" t="str">
        <f>YEAR(C7)&amp;"-"&amp;MONTH(C7)</f>
        <v>2018-3</v>
      </c>
      <c r="D59" s="1561">
        <f>EDATE(C59,-1)</f>
        <v>43132</v>
      </c>
      <c r="E59" s="1561">
        <f>EDATE(D59,-1)</f>
        <v>43101</v>
      </c>
      <c r="F59" s="1561">
        <f t="shared" ref="F59:O59" si="16">EDATE(E59,-1)</f>
        <v>43070</v>
      </c>
      <c r="G59" s="1561">
        <f t="shared" si="16"/>
        <v>43040</v>
      </c>
      <c r="H59" s="1561">
        <f t="shared" si="16"/>
        <v>43009</v>
      </c>
      <c r="I59" s="1561">
        <f t="shared" si="16"/>
        <v>42979</v>
      </c>
      <c r="J59" s="1561">
        <f t="shared" si="16"/>
        <v>42948</v>
      </c>
      <c r="K59" s="1561">
        <f t="shared" si="16"/>
        <v>42917</v>
      </c>
      <c r="L59" s="1561">
        <f t="shared" si="16"/>
        <v>42887</v>
      </c>
      <c r="M59" s="1561">
        <f t="shared" si="16"/>
        <v>42856</v>
      </c>
      <c r="N59" s="1561">
        <f t="shared" si="16"/>
        <v>42826</v>
      </c>
      <c r="O59" s="1561">
        <f t="shared" si="16"/>
        <v>42795</v>
      </c>
      <c r="P59" s="1557"/>
    </row>
    <row r="60" spans="1:29" s="117" customFormat="1" ht="15">
      <c r="A60" s="509"/>
      <c r="B60" s="510"/>
      <c r="C60" s="1559">
        <v>100</v>
      </c>
      <c r="D60" s="512"/>
      <c r="E60" s="512"/>
      <c r="F60" s="512"/>
      <c r="G60" s="512"/>
      <c r="H60" s="512"/>
      <c r="I60" s="512"/>
      <c r="J60" s="512"/>
      <c r="K60" s="512"/>
      <c r="L60" s="512"/>
      <c r="M60" s="513"/>
      <c r="N60" s="512"/>
      <c r="O60" s="513"/>
      <c r="P60" s="2565"/>
    </row>
    <row r="61" spans="1:29" s="117" customFormat="1" ht="15.75" thickBot="1">
      <c r="A61" s="515" t="s">
        <v>2497</v>
      </c>
      <c r="B61" s="516"/>
      <c r="C61" s="517"/>
      <c r="D61" s="518"/>
      <c r="E61" s="518"/>
      <c r="F61" s="518"/>
      <c r="G61" s="518"/>
      <c r="H61" s="518"/>
      <c r="I61" s="518"/>
      <c r="J61" s="518"/>
      <c r="K61" s="518"/>
      <c r="L61" s="518"/>
      <c r="M61" s="519"/>
      <c r="N61" s="518"/>
      <c r="O61" s="519"/>
      <c r="P61" s="2565"/>
      <c r="Q61" s="504"/>
    </row>
    <row r="62" spans="1:29" s="117" customFormat="1" ht="15">
      <c r="A62" s="521" t="s">
        <v>2463</v>
      </c>
      <c r="B62" s="510"/>
      <c r="C62" s="522" t="s">
        <v>2564</v>
      </c>
      <c r="D62" s="523"/>
      <c r="E62" s="523"/>
      <c r="F62" s="523"/>
      <c r="G62" s="523"/>
      <c r="H62" s="523"/>
      <c r="I62" s="523"/>
      <c r="J62" s="523"/>
      <c r="K62" s="523"/>
      <c r="L62" s="524"/>
      <c r="M62" s="525"/>
      <c r="N62" s="1146"/>
      <c r="O62" s="1146"/>
      <c r="P62" s="2566"/>
      <c r="Q62" s="504"/>
    </row>
    <row r="63" spans="1:29" s="117" customFormat="1" ht="15.75" thickBot="1">
      <c r="A63" s="521"/>
      <c r="B63" s="510"/>
      <c r="C63" s="511">
        <v>100</v>
      </c>
      <c r="D63" s="512"/>
      <c r="E63" s="512"/>
      <c r="F63" s="512"/>
      <c r="G63" s="512"/>
      <c r="H63" s="512"/>
      <c r="I63" s="512"/>
      <c r="J63" s="512"/>
      <c r="K63" s="512"/>
      <c r="L63" s="512"/>
      <c r="M63" s="514"/>
      <c r="N63" s="1146"/>
      <c r="O63" s="1146"/>
      <c r="P63" s="2565"/>
      <c r="Q63" s="504"/>
    </row>
    <row r="64" spans="1:29">
      <c r="A64" s="527" t="s">
        <v>2500</v>
      </c>
      <c r="B64" s="528" t="s">
        <v>2467</v>
      </c>
      <c r="C64" s="529">
        <f>C9</f>
        <v>0</v>
      </c>
      <c r="D64" s="530"/>
      <c r="E64" s="530"/>
      <c r="F64" s="530"/>
      <c r="G64" s="530"/>
      <c r="H64" s="530"/>
      <c r="I64" s="530"/>
      <c r="J64" s="530"/>
      <c r="K64" s="531"/>
      <c r="L64" s="532"/>
      <c r="M64" s="533"/>
      <c r="N64" s="1147"/>
      <c r="O64" s="1147"/>
      <c r="P64" s="2567"/>
      <c r="Q64" s="504"/>
    </row>
    <row r="65" spans="1:17" ht="15.75" thickBot="1">
      <c r="A65" s="534"/>
      <c r="B65" s="535"/>
      <c r="C65" s="536">
        <v>100</v>
      </c>
      <c r="D65" s="536"/>
      <c r="E65" s="536"/>
      <c r="F65" s="536"/>
      <c r="G65" s="536"/>
      <c r="H65" s="536"/>
      <c r="I65" s="536"/>
      <c r="J65" s="536"/>
      <c r="K65" s="536"/>
      <c r="L65" s="536"/>
      <c r="M65" s="537"/>
      <c r="N65" s="1148"/>
      <c r="O65" s="1148"/>
      <c r="P65" s="2567"/>
      <c r="Q65" s="504"/>
    </row>
    <row r="66" spans="1:17" ht="27.75" thickTop="1">
      <c r="A66" s="534"/>
      <c r="B66" s="538" t="s">
        <v>2470</v>
      </c>
      <c r="C66" s="539" t="s">
        <v>2501</v>
      </c>
      <c r="D66" s="539" t="s">
        <v>2502</v>
      </c>
      <c r="E66" s="539" t="s">
        <v>2503</v>
      </c>
      <c r="F66" s="539" t="s">
        <v>2504</v>
      </c>
      <c r="G66" s="539" t="s">
        <v>2505</v>
      </c>
      <c r="H66" s="539" t="s">
        <v>2506</v>
      </c>
      <c r="I66" s="539" t="s">
        <v>2507</v>
      </c>
      <c r="J66" s="539"/>
      <c r="K66" s="540"/>
      <c r="L66" s="541"/>
      <c r="M66" s="542"/>
      <c r="N66" s="1147"/>
      <c r="O66" s="1147"/>
      <c r="P66" s="256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567"/>
      <c r="Q67" s="504"/>
    </row>
    <row r="68" spans="1:17" ht="15.75" thickTop="1">
      <c r="A68" s="534"/>
      <c r="B68" s="546" t="s">
        <v>2471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567"/>
      <c r="Q68" s="504"/>
    </row>
    <row r="69" spans="1:17" ht="15">
      <c r="A69" s="534"/>
      <c r="B69" s="548"/>
      <c r="C69" s="549"/>
      <c r="D69" s="549"/>
      <c r="E69" s="549"/>
      <c r="F69" s="549"/>
      <c r="G69" s="549"/>
      <c r="H69" s="549"/>
      <c r="I69" s="549"/>
      <c r="J69" s="549"/>
      <c r="K69" s="550"/>
      <c r="L69" s="551"/>
      <c r="M69" s="552"/>
      <c r="N69" s="1147"/>
      <c r="O69" s="1147"/>
      <c r="P69" s="256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567"/>
      <c r="Q70" s="504"/>
    </row>
    <row r="71" spans="1:17" s="471" customFormat="1" ht="15.75" thickTop="1">
      <c r="A71" s="553"/>
      <c r="B71" s="538">
        <f>B12</f>
        <v>0</v>
      </c>
      <c r="C71" s="554"/>
      <c r="D71" s="554"/>
      <c r="E71" s="554"/>
      <c r="F71" s="554"/>
      <c r="G71" s="554"/>
      <c r="H71" s="555"/>
      <c r="I71" s="555"/>
      <c r="J71" s="555"/>
      <c r="K71" s="555"/>
      <c r="L71" s="556"/>
      <c r="M71" s="557"/>
      <c r="N71" s="1149"/>
      <c r="O71" s="1149"/>
      <c r="P71" s="2568"/>
      <c r="Q71" s="559"/>
    </row>
    <row r="72" spans="1:17" s="471" customFormat="1" ht="15.75" thickBot="1">
      <c r="A72" s="553"/>
      <c r="B72" s="543"/>
      <c r="C72" s="560"/>
      <c r="D72" s="536"/>
      <c r="E72" s="536"/>
      <c r="F72" s="536"/>
      <c r="G72" s="536"/>
      <c r="H72" s="536"/>
      <c r="I72" s="536"/>
      <c r="J72" s="536"/>
      <c r="K72" s="536"/>
      <c r="L72" s="536"/>
      <c r="M72" s="537"/>
      <c r="N72" s="1148"/>
      <c r="O72" s="1148"/>
      <c r="P72" s="2568"/>
      <c r="Q72" s="559"/>
    </row>
    <row r="73" spans="1:17" s="471" customFormat="1" ht="15.75" thickTop="1">
      <c r="A73" s="553"/>
      <c r="B73" s="538">
        <f>B13</f>
        <v>0</v>
      </c>
      <c r="C73" s="554"/>
      <c r="D73" s="554"/>
      <c r="E73" s="554"/>
      <c r="F73" s="554"/>
      <c r="G73" s="554"/>
      <c r="H73" s="555"/>
      <c r="I73" s="555"/>
      <c r="J73" s="555"/>
      <c r="K73" s="555"/>
      <c r="L73" s="556"/>
      <c r="M73" s="557"/>
      <c r="N73" s="1149"/>
      <c r="O73" s="1149"/>
      <c r="P73" s="2569"/>
      <c r="Q73" s="561"/>
    </row>
    <row r="74" spans="1:17" s="471" customFormat="1" ht="15.75" thickBot="1">
      <c r="A74" s="553"/>
      <c r="B74" s="543"/>
      <c r="C74" s="560"/>
      <c r="D74" s="560"/>
      <c r="E74" s="560"/>
      <c r="F74" s="560"/>
      <c r="G74" s="560"/>
      <c r="H74" s="562"/>
      <c r="I74" s="562"/>
      <c r="J74" s="562"/>
      <c r="K74" s="562"/>
      <c r="L74" s="562"/>
      <c r="M74" s="563"/>
      <c r="N74" s="1149"/>
      <c r="O74" s="1149"/>
      <c r="P74" s="2568"/>
      <c r="Q74" s="559"/>
    </row>
    <row r="75" spans="1:17" s="471" customFormat="1" ht="15.75" thickTop="1">
      <c r="A75" s="553"/>
      <c r="B75" s="546">
        <f>B14</f>
        <v>0</v>
      </c>
      <c r="C75" s="523"/>
      <c r="D75" s="523"/>
      <c r="E75" s="523"/>
      <c r="F75" s="523"/>
      <c r="G75" s="523"/>
      <c r="H75" s="564"/>
      <c r="I75" s="564"/>
      <c r="J75" s="564"/>
      <c r="K75" s="564"/>
      <c r="L75" s="565"/>
      <c r="M75" s="566"/>
      <c r="N75" s="1149"/>
      <c r="O75" s="1149"/>
      <c r="P75" s="2570"/>
      <c r="Q75" s="559"/>
    </row>
    <row r="76" spans="1:17" s="471" customFormat="1" ht="15.75" thickBot="1">
      <c r="A76" s="568"/>
      <c r="B76" s="569"/>
      <c r="C76" s="570"/>
      <c r="D76" s="570"/>
      <c r="E76" s="570"/>
      <c r="F76" s="570"/>
      <c r="G76" s="570"/>
      <c r="H76" s="571"/>
      <c r="I76" s="571"/>
      <c r="J76" s="571"/>
      <c r="K76" s="571"/>
      <c r="L76" s="571"/>
      <c r="M76" s="572"/>
      <c r="N76" s="1149"/>
      <c r="O76" s="1149"/>
      <c r="P76" s="2568"/>
      <c r="Q76" s="559"/>
    </row>
    <row r="77" spans="1:17">
      <c r="A77" s="527" t="s">
        <v>2472</v>
      </c>
      <c r="B77" s="528" t="s">
        <v>2609</v>
      </c>
      <c r="C77" s="573" t="s">
        <v>2509</v>
      </c>
      <c r="D77" s="573" t="s">
        <v>2510</v>
      </c>
      <c r="E77" s="573" t="s">
        <v>2511</v>
      </c>
      <c r="F77" s="573" t="s">
        <v>2512</v>
      </c>
      <c r="G77" s="573" t="s">
        <v>2513</v>
      </c>
      <c r="H77" s="529"/>
      <c r="I77" s="529"/>
      <c r="J77" s="529"/>
      <c r="K77" s="574"/>
      <c r="L77" s="575"/>
      <c r="M77" s="576"/>
      <c r="N77" s="1147"/>
      <c r="O77" s="1147"/>
      <c r="P77" s="257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567"/>
      <c r="Q78" s="504"/>
    </row>
    <row r="79" spans="1:17" ht="15.75" thickTop="1">
      <c r="A79" s="534"/>
      <c r="B79" s="538" t="s">
        <v>2514</v>
      </c>
      <c r="C79" s="578" t="s">
        <v>2509</v>
      </c>
      <c r="D79" s="578" t="s">
        <v>2510</v>
      </c>
      <c r="E79" s="578" t="s">
        <v>2511</v>
      </c>
      <c r="F79" s="578" t="s">
        <v>2512</v>
      </c>
      <c r="G79" s="578" t="s">
        <v>2513</v>
      </c>
      <c r="H79" s="539"/>
      <c r="I79" s="539"/>
      <c r="J79" s="539"/>
      <c r="K79" s="540"/>
      <c r="L79" s="541"/>
      <c r="M79" s="542"/>
      <c r="N79" s="1147"/>
      <c r="O79" s="1147"/>
      <c r="P79" s="256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567"/>
      <c r="Q80" s="504"/>
    </row>
    <row r="81" spans="1:17" ht="15.75" thickTop="1">
      <c r="A81" s="534"/>
      <c r="B81" s="538" t="s">
        <v>2515</v>
      </c>
      <c r="C81" s="578" t="s">
        <v>2509</v>
      </c>
      <c r="D81" s="578" t="s">
        <v>2510</v>
      </c>
      <c r="E81" s="578" t="s">
        <v>2511</v>
      </c>
      <c r="F81" s="578" t="s">
        <v>2512</v>
      </c>
      <c r="G81" s="578" t="s">
        <v>2513</v>
      </c>
      <c r="H81" s="539"/>
      <c r="I81" s="539"/>
      <c r="J81" s="539"/>
      <c r="K81" s="540"/>
      <c r="L81" s="541"/>
      <c r="M81" s="542"/>
      <c r="N81" s="1147"/>
      <c r="O81" s="1147"/>
      <c r="P81" s="256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567"/>
      <c r="Q82" s="504"/>
    </row>
    <row r="83" spans="1:17" ht="15.75" thickTop="1">
      <c r="A83" s="534"/>
      <c r="B83" s="546" t="s">
        <v>2601</v>
      </c>
      <c r="C83" s="659" t="s">
        <v>2587</v>
      </c>
      <c r="D83" s="659" t="s">
        <v>2588</v>
      </c>
      <c r="E83" s="659" t="s">
        <v>2589</v>
      </c>
      <c r="F83" s="659" t="s">
        <v>2590</v>
      </c>
      <c r="G83" s="659" t="s">
        <v>2591</v>
      </c>
      <c r="H83" s="539"/>
      <c r="I83" s="539"/>
      <c r="J83" s="539"/>
      <c r="K83" s="539"/>
      <c r="L83" s="539"/>
      <c r="M83" s="1369"/>
      <c r="N83" s="1148"/>
      <c r="O83" s="1148"/>
      <c r="P83" s="2567"/>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8"/>
      <c r="O84" s="1148"/>
      <c r="P84" s="2567"/>
      <c r="Q84" s="504"/>
    </row>
    <row r="85" spans="1:17" ht="15.75" thickTop="1">
      <c r="A85" s="534"/>
      <c r="B85" s="538" t="s">
        <v>2610</v>
      </c>
      <c r="C85" s="578" t="s">
        <v>2509</v>
      </c>
      <c r="D85" s="578" t="s">
        <v>2510</v>
      </c>
      <c r="E85" s="578" t="s">
        <v>2511</v>
      </c>
      <c r="F85" s="578" t="s">
        <v>2512</v>
      </c>
      <c r="G85" s="578" t="s">
        <v>2513</v>
      </c>
      <c r="H85" s="539"/>
      <c r="I85" s="539"/>
      <c r="J85" s="539"/>
      <c r="K85" s="540"/>
      <c r="L85" s="541"/>
      <c r="M85" s="542"/>
      <c r="N85" s="1147"/>
      <c r="O85" s="1147"/>
      <c r="P85" s="256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567"/>
      <c r="Q86" s="504"/>
    </row>
    <row r="87" spans="1:17" s="117" customFormat="1" ht="27.75" thickTop="1">
      <c r="A87" s="579"/>
      <c r="B87" s="538" t="s">
        <v>2611</v>
      </c>
      <c r="C87" s="554"/>
      <c r="D87" s="554"/>
      <c r="E87" s="554"/>
      <c r="F87" s="554"/>
      <c r="G87" s="554"/>
      <c r="H87" s="554"/>
      <c r="I87" s="554"/>
      <c r="J87" s="554"/>
      <c r="K87" s="554"/>
      <c r="L87" s="580"/>
      <c r="M87" s="581"/>
      <c r="N87" s="1146"/>
      <c r="O87" s="1146"/>
      <c r="P87" s="256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567"/>
      <c r="Q88" s="504"/>
    </row>
    <row r="89" spans="1:17" s="117" customFormat="1" ht="15.75" thickTop="1">
      <c r="A89" s="579"/>
      <c r="B89" s="538" t="str">
        <f>B27</f>
        <v>楼层</v>
      </c>
      <c r="C89" s="554"/>
      <c r="D89" s="554"/>
      <c r="E89" s="554"/>
      <c r="F89" s="2518"/>
      <c r="G89" s="554"/>
      <c r="H89" s="554"/>
      <c r="I89" s="554"/>
      <c r="J89" s="554"/>
      <c r="K89" s="554"/>
      <c r="L89" s="554"/>
      <c r="M89" s="581"/>
      <c r="N89" s="1146"/>
      <c r="O89" s="1146"/>
      <c r="P89" s="256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567"/>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56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568"/>
      <c r="Q92" s="559"/>
    </row>
    <row r="93" spans="1:17" ht="15.75" thickTop="1">
      <c r="A93" s="534"/>
      <c r="B93" s="538">
        <f>B29</f>
        <v>111</v>
      </c>
      <c r="C93" s="554"/>
      <c r="D93" s="554"/>
      <c r="E93" s="554"/>
      <c r="F93" s="554"/>
      <c r="G93" s="554"/>
      <c r="H93" s="554"/>
      <c r="I93" s="554"/>
      <c r="J93" s="554"/>
      <c r="K93" s="554"/>
      <c r="L93" s="580"/>
      <c r="M93" s="581"/>
      <c r="N93" s="1147"/>
      <c r="O93" s="1147"/>
      <c r="P93" s="2567"/>
      <c r="Q93" s="504"/>
    </row>
    <row r="94" spans="1:17" ht="15.75" thickBot="1">
      <c r="A94" s="534"/>
      <c r="B94" s="543"/>
      <c r="C94" s="560"/>
      <c r="D94" s="536"/>
      <c r="E94" s="536"/>
      <c r="F94" s="536"/>
      <c r="G94" s="536"/>
      <c r="H94" s="536"/>
      <c r="I94" s="536"/>
      <c r="J94" s="536"/>
      <c r="K94" s="536"/>
      <c r="L94" s="536"/>
      <c r="M94" s="537"/>
      <c r="N94" s="1148"/>
      <c r="O94" s="1148"/>
      <c r="P94" s="2567"/>
      <c r="Q94" s="504"/>
    </row>
    <row r="95" spans="1:17" ht="15.75" thickTop="1">
      <c r="A95" s="534"/>
      <c r="B95" s="538">
        <f>B30</f>
        <v>111</v>
      </c>
      <c r="C95" s="554"/>
      <c r="D95" s="554"/>
      <c r="E95" s="554"/>
      <c r="F95" s="554"/>
      <c r="G95" s="583"/>
      <c r="H95" s="583"/>
      <c r="I95" s="583"/>
      <c r="J95" s="583"/>
      <c r="K95" s="584"/>
      <c r="L95" s="585"/>
      <c r="M95" s="586"/>
      <c r="N95" s="1147"/>
      <c r="O95" s="1147"/>
      <c r="P95" s="2567"/>
      <c r="Q95" s="504"/>
    </row>
    <row r="96" spans="1:17" ht="15.75" thickBot="1">
      <c r="A96" s="534"/>
      <c r="B96" s="543"/>
      <c r="C96" s="560"/>
      <c r="D96" s="560"/>
      <c r="E96" s="560"/>
      <c r="F96" s="560"/>
      <c r="G96" s="536"/>
      <c r="H96" s="536"/>
      <c r="I96" s="536"/>
      <c r="J96" s="536"/>
      <c r="K96" s="536"/>
      <c r="L96" s="536"/>
      <c r="M96" s="537"/>
      <c r="N96" s="1148"/>
      <c r="O96" s="1148"/>
      <c r="P96" s="2567"/>
      <c r="Q96" s="504"/>
    </row>
    <row r="97" spans="1:17" ht="15.75" thickTop="1">
      <c r="A97" s="534"/>
      <c r="B97" s="538">
        <f>B31</f>
        <v>111</v>
      </c>
      <c r="C97" s="554"/>
      <c r="D97" s="554"/>
      <c r="E97" s="554"/>
      <c r="F97" s="554"/>
      <c r="G97" s="583"/>
      <c r="H97" s="583"/>
      <c r="I97" s="583"/>
      <c r="J97" s="583"/>
      <c r="K97" s="584"/>
      <c r="L97" s="585"/>
      <c r="M97" s="586"/>
      <c r="N97" s="1147"/>
      <c r="O97" s="1147"/>
      <c r="P97" s="2567"/>
      <c r="Q97" s="504"/>
    </row>
    <row r="98" spans="1:17" ht="15.75" thickBot="1">
      <c r="A98" s="534"/>
      <c r="B98" s="543"/>
      <c r="C98" s="560"/>
      <c r="D98" s="536"/>
      <c r="E98" s="536"/>
      <c r="F98" s="536"/>
      <c r="G98" s="536"/>
      <c r="H98" s="536"/>
      <c r="I98" s="536"/>
      <c r="J98" s="536"/>
      <c r="K98" s="536"/>
      <c r="L98" s="536"/>
      <c r="M98" s="537"/>
      <c r="N98" s="1148"/>
      <c r="O98" s="1148"/>
      <c r="P98" s="2567"/>
      <c r="Q98" s="504"/>
    </row>
    <row r="99" spans="1:17" ht="15.75" thickTop="1">
      <c r="A99" s="534"/>
      <c r="B99" s="546">
        <f>B32</f>
        <v>111</v>
      </c>
      <c r="C99" s="523"/>
      <c r="D99" s="523"/>
      <c r="E99" s="523"/>
      <c r="F99" s="523"/>
      <c r="G99" s="587"/>
      <c r="H99" s="587"/>
      <c r="I99" s="587"/>
      <c r="J99" s="587"/>
      <c r="K99" s="588"/>
      <c r="L99" s="589"/>
      <c r="M99" s="590"/>
      <c r="N99" s="1147"/>
      <c r="O99" s="1147"/>
      <c r="P99" s="2567"/>
      <c r="Q99" s="504"/>
    </row>
    <row r="100" spans="1:17" ht="15.75" thickBot="1">
      <c r="A100" s="2519"/>
      <c r="B100" s="569"/>
      <c r="C100" s="570"/>
      <c r="D100" s="570"/>
      <c r="E100" s="570"/>
      <c r="F100" s="570"/>
      <c r="G100" s="591"/>
      <c r="H100" s="591"/>
      <c r="I100" s="591"/>
      <c r="J100" s="591"/>
      <c r="K100" s="591"/>
      <c r="L100" s="591"/>
      <c r="M100" s="592"/>
      <c r="N100" s="1148"/>
      <c r="O100" s="1148"/>
      <c r="P100" s="2567"/>
      <c r="Q100" s="504"/>
    </row>
    <row r="101" spans="1:17">
      <c r="A101" s="527" t="s">
        <v>2476</v>
      </c>
      <c r="B101" s="528" t="s">
        <v>2524</v>
      </c>
      <c r="C101" s="530"/>
      <c r="D101" s="530"/>
      <c r="E101" s="530"/>
      <c r="F101" s="530"/>
      <c r="G101" s="530"/>
      <c r="H101" s="530"/>
      <c r="I101" s="530"/>
      <c r="J101" s="530"/>
      <c r="K101" s="531"/>
      <c r="L101" s="532"/>
      <c r="M101" s="533"/>
      <c r="N101" s="1147"/>
      <c r="O101" s="1147"/>
      <c r="P101" s="256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567"/>
      <c r="Q102" s="504"/>
    </row>
    <row r="103" spans="1:17" ht="15.75" thickTop="1">
      <c r="A103" s="534"/>
      <c r="B103" s="538" t="s">
        <v>2525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6"/>
      <c r="O103" s="1146"/>
      <c r="P103" s="2567"/>
      <c r="Q103" s="504"/>
    </row>
    <row r="104" spans="1:17" s="471" customFormat="1">
      <c r="A104" s="593"/>
      <c r="B104" s="594"/>
      <c r="C104" s="595"/>
      <c r="D104" s="595"/>
      <c r="E104" s="595"/>
      <c r="F104" s="595"/>
      <c r="G104" s="595"/>
      <c r="H104" s="595"/>
      <c r="I104" s="595"/>
      <c r="J104" s="596"/>
      <c r="K104" s="596"/>
      <c r="L104" s="597"/>
      <c r="M104" s="598"/>
      <c r="N104" s="1149"/>
      <c r="O104" s="1149"/>
      <c r="P104" s="2568"/>
      <c r="Q104" s="559"/>
    </row>
    <row r="105" spans="1:17" s="471" customFormat="1" ht="15.75" thickBot="1">
      <c r="A105" s="553"/>
      <c r="B105" s="543"/>
      <c r="C105" s="560"/>
      <c r="D105" s="536"/>
      <c r="E105" s="536"/>
      <c r="F105" s="536"/>
      <c r="G105" s="536"/>
      <c r="H105" s="536"/>
      <c r="I105" s="536"/>
      <c r="J105" s="536"/>
      <c r="K105" s="536"/>
      <c r="L105" s="536"/>
      <c r="M105" s="537"/>
      <c r="N105" s="1148"/>
      <c r="O105" s="1148"/>
      <c r="P105" s="2568"/>
      <c r="Q105" s="559"/>
    </row>
    <row r="106" spans="1:17" ht="15" thickTop="1">
      <c r="A106" s="599"/>
      <c r="B106" s="538" t="s">
        <v>2526</v>
      </c>
      <c r="C106" s="554"/>
      <c r="D106" s="554"/>
      <c r="E106" s="583"/>
      <c r="F106" s="583"/>
      <c r="G106" s="583"/>
      <c r="H106" s="583"/>
      <c r="I106" s="583"/>
      <c r="J106" s="583"/>
      <c r="K106" s="584"/>
      <c r="L106" s="585"/>
      <c r="M106" s="586"/>
      <c r="N106" s="1147"/>
      <c r="O106" s="1147"/>
      <c r="P106" s="256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567"/>
      <c r="Q107" s="504"/>
    </row>
    <row r="108" spans="1:17" ht="15" thickTop="1">
      <c r="A108" s="599"/>
      <c r="B108" s="538" t="s">
        <v>2528</v>
      </c>
      <c r="C108" s="554"/>
      <c r="D108" s="554"/>
      <c r="E108" s="554"/>
      <c r="F108" s="583"/>
      <c r="G108" s="583"/>
      <c r="H108" s="583"/>
      <c r="I108" s="583"/>
      <c r="J108" s="583"/>
      <c r="K108" s="584"/>
      <c r="L108" s="585"/>
      <c r="M108" s="586"/>
      <c r="N108" s="1147"/>
      <c r="O108" s="1147"/>
      <c r="P108" s="256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567"/>
      <c r="Q109" s="504"/>
    </row>
    <row r="110" spans="1:17" ht="15" thickTop="1">
      <c r="A110" s="599"/>
      <c r="B110" s="538" t="s">
        <v>1916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567"/>
      <c r="Q110" s="504"/>
    </row>
    <row r="111" spans="1:17">
      <c r="A111" s="599"/>
      <c r="B111" s="546"/>
      <c r="C111" s="603">
        <v>0.5</v>
      </c>
      <c r="D111" s="603">
        <v>0.6</v>
      </c>
      <c r="E111" s="603">
        <v>0.7</v>
      </c>
      <c r="F111" s="603">
        <v>0.8</v>
      </c>
      <c r="G111" s="603">
        <v>0.9</v>
      </c>
      <c r="H111" s="603">
        <v>1.0001</v>
      </c>
      <c r="I111" s="622"/>
      <c r="J111" s="622"/>
      <c r="K111" s="623"/>
      <c r="L111" s="624"/>
      <c r="M111" s="625"/>
      <c r="N111" s="1147"/>
      <c r="O111" s="1147"/>
      <c r="P111" s="256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567"/>
      <c r="Q112" s="504"/>
    </row>
    <row r="113" spans="1:17" s="471" customFormat="1" ht="15" thickTop="1">
      <c r="A113" s="593"/>
      <c r="B113" s="538" t="s">
        <v>2612</v>
      </c>
      <c r="C113" s="554"/>
      <c r="D113" s="554"/>
      <c r="E113" s="554"/>
      <c r="F113" s="554"/>
      <c r="G113" s="554"/>
      <c r="H113" s="583"/>
      <c r="I113" s="583"/>
      <c r="J113" s="583"/>
      <c r="K113" s="584"/>
      <c r="L113" s="585"/>
      <c r="M113" s="586"/>
      <c r="N113" s="1149"/>
      <c r="O113" s="1149"/>
      <c r="P113" s="256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568"/>
      <c r="Q114" s="559"/>
    </row>
    <row r="115" spans="1:17" ht="15" thickTop="1">
      <c r="A115" s="599"/>
      <c r="B115" s="538" t="s">
        <v>2529</v>
      </c>
      <c r="C115" s="554"/>
      <c r="D115" s="554"/>
      <c r="E115" s="583"/>
      <c r="F115" s="583"/>
      <c r="G115" s="583"/>
      <c r="H115" s="583"/>
      <c r="I115" s="583"/>
      <c r="J115" s="583"/>
      <c r="K115" s="584"/>
      <c r="L115" s="585"/>
      <c r="M115" s="586"/>
      <c r="N115" s="1147"/>
      <c r="O115" s="1147"/>
      <c r="P115" s="256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567"/>
      <c r="Q116" s="504"/>
    </row>
    <row r="117" spans="1:17" ht="15" thickTop="1">
      <c r="A117" s="599"/>
      <c r="B117" s="538" t="s">
        <v>2530</v>
      </c>
      <c r="C117" s="554"/>
      <c r="D117" s="554"/>
      <c r="E117" s="554"/>
      <c r="F117" s="554"/>
      <c r="G117" s="554"/>
      <c r="H117" s="583"/>
      <c r="I117" s="583"/>
      <c r="J117" s="583"/>
      <c r="K117" s="584"/>
      <c r="L117" s="585"/>
      <c r="M117" s="586"/>
      <c r="N117" s="1147"/>
      <c r="O117" s="1147"/>
      <c r="P117" s="256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567"/>
      <c r="Q118" s="504"/>
    </row>
    <row r="119" spans="1:17" ht="15" thickTop="1">
      <c r="A119" s="599"/>
      <c r="B119" s="635" t="s">
        <v>2613</v>
      </c>
      <c r="C119" s="583"/>
      <c r="D119" s="583"/>
      <c r="E119" s="583"/>
      <c r="F119" s="583"/>
      <c r="G119" s="583"/>
      <c r="H119" s="583"/>
      <c r="I119" s="583"/>
      <c r="J119" s="583"/>
      <c r="K119" s="583"/>
      <c r="L119" s="2572"/>
      <c r="M119" s="2573"/>
      <c r="N119" s="1148"/>
      <c r="O119" s="1148"/>
      <c r="P119" s="2574"/>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567"/>
      <c r="Q120" s="504"/>
    </row>
    <row r="121" spans="1:17" s="471" customFormat="1" ht="15" thickTop="1">
      <c r="A121" s="593"/>
      <c r="B121" s="538" t="s">
        <v>2596</v>
      </c>
      <c r="C121" s="554"/>
      <c r="D121" s="554"/>
      <c r="E121" s="554"/>
      <c r="F121" s="583"/>
      <c r="G121" s="555"/>
      <c r="H121" s="555"/>
      <c r="I121" s="555"/>
      <c r="J121" s="555"/>
      <c r="K121" s="555"/>
      <c r="L121" s="556"/>
      <c r="M121" s="557"/>
      <c r="N121" s="1149"/>
      <c r="O121" s="1149"/>
      <c r="P121" s="2568"/>
      <c r="Q121" s="559"/>
    </row>
    <row r="122" spans="1:17" s="471" customFormat="1" ht="15.75" thickBot="1">
      <c r="A122" s="553"/>
      <c r="B122" s="535"/>
      <c r="C122" s="560"/>
      <c r="D122" s="560"/>
      <c r="E122" s="560"/>
      <c r="F122" s="560"/>
      <c r="G122" s="560"/>
      <c r="H122" s="560"/>
      <c r="I122" s="560"/>
      <c r="J122" s="560"/>
      <c r="K122" s="560"/>
      <c r="L122" s="560"/>
      <c r="M122" s="560"/>
      <c r="N122" s="1149"/>
      <c r="O122" s="1149"/>
      <c r="P122" s="2568"/>
      <c r="Q122" s="559"/>
    </row>
    <row r="123" spans="1:17" ht="15" thickTop="1">
      <c r="A123" s="599"/>
      <c r="B123" s="538" t="s">
        <v>2532</v>
      </c>
      <c r="C123" s="554"/>
      <c r="D123" s="554"/>
      <c r="E123" s="554"/>
      <c r="F123" s="583"/>
      <c r="G123" s="583"/>
      <c r="H123" s="583"/>
      <c r="I123" s="583"/>
      <c r="J123" s="583"/>
      <c r="K123" s="584"/>
      <c r="L123" s="585"/>
      <c r="M123" s="586"/>
      <c r="N123" s="1147"/>
      <c r="O123" s="1147"/>
      <c r="P123" s="256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567"/>
      <c r="Q124" s="504"/>
    </row>
    <row r="125" spans="1:17" ht="15" thickTop="1">
      <c r="A125" s="599"/>
      <c r="B125" s="538" t="s">
        <v>2533</v>
      </c>
      <c r="C125" s="578" t="s">
        <v>2509</v>
      </c>
      <c r="D125" s="578" t="s">
        <v>2510</v>
      </c>
      <c r="E125" s="578" t="s">
        <v>2511</v>
      </c>
      <c r="F125" s="578" t="s">
        <v>2512</v>
      </c>
      <c r="G125" s="578" t="s">
        <v>2513</v>
      </c>
      <c r="H125" s="539"/>
      <c r="I125" s="539"/>
      <c r="J125" s="539"/>
      <c r="K125" s="540"/>
      <c r="L125" s="541"/>
      <c r="M125" s="542"/>
      <c r="N125" s="1147"/>
      <c r="O125" s="1147"/>
      <c r="P125" s="256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567"/>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568"/>
      <c r="Q127" s="559"/>
    </row>
    <row r="128" spans="1:17" s="471" customFormat="1" ht="15.75" thickBot="1">
      <c r="A128" s="553"/>
      <c r="B128" s="543"/>
      <c r="C128" s="560"/>
      <c r="D128" s="536"/>
      <c r="E128" s="536"/>
      <c r="F128" s="536"/>
      <c r="G128" s="560"/>
      <c r="H128" s="562"/>
      <c r="I128" s="562"/>
      <c r="J128" s="562"/>
      <c r="K128" s="562"/>
      <c r="L128" s="562"/>
      <c r="M128" s="563"/>
      <c r="N128" s="1149"/>
      <c r="O128" s="1149"/>
      <c r="P128" s="2568"/>
      <c r="Q128" s="559"/>
    </row>
    <row r="129" spans="1:17" ht="15" thickTop="1">
      <c r="A129" s="599"/>
      <c r="B129" s="538">
        <f>B46</f>
        <v>111</v>
      </c>
      <c r="C129" s="554"/>
      <c r="D129" s="554"/>
      <c r="E129" s="554"/>
      <c r="F129" s="554"/>
      <c r="G129" s="583"/>
      <c r="H129" s="583"/>
      <c r="I129" s="583"/>
      <c r="J129" s="583"/>
      <c r="K129" s="584"/>
      <c r="L129" s="585"/>
      <c r="M129" s="586"/>
      <c r="N129" s="1147"/>
      <c r="O129" s="1147"/>
      <c r="P129" s="2567"/>
      <c r="Q129" s="504"/>
    </row>
    <row r="130" spans="1:17" ht="15.75" thickBot="1">
      <c r="A130" s="534"/>
      <c r="B130" s="543"/>
      <c r="C130" s="560"/>
      <c r="D130" s="560"/>
      <c r="E130" s="560"/>
      <c r="F130" s="560"/>
      <c r="G130" s="536"/>
      <c r="H130" s="536"/>
      <c r="I130" s="536"/>
      <c r="J130" s="536"/>
      <c r="K130" s="536"/>
      <c r="L130" s="536"/>
      <c r="M130" s="537"/>
      <c r="N130" s="1148"/>
      <c r="O130" s="1148"/>
      <c r="P130" s="2567"/>
      <c r="Q130" s="504"/>
    </row>
    <row r="131" spans="1:17" ht="15" thickTop="1">
      <c r="A131" s="599"/>
      <c r="B131" s="546">
        <f>B47</f>
        <v>111</v>
      </c>
      <c r="C131" s="523"/>
      <c r="D131" s="523"/>
      <c r="E131" s="523"/>
      <c r="F131" s="523"/>
      <c r="G131" s="587"/>
      <c r="H131" s="587"/>
      <c r="I131" s="587"/>
      <c r="J131" s="587"/>
      <c r="K131" s="523"/>
      <c r="L131" s="524"/>
      <c r="M131" s="590"/>
      <c r="N131" s="1147"/>
      <c r="O131" s="1147"/>
      <c r="P131" s="2567"/>
      <c r="Q131" s="504"/>
    </row>
    <row r="132" spans="1:17" ht="15.75" thickBot="1">
      <c r="A132" s="2519"/>
      <c r="B132" s="569"/>
      <c r="C132" s="570"/>
      <c r="D132" s="570"/>
      <c r="E132" s="570"/>
      <c r="F132" s="570"/>
      <c r="G132" s="591"/>
      <c r="H132" s="591"/>
      <c r="I132" s="591"/>
      <c r="J132" s="591"/>
      <c r="K132" s="591"/>
      <c r="L132" s="591"/>
      <c r="M132" s="592"/>
      <c r="N132" s="1148"/>
      <c r="O132" s="1148"/>
      <c r="P132" s="256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5" customFormat="1" ht="28.5" customHeight="1" thickBot="1">
      <c r="A1" s="1604" t="s">
        <v>2441</v>
      </c>
      <c r="B1" s="2552" t="s">
        <v>2614</v>
      </c>
      <c r="C1" s="1606" t="s">
        <v>2443</v>
      </c>
      <c r="D1" s="1607"/>
      <c r="E1" s="1616"/>
      <c r="F1" s="2469"/>
      <c r="G1" s="1617" t="s">
        <v>2555</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8" customFormat="1" ht="28.5" customHeight="1" thickTop="1">
      <c r="A2" s="1603" t="s">
        <v>2240</v>
      </c>
      <c r="B2" s="1405" t="e">
        <f ca="1">IF(C2="——",ROUND(C43*D3/10000,0),ROUND(C43*D3/10000,0)-D2)</f>
        <v>#DIV/0!</v>
      </c>
      <c r="C2" s="2471"/>
      <c r="D2" s="1119" t="e">
        <f ca="1">SUMIF(INDIRECT("'"&amp;F2&amp;"'"&amp;"!A:A"),"承租人权益价值",INDIRECT("'"&amp;F2&amp;"'"&amp;"!c:c"))</f>
        <v>#REF!</v>
      </c>
      <c r="E2" s="2472" t="s">
        <v>2241</v>
      </c>
      <c r="F2" s="2473"/>
      <c r="G2" s="1120"/>
      <c r="H2" s="1120"/>
      <c r="I2" s="1120"/>
      <c r="J2" s="1120"/>
      <c r="K2" s="1120"/>
      <c r="L2" s="1123"/>
      <c r="M2" s="1124"/>
      <c r="N2" s="1124"/>
      <c r="O2" s="1124"/>
      <c r="P2" s="767"/>
      <c r="Q2" s="767"/>
      <c r="R2" s="767"/>
      <c r="S2" s="767"/>
      <c r="T2" s="767"/>
      <c r="U2" s="767"/>
      <c r="V2" s="767"/>
      <c r="W2" s="767"/>
      <c r="X2" s="767"/>
      <c r="Y2" s="767"/>
      <c r="Z2" s="767"/>
      <c r="AA2" s="767"/>
      <c r="AB2" s="767"/>
      <c r="AC2" s="781"/>
    </row>
    <row r="3" spans="1:29" s="398" customFormat="1" ht="28.5" customHeight="1" thickBot="1">
      <c r="A3" s="247" t="s">
        <v>2242</v>
      </c>
      <c r="B3" s="609" t="e">
        <f ca="1">IF(C2="——",C43,ROUND(B2*10000/D3,0))</f>
        <v>#DIV/0!</v>
      </c>
      <c r="C3" s="400" t="s">
        <v>2556</v>
      </c>
      <c r="D3" s="399">
        <f>IF(D1="",'数据-汇总表'!E3,SUMIF('数据-汇总表'!$C19:$C33,D1,'数据-汇总表'!$E19:$E33))</f>
        <v>26965.789999999986</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1" t="s">
        <v>2557</v>
      </c>
      <c r="B4" s="402"/>
      <c r="C4" s="3280" t="s">
        <v>2558</v>
      </c>
      <c r="D4" s="3281"/>
      <c r="E4" s="3282" t="s">
        <v>2559</v>
      </c>
      <c r="F4" s="3283"/>
      <c r="G4" s="3280" t="s">
        <v>2560</v>
      </c>
      <c r="H4" s="3281"/>
      <c r="I4" s="3280" t="s">
        <v>2561</v>
      </c>
      <c r="J4" s="3281"/>
      <c r="K4" s="610" t="s">
        <v>2562</v>
      </c>
      <c r="L4" s="1125"/>
      <c r="M4" s="1126"/>
      <c r="N4" s="1126"/>
      <c r="O4" s="1126"/>
      <c r="P4" s="3284" t="s">
        <v>2563</v>
      </c>
      <c r="Q4" s="3285"/>
      <c r="R4" s="3290" t="s">
        <v>2559</v>
      </c>
      <c r="S4" s="3291"/>
      <c r="T4" s="3290" t="s">
        <v>2560</v>
      </c>
      <c r="U4" s="3291"/>
      <c r="V4" s="3296" t="s">
        <v>2561</v>
      </c>
      <c r="W4" s="3296"/>
      <c r="X4" s="1799"/>
      <c r="Y4" s="3290" t="s">
        <v>2563</v>
      </c>
      <c r="Z4" s="3291"/>
      <c r="AA4" s="3277" t="s">
        <v>2559</v>
      </c>
      <c r="AB4" s="3278" t="s">
        <v>2560</v>
      </c>
      <c r="AC4" s="3277" t="s">
        <v>2561</v>
      </c>
    </row>
    <row r="5" spans="1:29" ht="15">
      <c r="A5" s="404"/>
      <c r="B5" s="405"/>
      <c r="C5" s="3304" t="s">
        <v>2455</v>
      </c>
      <c r="D5" s="3300"/>
      <c r="E5" s="3356" t="s">
        <v>2456</v>
      </c>
      <c r="F5" s="3306"/>
      <c r="G5" s="3304" t="s">
        <v>2457</v>
      </c>
      <c r="H5" s="3300"/>
      <c r="I5" s="3304" t="s">
        <v>2458</v>
      </c>
      <c r="J5" s="3300"/>
      <c r="K5" s="610"/>
      <c r="L5" s="1125"/>
      <c r="M5" s="1126"/>
      <c r="N5" s="1126"/>
      <c r="O5" s="1126"/>
      <c r="P5" s="3286"/>
      <c r="Q5" s="3287"/>
      <c r="R5" s="3292"/>
      <c r="S5" s="3293"/>
      <c r="T5" s="3292"/>
      <c r="U5" s="3293"/>
      <c r="V5" s="3296"/>
      <c r="W5" s="3296"/>
      <c r="X5" s="1799"/>
      <c r="Y5" s="3292"/>
      <c r="Z5" s="3293"/>
      <c r="AA5" s="3278"/>
      <c r="AB5" s="3278"/>
      <c r="AC5" s="3278"/>
    </row>
    <row r="6" spans="1:29" ht="15.75" thickBot="1">
      <c r="A6" s="406"/>
      <c r="B6" s="407"/>
      <c r="C6" s="3338" t="s">
        <v>2459</v>
      </c>
      <c r="D6" s="3298"/>
      <c r="E6" s="3339" t="s">
        <v>2459</v>
      </c>
      <c r="F6" s="3340"/>
      <c r="G6" s="3338" t="s">
        <v>2459</v>
      </c>
      <c r="H6" s="3298"/>
      <c r="I6" s="3338" t="s">
        <v>2459</v>
      </c>
      <c r="J6" s="3298"/>
      <c r="K6" s="610" t="s">
        <v>2460</v>
      </c>
      <c r="L6" s="1125"/>
      <c r="M6" s="1126"/>
      <c r="N6" s="1126"/>
      <c r="O6" s="1126"/>
      <c r="P6" s="3288"/>
      <c r="Q6" s="3289"/>
      <c r="R6" s="3292"/>
      <c r="S6" s="3293"/>
      <c r="T6" s="3294"/>
      <c r="U6" s="3295"/>
      <c r="V6" s="3296"/>
      <c r="W6" s="3296"/>
      <c r="X6" s="1799"/>
      <c r="Y6" s="3294"/>
      <c r="Z6" s="3295"/>
      <c r="AA6" s="3279"/>
      <c r="AB6" s="3279"/>
      <c r="AC6" s="3279"/>
    </row>
    <row r="7" spans="1:29" s="117" customFormat="1" ht="15.75" thickBot="1">
      <c r="A7" s="408" t="s">
        <v>2461</v>
      </c>
      <c r="B7" s="409"/>
      <c r="C7" s="410">
        <f>'数据-取费表'!B2</f>
        <v>43161</v>
      </c>
      <c r="D7" s="411">
        <v>100</v>
      </c>
      <c r="E7" s="412"/>
      <c r="F7" s="413">
        <f>SUMIF(52:52,YEAR(E7)&amp;"-"&amp;MONTH(E7),53:53)</f>
        <v>0</v>
      </c>
      <c r="G7" s="412"/>
      <c r="H7" s="411">
        <f>SUMIF(52:52,YEAR(G7)&amp;"-"&amp;MONTH(G7),53:53)</f>
        <v>0</v>
      </c>
      <c r="I7" s="412"/>
      <c r="J7" s="411">
        <f>SUMIF(52:52,YEAR(I7)&amp;"-"&amp;MONTH(I7),53:53)</f>
        <v>0</v>
      </c>
      <c r="K7" s="611"/>
      <c r="L7" s="1127"/>
      <c r="M7" s="1128"/>
      <c r="N7" s="1128"/>
      <c r="O7" s="1128"/>
      <c r="P7" s="3301" t="s">
        <v>2462</v>
      </c>
      <c r="Q7" s="3303"/>
      <c r="R7" s="769" t="s">
        <v>17</v>
      </c>
      <c r="S7" s="770">
        <f t="shared" ref="S7:S15" si="0">F7</f>
        <v>0</v>
      </c>
      <c r="T7" s="769" t="s">
        <v>17</v>
      </c>
      <c r="U7" s="770">
        <f t="shared" ref="U7:U15" si="1">H7</f>
        <v>0</v>
      </c>
      <c r="V7" s="769" t="s">
        <v>17</v>
      </c>
      <c r="W7" s="770">
        <f t="shared" ref="W7:W15" si="2">J7</f>
        <v>0</v>
      </c>
      <c r="X7" s="771"/>
      <c r="Y7" s="3301" t="s">
        <v>2462</v>
      </c>
      <c r="Z7" s="3302"/>
      <c r="AA7" s="772" t="e">
        <f>D7/F7</f>
        <v>#DIV/0!</v>
      </c>
      <c r="AB7" s="772" t="e">
        <f>D7/H7</f>
        <v>#DIV/0!</v>
      </c>
      <c r="AC7" s="772" t="e">
        <f>D7/J7</f>
        <v>#DIV/0!</v>
      </c>
    </row>
    <row r="8" spans="1:29" s="117" customFormat="1" ht="15.75" thickBot="1">
      <c r="A8" s="408" t="s">
        <v>2463</v>
      </c>
      <c r="B8" s="409"/>
      <c r="C8" s="414" t="s">
        <v>2464</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301" t="s">
        <v>2465</v>
      </c>
      <c r="Q8" s="3302"/>
      <c r="R8" s="769" t="s">
        <v>17</v>
      </c>
      <c r="S8" s="770">
        <f t="shared" si="0"/>
        <v>0</v>
      </c>
      <c r="T8" s="769" t="s">
        <v>17</v>
      </c>
      <c r="U8" s="770">
        <f t="shared" si="1"/>
        <v>0</v>
      </c>
      <c r="V8" s="769" t="s">
        <v>17</v>
      </c>
      <c r="W8" s="770">
        <f t="shared" si="2"/>
        <v>0</v>
      </c>
      <c r="X8" s="771"/>
      <c r="Y8" s="3301" t="s">
        <v>2465</v>
      </c>
      <c r="Z8" s="3302"/>
      <c r="AA8" s="772" t="e">
        <f t="shared" ref="AA8:AA40" si="3">D8/F8</f>
        <v>#DIV/0!</v>
      </c>
      <c r="AB8" s="772" t="e">
        <f t="shared" ref="AB8:AB40" si="4">D8/H8</f>
        <v>#DIV/0!</v>
      </c>
      <c r="AC8" s="772" t="e">
        <f t="shared" ref="AC8:AC40" si="5">D8/J8</f>
        <v>#DIV/0!</v>
      </c>
    </row>
    <row r="9" spans="1:29" s="117" customFormat="1">
      <c r="A9" s="415" t="s">
        <v>2466</v>
      </c>
      <c r="B9" s="71" t="s">
        <v>2467</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65" t="s">
        <v>2468</v>
      </c>
      <c r="Q9" s="1781" t="str">
        <f t="shared" ref="Q9:Q15" si="6">B9</f>
        <v>用途</v>
      </c>
      <c r="R9" s="769" t="s">
        <v>17</v>
      </c>
      <c r="S9" s="770">
        <f t="shared" si="0"/>
        <v>100</v>
      </c>
      <c r="T9" s="769" t="s">
        <v>17</v>
      </c>
      <c r="U9" s="770">
        <f t="shared" si="1"/>
        <v>100</v>
      </c>
      <c r="V9" s="769" t="s">
        <v>17</v>
      </c>
      <c r="W9" s="770">
        <f t="shared" si="2"/>
        <v>100</v>
      </c>
      <c r="X9" s="771"/>
      <c r="Y9" s="3142" t="s">
        <v>2469</v>
      </c>
      <c r="Z9" s="55" t="str">
        <f t="shared" ref="Z9:Z15" si="7">Q9</f>
        <v>用途</v>
      </c>
      <c r="AA9" s="772">
        <f t="shared" si="3"/>
        <v>1</v>
      </c>
      <c r="AB9" s="772">
        <f t="shared" si="4"/>
        <v>1</v>
      </c>
      <c r="AC9" s="772">
        <f t="shared" si="5"/>
        <v>1</v>
      </c>
    </row>
    <row r="10" spans="1:29" s="427" customFormat="1" ht="27">
      <c r="A10" s="421"/>
      <c r="B10" s="422" t="s">
        <v>2470</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65"/>
      <c r="Q10" s="1781" t="str">
        <f t="shared" si="6"/>
        <v>土地使用年限（年）</v>
      </c>
      <c r="R10" s="769" t="s">
        <v>17</v>
      </c>
      <c r="S10" s="770">
        <f t="shared" si="0"/>
        <v>100</v>
      </c>
      <c r="T10" s="769" t="s">
        <v>17</v>
      </c>
      <c r="U10" s="770">
        <f t="shared" si="1"/>
        <v>100</v>
      </c>
      <c r="V10" s="769" t="s">
        <v>17</v>
      </c>
      <c r="W10" s="770">
        <f t="shared" si="2"/>
        <v>100</v>
      </c>
      <c r="X10" s="771"/>
      <c r="Y10" s="3142"/>
      <c r="Z10" s="55" t="str">
        <f t="shared" si="7"/>
        <v>土地使用年限（年）</v>
      </c>
      <c r="AA10" s="772">
        <f t="shared" si="3"/>
        <v>1</v>
      </c>
      <c r="AB10" s="772">
        <f t="shared" si="4"/>
        <v>1</v>
      </c>
      <c r="AC10" s="772">
        <f t="shared" si="5"/>
        <v>1</v>
      </c>
    </row>
    <row r="11" spans="1:29" ht="15">
      <c r="A11" s="428"/>
      <c r="B11" s="422" t="s">
        <v>2471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65"/>
      <c r="Q11" s="1781" t="str">
        <f t="shared" si="6"/>
        <v>容积率</v>
      </c>
      <c r="R11" s="769" t="s">
        <v>17</v>
      </c>
      <c r="S11" s="770" t="e">
        <f t="shared" si="0"/>
        <v>#N/A</v>
      </c>
      <c r="T11" s="769" t="s">
        <v>17</v>
      </c>
      <c r="U11" s="770" t="e">
        <f t="shared" si="1"/>
        <v>#N/A</v>
      </c>
      <c r="V11" s="769" t="s">
        <v>17</v>
      </c>
      <c r="W11" s="770" t="e">
        <f t="shared" si="2"/>
        <v>#N/A</v>
      </c>
      <c r="X11" s="771"/>
      <c r="Y11" s="3142"/>
      <c r="Z11" s="55" t="str">
        <f t="shared" si="7"/>
        <v>容积率</v>
      </c>
      <c r="AA11" s="772" t="e">
        <f t="shared" si="3"/>
        <v>#N/A</v>
      </c>
      <c r="AB11" s="772" t="e">
        <f t="shared" si="4"/>
        <v>#N/A</v>
      </c>
      <c r="AC11" s="772" t="e">
        <f t="shared" si="5"/>
        <v>#N/A</v>
      </c>
    </row>
    <row r="12" spans="1:29" s="117" customFormat="1" ht="15">
      <c r="A12" s="431"/>
      <c r="B12" s="2485">
        <v>111</v>
      </c>
      <c r="C12" s="432"/>
      <c r="D12" s="433">
        <v>100</v>
      </c>
      <c r="E12" s="434"/>
      <c r="F12" s="136">
        <f>SUMIF(64:64,E12,65:65)-SUMIF(64:64,C12,65:65)+100</f>
        <v>100</v>
      </c>
      <c r="G12" s="2575"/>
      <c r="H12" s="136">
        <f>SUMIF(64:64,G12,65:65)-SUMIF(64:64,C12,65:65)+100</f>
        <v>100</v>
      </c>
      <c r="I12" s="469"/>
      <c r="J12" s="136">
        <f>SUMIF(64:64,I12,65:65)-SUMIF(64:64,C12,65:65)+100</f>
        <v>100</v>
      </c>
      <c r="K12" s="613"/>
      <c r="L12" s="1127"/>
      <c r="M12" s="1128"/>
      <c r="N12" s="1128"/>
      <c r="O12" s="1129"/>
      <c r="P12" s="3265"/>
      <c r="Q12" s="1781">
        <f t="shared" si="6"/>
        <v>111</v>
      </c>
      <c r="R12" s="769" t="s">
        <v>17</v>
      </c>
      <c r="S12" s="770">
        <f t="shared" si="0"/>
        <v>100</v>
      </c>
      <c r="T12" s="769" t="s">
        <v>17</v>
      </c>
      <c r="U12" s="770">
        <f t="shared" si="1"/>
        <v>100</v>
      </c>
      <c r="V12" s="769" t="s">
        <v>17</v>
      </c>
      <c r="W12" s="770">
        <f t="shared" si="2"/>
        <v>100</v>
      </c>
      <c r="X12" s="771"/>
      <c r="Y12" s="3142"/>
      <c r="Z12" s="55">
        <f t="shared" si="7"/>
        <v>111</v>
      </c>
      <c r="AA12" s="772">
        <f>D12/F12</f>
        <v>1</v>
      </c>
      <c r="AB12" s="772">
        <f>D12/H12</f>
        <v>1</v>
      </c>
      <c r="AC12" s="772">
        <f>D12/J12</f>
        <v>1</v>
      </c>
    </row>
    <row r="13" spans="1:29" ht="15">
      <c r="A13" s="428"/>
      <c r="B13" s="2485">
        <v>111</v>
      </c>
      <c r="C13" s="434"/>
      <c r="D13" s="435">
        <v>100</v>
      </c>
      <c r="E13" s="434"/>
      <c r="F13" s="136">
        <f>SUMIF(66:66,E13,67:67)-SUMIF(66:66,C13,67:67)+100</f>
        <v>100</v>
      </c>
      <c r="G13" s="2575"/>
      <c r="H13" s="435">
        <f>SUMIF(66:66,G13,67:67)-SUMIF(66:66,C13,67:67)+100</f>
        <v>100</v>
      </c>
      <c r="I13" s="469"/>
      <c r="J13" s="435">
        <f>SUMIF(66:66,I13,67:67)-SUMIF(66:66,C13,67:67)+100</f>
        <v>100</v>
      </c>
      <c r="K13" s="613"/>
      <c r="L13" s="1135"/>
      <c r="M13" s="1126"/>
      <c r="N13" s="1126"/>
      <c r="O13" s="1134"/>
      <c r="P13" s="3265"/>
      <c r="Q13" s="1781">
        <f t="shared" si="6"/>
        <v>111</v>
      </c>
      <c r="R13" s="769" t="s">
        <v>17</v>
      </c>
      <c r="S13" s="770">
        <f t="shared" si="0"/>
        <v>100</v>
      </c>
      <c r="T13" s="769" t="s">
        <v>17</v>
      </c>
      <c r="U13" s="770">
        <f t="shared" si="1"/>
        <v>100</v>
      </c>
      <c r="V13" s="769" t="s">
        <v>17</v>
      </c>
      <c r="W13" s="770">
        <f t="shared" si="2"/>
        <v>100</v>
      </c>
      <c r="X13" s="771"/>
      <c r="Y13" s="3142"/>
      <c r="Z13" s="55">
        <f t="shared" si="7"/>
        <v>111</v>
      </c>
      <c r="AA13" s="772">
        <f t="shared" si="3"/>
        <v>1</v>
      </c>
      <c r="AB13" s="772">
        <f t="shared" si="4"/>
        <v>1</v>
      </c>
      <c r="AC13" s="772">
        <f t="shared" si="5"/>
        <v>1</v>
      </c>
    </row>
    <row r="14" spans="1:29" ht="15.75" thickBot="1">
      <c r="A14" s="436"/>
      <c r="B14" s="2487">
        <v>111</v>
      </c>
      <c r="C14" s="437"/>
      <c r="D14" s="438">
        <v>100</v>
      </c>
      <c r="E14" s="437"/>
      <c r="F14" s="438">
        <f>SUMIF(68:68,E14,69:69)-SUMIF(68:68,C14,69:69)+100</f>
        <v>100</v>
      </c>
      <c r="G14" s="2575"/>
      <c r="H14" s="438">
        <f>SUMIF(68:68,G14,69:69)-SUMIF(68:68,C14,69:69)+100</f>
        <v>100</v>
      </c>
      <c r="I14" s="469"/>
      <c r="J14" s="438">
        <f>SUMIF(68:68,I14,69:69)-SUMIF(68:68,C14,69:69)+100</f>
        <v>100</v>
      </c>
      <c r="K14" s="613"/>
      <c r="L14" s="1135"/>
      <c r="M14" s="1126"/>
      <c r="N14" s="1126"/>
      <c r="O14" s="1134"/>
      <c r="P14" s="3265"/>
      <c r="Q14" s="1781">
        <f t="shared" si="6"/>
        <v>111</v>
      </c>
      <c r="R14" s="769" t="s">
        <v>17</v>
      </c>
      <c r="S14" s="770">
        <f t="shared" si="0"/>
        <v>100</v>
      </c>
      <c r="T14" s="769" t="s">
        <v>17</v>
      </c>
      <c r="U14" s="770">
        <f t="shared" si="1"/>
        <v>100</v>
      </c>
      <c r="V14" s="769" t="s">
        <v>17</v>
      </c>
      <c r="W14" s="770">
        <f t="shared" si="2"/>
        <v>100</v>
      </c>
      <c r="X14" s="771"/>
      <c r="Y14" s="3142"/>
      <c r="Z14" s="55">
        <f t="shared" si="7"/>
        <v>111</v>
      </c>
      <c r="AA14" s="772">
        <f t="shared" si="3"/>
        <v>1</v>
      </c>
      <c r="AB14" s="772">
        <f t="shared" si="4"/>
        <v>1</v>
      </c>
      <c r="AC14" s="772">
        <f t="shared" si="5"/>
        <v>1</v>
      </c>
    </row>
    <row r="15" spans="1:29" ht="15">
      <c r="A15" s="440" t="s">
        <v>2472</v>
      </c>
      <c r="B15" s="69" t="s">
        <v>2615</v>
      </c>
      <c r="C15" s="257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67" t="s">
        <v>2473</v>
      </c>
      <c r="Q15" s="1796" t="str">
        <f t="shared" si="6"/>
        <v>产业集聚程度</v>
      </c>
      <c r="R15" s="773" t="s">
        <v>17</v>
      </c>
      <c r="S15" s="774">
        <f t="shared" si="0"/>
        <v>100</v>
      </c>
      <c r="T15" s="773" t="s">
        <v>17</v>
      </c>
      <c r="U15" s="774">
        <f t="shared" si="1"/>
        <v>100</v>
      </c>
      <c r="V15" s="773" t="s">
        <v>17</v>
      </c>
      <c r="W15" s="774">
        <f t="shared" si="2"/>
        <v>100</v>
      </c>
      <c r="X15" s="1799"/>
      <c r="Y15" s="3267" t="s">
        <v>2473</v>
      </c>
      <c r="Z15" s="1800" t="str">
        <f t="shared" si="7"/>
        <v>产业集聚程度</v>
      </c>
      <c r="AA15" s="1797">
        <f t="shared" si="3"/>
        <v>1</v>
      </c>
      <c r="AB15" s="1797">
        <f t="shared" si="4"/>
        <v>1</v>
      </c>
      <c r="AC15" s="1797">
        <f t="shared" si="5"/>
        <v>1</v>
      </c>
    </row>
    <row r="16" spans="1:29" ht="15">
      <c r="A16" s="428"/>
      <c r="B16" s="446"/>
      <c r="C16" s="447"/>
      <c r="D16" s="448"/>
      <c r="E16" s="447"/>
      <c r="F16" s="449"/>
      <c r="G16" s="447"/>
      <c r="H16" s="450"/>
      <c r="I16" s="447"/>
      <c r="J16" s="448"/>
      <c r="K16" s="615"/>
      <c r="L16" s="1135"/>
      <c r="M16" s="1126"/>
      <c r="N16" s="1126"/>
      <c r="O16" s="1134"/>
      <c r="P16" s="3268"/>
      <c r="Q16" s="1796"/>
      <c r="R16" s="773"/>
      <c r="S16" s="774"/>
      <c r="T16" s="773"/>
      <c r="U16" s="774"/>
      <c r="V16" s="773"/>
      <c r="W16" s="774"/>
      <c r="X16" s="1799"/>
      <c r="Y16" s="3268"/>
      <c r="Z16" s="1800"/>
      <c r="AA16" s="1797">
        <v>1</v>
      </c>
      <c r="AB16" s="1797">
        <v>1</v>
      </c>
      <c r="AC16" s="1797">
        <v>1</v>
      </c>
    </row>
    <row r="17" spans="1:29" ht="15">
      <c r="A17" s="428"/>
      <c r="B17" s="451" t="s">
        <v>2012</v>
      </c>
      <c r="C17" s="249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68"/>
      <c r="Q17" s="1796" t="str">
        <f>B17</f>
        <v>交通便捷度</v>
      </c>
      <c r="R17" s="773" t="s">
        <v>17</v>
      </c>
      <c r="S17" s="774">
        <f>F17</f>
        <v>100</v>
      </c>
      <c r="T17" s="773" t="s">
        <v>17</v>
      </c>
      <c r="U17" s="774">
        <f>H17</f>
        <v>100</v>
      </c>
      <c r="V17" s="773" t="s">
        <v>17</v>
      </c>
      <c r="W17" s="774">
        <f>J17</f>
        <v>100</v>
      </c>
      <c r="X17" s="1799"/>
      <c r="Y17" s="3268"/>
      <c r="Z17" s="1800" t="str">
        <f>Q17</f>
        <v>交通便捷度</v>
      </c>
      <c r="AA17" s="1797">
        <f t="shared" si="3"/>
        <v>1</v>
      </c>
      <c r="AB17" s="1797">
        <f t="shared" si="4"/>
        <v>1</v>
      </c>
      <c r="AC17" s="1797">
        <f t="shared" si="5"/>
        <v>1</v>
      </c>
    </row>
    <row r="18" spans="1:29" ht="15">
      <c r="A18" s="428"/>
      <c r="B18" s="456"/>
      <c r="C18" s="2493"/>
      <c r="D18" s="450"/>
      <c r="E18" s="2495"/>
      <c r="F18" s="453"/>
      <c r="G18" s="2494"/>
      <c r="H18" s="448"/>
      <c r="I18" s="2495"/>
      <c r="J18" s="448"/>
      <c r="K18" s="615"/>
      <c r="L18" s="1135"/>
      <c r="M18" s="1126"/>
      <c r="N18" s="1126"/>
      <c r="O18" s="1134"/>
      <c r="P18" s="3268"/>
      <c r="Q18" s="1796"/>
      <c r="R18" s="773"/>
      <c r="S18" s="774"/>
      <c r="T18" s="773"/>
      <c r="U18" s="774"/>
      <c r="V18" s="773"/>
      <c r="W18" s="774"/>
      <c r="X18" s="1799"/>
      <c r="Y18" s="3268"/>
      <c r="Z18" s="1800"/>
      <c r="AA18" s="1797">
        <v>1</v>
      </c>
      <c r="AB18" s="1797">
        <v>1</v>
      </c>
      <c r="AC18" s="1797">
        <v>1</v>
      </c>
    </row>
    <row r="19" spans="1:29" ht="15">
      <c r="A19" s="428"/>
      <c r="B19" s="451" t="s">
        <v>2600</v>
      </c>
      <c r="C19" s="249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68"/>
      <c r="Q19" s="1796" t="str">
        <f>B19</f>
        <v>公共配套设施</v>
      </c>
      <c r="R19" s="773" t="s">
        <v>17</v>
      </c>
      <c r="S19" s="774">
        <f>F19</f>
        <v>100</v>
      </c>
      <c r="T19" s="773" t="s">
        <v>17</v>
      </c>
      <c r="U19" s="774">
        <f>H19</f>
        <v>100</v>
      </c>
      <c r="V19" s="773" t="s">
        <v>17</v>
      </c>
      <c r="W19" s="774">
        <f>J19</f>
        <v>100</v>
      </c>
      <c r="X19" s="1799"/>
      <c r="Y19" s="3268"/>
      <c r="Z19" s="1800" t="str">
        <f>Q19</f>
        <v>公共配套设施</v>
      </c>
      <c r="AA19" s="1797">
        <f t="shared" si="3"/>
        <v>1</v>
      </c>
      <c r="AB19" s="1797">
        <f t="shared" si="4"/>
        <v>1</v>
      </c>
      <c r="AC19" s="1797">
        <f t="shared" si="5"/>
        <v>1</v>
      </c>
    </row>
    <row r="20" spans="1:29" ht="15">
      <c r="A20" s="428"/>
      <c r="B20" s="456"/>
      <c r="C20" s="447"/>
      <c r="D20" s="448"/>
      <c r="E20" s="2490"/>
      <c r="F20" s="449"/>
      <c r="G20" s="2489"/>
      <c r="H20" s="448"/>
      <c r="I20" s="2490"/>
      <c r="J20" s="448"/>
      <c r="K20" s="615"/>
      <c r="L20" s="1135"/>
      <c r="M20" s="1126"/>
      <c r="N20" s="1126"/>
      <c r="O20" s="1134"/>
      <c r="P20" s="3268"/>
      <c r="Q20" s="1796"/>
      <c r="R20" s="773"/>
      <c r="S20" s="774"/>
      <c r="T20" s="773"/>
      <c r="U20" s="774"/>
      <c r="V20" s="773"/>
      <c r="W20" s="774"/>
      <c r="X20" s="1799"/>
      <c r="Y20" s="3268"/>
      <c r="Z20" s="1800"/>
      <c r="AA20" s="1797">
        <v>1</v>
      </c>
      <c r="AB20" s="1797">
        <v>1</v>
      </c>
      <c r="AC20" s="1797">
        <v>1</v>
      </c>
    </row>
    <row r="21" spans="1:29" ht="15">
      <c r="A21" s="428"/>
      <c r="B21" s="1371" t="s">
        <v>2601</v>
      </c>
      <c r="C21" s="249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68"/>
      <c r="Q21" s="1796" t="str">
        <f>B21</f>
        <v>基础设施水平</v>
      </c>
      <c r="R21" s="773" t="s">
        <v>17</v>
      </c>
      <c r="S21" s="774">
        <f>F21</f>
        <v>100</v>
      </c>
      <c r="T21" s="773" t="s">
        <v>17</v>
      </c>
      <c r="U21" s="774">
        <f>H21</f>
        <v>100</v>
      </c>
      <c r="V21" s="773" t="s">
        <v>17</v>
      </c>
      <c r="W21" s="774">
        <f>J21</f>
        <v>100</v>
      </c>
      <c r="X21" s="1799"/>
      <c r="Y21" s="3268"/>
      <c r="Z21" s="1800" t="str">
        <f>Q21</f>
        <v>基础设施水平</v>
      </c>
      <c r="AA21" s="1797">
        <f t="shared" ref="AA21" si="8">D21/F21</f>
        <v>1</v>
      </c>
      <c r="AB21" s="1797">
        <f t="shared" ref="AB21" si="9">D21/H21</f>
        <v>1</v>
      </c>
      <c r="AC21" s="1797">
        <f t="shared" ref="AC21" si="10">D21/J21</f>
        <v>1</v>
      </c>
    </row>
    <row r="22" spans="1:29" ht="15">
      <c r="A22" s="428"/>
      <c r="B22" s="1371"/>
      <c r="C22" s="2493"/>
      <c r="D22" s="448"/>
      <c r="E22" s="447"/>
      <c r="F22" s="449"/>
      <c r="G22" s="447"/>
      <c r="H22" s="448"/>
      <c r="I22" s="447"/>
      <c r="J22" s="448"/>
      <c r="K22" s="1370"/>
      <c r="L22" s="1135"/>
      <c r="M22" s="1126"/>
      <c r="N22" s="1126"/>
      <c r="O22" s="1134"/>
      <c r="P22" s="3268"/>
      <c r="Q22" s="1796"/>
      <c r="R22" s="773"/>
      <c r="S22" s="774"/>
      <c r="T22" s="773"/>
      <c r="U22" s="774"/>
      <c r="V22" s="773"/>
      <c r="W22" s="774"/>
      <c r="X22" s="1799"/>
      <c r="Y22" s="3268"/>
      <c r="Z22" s="1800"/>
      <c r="AA22" s="1797">
        <v>1</v>
      </c>
      <c r="AB22" s="1797">
        <v>1</v>
      </c>
      <c r="AC22" s="1797">
        <v>1</v>
      </c>
    </row>
    <row r="23" spans="1:29" ht="15">
      <c r="A23" s="428"/>
      <c r="B23" s="451" t="s">
        <v>2602</v>
      </c>
      <c r="C23" s="249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68"/>
      <c r="Q23" s="1796" t="str">
        <f>B23</f>
        <v>环境质量</v>
      </c>
      <c r="R23" s="773" t="s">
        <v>17</v>
      </c>
      <c r="S23" s="774">
        <f>F23</f>
        <v>100</v>
      </c>
      <c r="T23" s="773" t="s">
        <v>17</v>
      </c>
      <c r="U23" s="774">
        <f>H23</f>
        <v>100</v>
      </c>
      <c r="V23" s="773" t="s">
        <v>17</v>
      </c>
      <c r="W23" s="774">
        <f>J23</f>
        <v>100</v>
      </c>
      <c r="X23" s="1799"/>
      <c r="Y23" s="3268"/>
      <c r="Z23" s="1800" t="str">
        <f>Q23</f>
        <v>环境质量</v>
      </c>
      <c r="AA23" s="1797">
        <f t="shared" si="3"/>
        <v>1</v>
      </c>
      <c r="AB23" s="1797">
        <f t="shared" si="4"/>
        <v>1</v>
      </c>
      <c r="AC23" s="1797">
        <f t="shared" si="5"/>
        <v>1</v>
      </c>
    </row>
    <row r="24" spans="1:29" ht="15">
      <c r="A24" s="428"/>
      <c r="B24" s="1371"/>
      <c r="C24" s="447"/>
      <c r="D24" s="448"/>
      <c r="E24" s="2490"/>
      <c r="F24" s="449"/>
      <c r="G24" s="2489"/>
      <c r="H24" s="448"/>
      <c r="I24" s="2490"/>
      <c r="J24" s="448"/>
      <c r="K24" s="615"/>
      <c r="L24" s="1135"/>
      <c r="M24" s="1126"/>
      <c r="N24" s="1126"/>
      <c r="O24" s="1134"/>
      <c r="P24" s="3268"/>
      <c r="Q24" s="1796"/>
      <c r="R24" s="773"/>
      <c r="S24" s="774"/>
      <c r="T24" s="773"/>
      <c r="U24" s="774"/>
      <c r="V24" s="773"/>
      <c r="W24" s="774"/>
      <c r="X24" s="1799"/>
      <c r="Y24" s="3268"/>
      <c r="Z24" s="1800"/>
      <c r="AA24" s="1797">
        <v>1</v>
      </c>
      <c r="AB24" s="1797">
        <v>1</v>
      </c>
      <c r="AC24" s="1797">
        <v>1</v>
      </c>
    </row>
    <row r="25" spans="1:29" ht="15">
      <c r="A25" s="404"/>
      <c r="B25" s="137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68"/>
      <c r="Q25" s="1796">
        <f>B25</f>
        <v>111</v>
      </c>
      <c r="R25" s="773" t="s">
        <v>17</v>
      </c>
      <c r="S25" s="774">
        <f>F25</f>
        <v>100</v>
      </c>
      <c r="T25" s="773" t="s">
        <v>17</v>
      </c>
      <c r="U25" s="774">
        <f>H25</f>
        <v>100</v>
      </c>
      <c r="V25" s="773" t="s">
        <v>17</v>
      </c>
      <c r="W25" s="774">
        <f>J25</f>
        <v>100</v>
      </c>
      <c r="X25" s="1799"/>
      <c r="Y25" s="3268"/>
      <c r="Z25" s="1800">
        <f>Q25</f>
        <v>111</v>
      </c>
      <c r="AA25" s="1797">
        <f t="shared" si="3"/>
        <v>1</v>
      </c>
      <c r="AB25" s="1797">
        <f t="shared" si="4"/>
        <v>1</v>
      </c>
      <c r="AC25" s="1797">
        <f t="shared" si="5"/>
        <v>1</v>
      </c>
    </row>
    <row r="26" spans="1:29" ht="15">
      <c r="A26" s="428"/>
      <c r="B26" s="137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68"/>
      <c r="Q26" s="1796">
        <f t="shared" ref="Q26:Q40" si="11">B26</f>
        <v>111</v>
      </c>
      <c r="R26" s="773" t="s">
        <v>17</v>
      </c>
      <c r="S26" s="774">
        <f>F26</f>
        <v>100</v>
      </c>
      <c r="T26" s="773" t="s">
        <v>17</v>
      </c>
      <c r="U26" s="774">
        <f>H26</f>
        <v>100</v>
      </c>
      <c r="V26" s="773" t="s">
        <v>17</v>
      </c>
      <c r="W26" s="774">
        <f>J26</f>
        <v>100</v>
      </c>
      <c r="X26" s="1799"/>
      <c r="Y26" s="3268"/>
      <c r="Z26" s="1800">
        <f>Q26</f>
        <v>111</v>
      </c>
      <c r="AA26" s="1797">
        <f t="shared" si="3"/>
        <v>1</v>
      </c>
      <c r="AB26" s="1797">
        <f t="shared" si="4"/>
        <v>1</v>
      </c>
      <c r="AC26" s="1797">
        <f t="shared" si="5"/>
        <v>1</v>
      </c>
    </row>
    <row r="27" spans="1:29" s="117" customFormat="1" ht="15">
      <c r="A27" s="431"/>
      <c r="B27" s="137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68"/>
      <c r="Q27" s="1781">
        <f t="shared" si="11"/>
        <v>111</v>
      </c>
      <c r="R27" s="769" t="s">
        <v>17</v>
      </c>
      <c r="S27" s="770">
        <f>F27</f>
        <v>100</v>
      </c>
      <c r="T27" s="769" t="s">
        <v>17</v>
      </c>
      <c r="U27" s="770">
        <f>H27</f>
        <v>100</v>
      </c>
      <c r="V27" s="769" t="s">
        <v>17</v>
      </c>
      <c r="W27" s="770">
        <f>J27</f>
        <v>100</v>
      </c>
      <c r="X27" s="771"/>
      <c r="Y27" s="3268"/>
      <c r="Z27" s="55">
        <f>Q27</f>
        <v>111</v>
      </c>
      <c r="AA27" s="1797">
        <f>D27/F27</f>
        <v>1</v>
      </c>
      <c r="AB27" s="1797">
        <f>D27/H27</f>
        <v>1</v>
      </c>
      <c r="AC27" s="1797">
        <f>D27/J27</f>
        <v>1</v>
      </c>
    </row>
    <row r="28" spans="1:29" ht="15.75" thickBot="1">
      <c r="A28" s="436"/>
      <c r="B28" s="137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68"/>
      <c r="Q28" s="1796">
        <f t="shared" si="11"/>
        <v>111</v>
      </c>
      <c r="R28" s="773" t="s">
        <v>17</v>
      </c>
      <c r="S28" s="774">
        <f t="shared" ref="S28:S40" si="12">F28</f>
        <v>100</v>
      </c>
      <c r="T28" s="773" t="s">
        <v>17</v>
      </c>
      <c r="U28" s="774">
        <f t="shared" ref="U28:U40" si="13">H28</f>
        <v>100</v>
      </c>
      <c r="V28" s="773" t="s">
        <v>17</v>
      </c>
      <c r="W28" s="774">
        <f t="shared" ref="W28:W40" si="14">J28</f>
        <v>100</v>
      </c>
      <c r="X28" s="1799"/>
      <c r="Y28" s="3268"/>
      <c r="Z28" s="1800">
        <f t="shared" ref="Z28:Z40" si="15">Q28</f>
        <v>111</v>
      </c>
      <c r="AA28" s="1797">
        <f t="shared" si="3"/>
        <v>1</v>
      </c>
      <c r="AB28" s="1797">
        <f t="shared" si="4"/>
        <v>1</v>
      </c>
      <c r="AC28" s="1797">
        <f t="shared" si="5"/>
        <v>1</v>
      </c>
    </row>
    <row r="29" spans="1:29" ht="15">
      <c r="A29" s="466" t="s">
        <v>2476</v>
      </c>
      <c r="B29" s="71" t="s">
        <v>2605</v>
      </c>
      <c r="C29" s="2562"/>
      <c r="D29" s="467">
        <v>100</v>
      </c>
      <c r="E29" s="2562"/>
      <c r="F29" s="461">
        <f>SUMIF(88:88,E29,89:89)-SUMIF(88:88,C29,89:89)+100</f>
        <v>100</v>
      </c>
      <c r="G29" s="2562"/>
      <c r="H29" s="435">
        <f>SUMIF(88:88,G29,89:89)-SUMIF(88:88,C29,89:89)+100</f>
        <v>100</v>
      </c>
      <c r="I29" s="2562"/>
      <c r="J29" s="467">
        <f>SUMIF(88:88,I29,89:89)-SUMIF(88:88,C29,89:89)+100</f>
        <v>100</v>
      </c>
      <c r="K29" s="612"/>
      <c r="L29" s="1135"/>
      <c r="M29" s="1126"/>
      <c r="N29" s="1126"/>
      <c r="O29" s="1134"/>
      <c r="P29" s="3357" t="s">
        <v>2478</v>
      </c>
      <c r="Q29" s="1796" t="str">
        <f t="shared" si="11"/>
        <v>建筑类型</v>
      </c>
      <c r="R29" s="773" t="s">
        <v>17</v>
      </c>
      <c r="S29" s="774">
        <f t="shared" si="12"/>
        <v>100</v>
      </c>
      <c r="T29" s="773" t="s">
        <v>17</v>
      </c>
      <c r="U29" s="774">
        <f t="shared" si="13"/>
        <v>100</v>
      </c>
      <c r="V29" s="773" t="s">
        <v>17</v>
      </c>
      <c r="W29" s="774">
        <f t="shared" si="14"/>
        <v>100</v>
      </c>
      <c r="X29" s="1799"/>
      <c r="Y29" s="3272" t="s">
        <v>2478</v>
      </c>
      <c r="Z29" s="1800" t="str">
        <f t="shared" si="15"/>
        <v>建筑类型</v>
      </c>
      <c r="AA29" s="1797">
        <f t="shared" si="3"/>
        <v>1</v>
      </c>
      <c r="AB29" s="1797">
        <f t="shared" si="4"/>
        <v>1</v>
      </c>
      <c r="AC29" s="1797">
        <f t="shared" si="5"/>
        <v>1</v>
      </c>
    </row>
    <row r="30" spans="1:29" s="471" customFormat="1" ht="15">
      <c r="A30" s="468"/>
      <c r="B30" s="422" t="s">
        <v>2479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72"/>
      <c r="Q30" s="775" t="str">
        <f t="shared" si="11"/>
        <v>项目建筑规模</v>
      </c>
      <c r="R30" s="776" t="s">
        <v>17</v>
      </c>
      <c r="S30" s="777" t="e">
        <f t="shared" si="12"/>
        <v>#N/A</v>
      </c>
      <c r="T30" s="776" t="s">
        <v>17</v>
      </c>
      <c r="U30" s="777" t="e">
        <f t="shared" si="13"/>
        <v>#N/A</v>
      </c>
      <c r="V30" s="776" t="s">
        <v>17</v>
      </c>
      <c r="W30" s="777" t="e">
        <f t="shared" si="14"/>
        <v>#N/A</v>
      </c>
      <c r="X30" s="778"/>
      <c r="Y30" s="3272"/>
      <c r="Z30" s="779" t="str">
        <f t="shared" si="15"/>
        <v>项目建筑规模</v>
      </c>
      <c r="AA30" s="1797" t="e">
        <f t="shared" si="3"/>
        <v>#N/A</v>
      </c>
      <c r="AB30" s="1797" t="e">
        <f t="shared" si="4"/>
        <v>#N/A</v>
      </c>
      <c r="AC30" s="1797" t="e">
        <f t="shared" si="5"/>
        <v>#N/A</v>
      </c>
    </row>
    <row r="31" spans="1:29" ht="15">
      <c r="A31" s="472"/>
      <c r="B31" s="422" t="s">
        <v>2480</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72"/>
      <c r="Q31" s="1796" t="str">
        <f t="shared" si="11"/>
        <v>建筑结构</v>
      </c>
      <c r="R31" s="773" t="s">
        <v>17</v>
      </c>
      <c r="S31" s="774">
        <f t="shared" si="12"/>
        <v>100</v>
      </c>
      <c r="T31" s="773" t="s">
        <v>17</v>
      </c>
      <c r="U31" s="774">
        <f t="shared" si="13"/>
        <v>100</v>
      </c>
      <c r="V31" s="773" t="s">
        <v>17</v>
      </c>
      <c r="W31" s="774">
        <f t="shared" si="14"/>
        <v>100</v>
      </c>
      <c r="X31" s="1799"/>
      <c r="Y31" s="3272"/>
      <c r="Z31" s="1800" t="str">
        <f t="shared" si="15"/>
        <v>建筑结构</v>
      </c>
      <c r="AA31" s="1797">
        <f t="shared" si="3"/>
        <v>1</v>
      </c>
      <c r="AB31" s="1797">
        <f t="shared" si="4"/>
        <v>1</v>
      </c>
      <c r="AC31" s="1797">
        <f t="shared" si="5"/>
        <v>1</v>
      </c>
    </row>
    <row r="32" spans="1:29" ht="15">
      <c r="A32" s="472"/>
      <c r="B32" s="422" t="s">
        <v>2573</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72"/>
      <c r="Q32" s="1796" t="str">
        <f t="shared" si="11"/>
        <v>公共部分装修</v>
      </c>
      <c r="R32" s="773" t="s">
        <v>17</v>
      </c>
      <c r="S32" s="774">
        <f t="shared" si="12"/>
        <v>100</v>
      </c>
      <c r="T32" s="773" t="s">
        <v>17</v>
      </c>
      <c r="U32" s="774">
        <f t="shared" si="13"/>
        <v>100</v>
      </c>
      <c r="V32" s="773" t="s">
        <v>17</v>
      </c>
      <c r="W32" s="774">
        <f t="shared" si="14"/>
        <v>100</v>
      </c>
      <c r="X32" s="1799"/>
      <c r="Y32" s="3272"/>
      <c r="Z32" s="1800" t="str">
        <f t="shared" si="15"/>
        <v>公共部分装修</v>
      </c>
      <c r="AA32" s="1797">
        <f t="shared" si="3"/>
        <v>1</v>
      </c>
      <c r="AB32" s="1797">
        <f t="shared" si="4"/>
        <v>1</v>
      </c>
      <c r="AC32" s="1797">
        <f t="shared" si="5"/>
        <v>1</v>
      </c>
    </row>
    <row r="33" spans="1:29" ht="15">
      <c r="A33" s="472"/>
      <c r="B33" s="422" t="s">
        <v>2574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72"/>
      <c r="Q33" s="1796" t="str">
        <f t="shared" si="11"/>
        <v>成新度</v>
      </c>
      <c r="R33" s="773" t="s">
        <v>17</v>
      </c>
      <c r="S33" s="774" t="e">
        <f t="shared" si="12"/>
        <v>#N/A</v>
      </c>
      <c r="T33" s="773" t="s">
        <v>17</v>
      </c>
      <c r="U33" s="774" t="e">
        <f t="shared" si="13"/>
        <v>#N/A</v>
      </c>
      <c r="V33" s="773" t="s">
        <v>17</v>
      </c>
      <c r="W33" s="774" t="e">
        <f t="shared" si="14"/>
        <v>#N/A</v>
      </c>
      <c r="X33" s="1799"/>
      <c r="Y33" s="3272"/>
      <c r="Z33" s="1800" t="str">
        <f t="shared" si="15"/>
        <v>成新度</v>
      </c>
      <c r="AA33" s="1797" t="e">
        <f t="shared" si="3"/>
        <v>#N/A</v>
      </c>
      <c r="AB33" s="1797" t="e">
        <f t="shared" si="4"/>
        <v>#N/A</v>
      </c>
      <c r="AC33" s="1797" t="e">
        <f t="shared" si="5"/>
        <v>#N/A</v>
      </c>
    </row>
    <row r="34" spans="1:29" s="117" customFormat="1" ht="15">
      <c r="A34" s="473"/>
      <c r="B34" s="422" t="s">
        <v>2607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72"/>
      <c r="Q34" s="1781" t="str">
        <f t="shared" si="11"/>
        <v>物业管理</v>
      </c>
      <c r="R34" s="769" t="s">
        <v>17</v>
      </c>
      <c r="S34" s="770">
        <f t="shared" si="12"/>
        <v>100</v>
      </c>
      <c r="T34" s="769" t="s">
        <v>17</v>
      </c>
      <c r="U34" s="770">
        <f t="shared" si="13"/>
        <v>100</v>
      </c>
      <c r="V34" s="769" t="s">
        <v>17</v>
      </c>
      <c r="W34" s="770">
        <f t="shared" si="14"/>
        <v>100</v>
      </c>
      <c r="X34" s="771"/>
      <c r="Y34" s="3272"/>
      <c r="Z34" s="55" t="str">
        <f t="shared" si="15"/>
        <v>物业管理</v>
      </c>
      <c r="AA34" s="772">
        <f t="shared" si="3"/>
        <v>1</v>
      </c>
      <c r="AB34" s="772">
        <f t="shared" si="4"/>
        <v>1</v>
      </c>
      <c r="AC34" s="772">
        <f t="shared" si="5"/>
        <v>1</v>
      </c>
    </row>
    <row r="35" spans="1:29" ht="15">
      <c r="A35" s="472"/>
      <c r="B35" s="422" t="s">
        <v>2575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72" t="s">
        <v>2478</v>
      </c>
      <c r="Q35" s="1796" t="str">
        <f t="shared" si="11"/>
        <v>市政基础设施</v>
      </c>
      <c r="R35" s="773" t="s">
        <v>17</v>
      </c>
      <c r="S35" s="774">
        <f t="shared" si="12"/>
        <v>100</v>
      </c>
      <c r="T35" s="773" t="s">
        <v>17</v>
      </c>
      <c r="U35" s="774">
        <f t="shared" si="13"/>
        <v>100</v>
      </c>
      <c r="V35" s="773" t="s">
        <v>17</v>
      </c>
      <c r="W35" s="774">
        <f t="shared" si="14"/>
        <v>100</v>
      </c>
      <c r="X35" s="1799"/>
      <c r="Y35" s="3272" t="s">
        <v>2478</v>
      </c>
      <c r="Z35" s="1800" t="str">
        <f t="shared" si="15"/>
        <v>市政基础设施</v>
      </c>
      <c r="AA35" s="1797">
        <f t="shared" si="3"/>
        <v>1</v>
      </c>
      <c r="AB35" s="1797">
        <f t="shared" si="4"/>
        <v>1</v>
      </c>
      <c r="AC35" s="1797">
        <f t="shared" si="5"/>
        <v>1</v>
      </c>
    </row>
    <row r="36" spans="1:29" ht="15">
      <c r="A36" s="472"/>
      <c r="B36" s="422" t="s">
        <v>2580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72"/>
      <c r="Q36" s="1796" t="str">
        <f t="shared" si="11"/>
        <v>内部装修</v>
      </c>
      <c r="R36" s="773" t="s">
        <v>17</v>
      </c>
      <c r="S36" s="774">
        <f t="shared" si="12"/>
        <v>100</v>
      </c>
      <c r="T36" s="773" t="s">
        <v>17</v>
      </c>
      <c r="U36" s="774">
        <f t="shared" si="13"/>
        <v>100</v>
      </c>
      <c r="V36" s="773" t="s">
        <v>17</v>
      </c>
      <c r="W36" s="774">
        <f t="shared" si="14"/>
        <v>100</v>
      </c>
      <c r="X36" s="1799"/>
      <c r="Y36" s="3272"/>
      <c r="Z36" s="1800" t="str">
        <f t="shared" si="15"/>
        <v>内部装修</v>
      </c>
      <c r="AA36" s="1797">
        <f t="shared" si="3"/>
        <v>1</v>
      </c>
      <c r="AB36" s="1797">
        <f t="shared" si="4"/>
        <v>1</v>
      </c>
      <c r="AC36" s="1797">
        <f t="shared" si="5"/>
        <v>1</v>
      </c>
    </row>
    <row r="37" spans="1:29" ht="15">
      <c r="A37" s="472"/>
      <c r="B37" s="422" t="s">
        <v>2616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72"/>
      <c r="Q37" s="1796" t="str">
        <f t="shared" si="11"/>
        <v>内部装修状况</v>
      </c>
      <c r="R37" s="773" t="s">
        <v>17</v>
      </c>
      <c r="S37" s="774">
        <f t="shared" si="12"/>
        <v>100</v>
      </c>
      <c r="T37" s="773" t="s">
        <v>17</v>
      </c>
      <c r="U37" s="774">
        <f t="shared" si="13"/>
        <v>100</v>
      </c>
      <c r="V37" s="773" t="s">
        <v>17</v>
      </c>
      <c r="W37" s="774">
        <f t="shared" si="14"/>
        <v>100</v>
      </c>
      <c r="X37" s="1799"/>
      <c r="Y37" s="3272"/>
      <c r="Z37" s="1800" t="str">
        <f t="shared" si="15"/>
        <v>内部装修状况</v>
      </c>
      <c r="AA37" s="1797">
        <f t="shared" si="3"/>
        <v>1</v>
      </c>
      <c r="AB37" s="1797">
        <f t="shared" si="4"/>
        <v>1</v>
      </c>
      <c r="AC37" s="1797">
        <f t="shared" si="5"/>
        <v>1</v>
      </c>
    </row>
    <row r="38" spans="1:29" s="471" customFormat="1" ht="15">
      <c r="A38" s="468"/>
      <c r="B38" s="137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72"/>
      <c r="Q38" s="775">
        <f t="shared" si="11"/>
        <v>111</v>
      </c>
      <c r="R38" s="776" t="s">
        <v>17</v>
      </c>
      <c r="S38" s="777">
        <f t="shared" si="12"/>
        <v>100</v>
      </c>
      <c r="T38" s="776" t="s">
        <v>17</v>
      </c>
      <c r="U38" s="777">
        <f t="shared" si="13"/>
        <v>100</v>
      </c>
      <c r="V38" s="776" t="s">
        <v>17</v>
      </c>
      <c r="W38" s="777">
        <f t="shared" si="14"/>
        <v>100</v>
      </c>
      <c r="X38" s="778"/>
      <c r="Y38" s="3272"/>
      <c r="Z38" s="779">
        <f t="shared" si="15"/>
        <v>111</v>
      </c>
      <c r="AA38" s="1797">
        <f t="shared" si="3"/>
        <v>1</v>
      </c>
      <c r="AB38" s="1797">
        <f t="shared" si="4"/>
        <v>1</v>
      </c>
      <c r="AC38" s="1797">
        <f t="shared" si="5"/>
        <v>1</v>
      </c>
    </row>
    <row r="39" spans="1:29" ht="15">
      <c r="A39" s="472"/>
      <c r="B39" s="137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72"/>
      <c r="Q39" s="1796">
        <f t="shared" si="11"/>
        <v>111</v>
      </c>
      <c r="R39" s="773" t="s">
        <v>17</v>
      </c>
      <c r="S39" s="774">
        <f t="shared" si="12"/>
        <v>100</v>
      </c>
      <c r="T39" s="773" t="s">
        <v>17</v>
      </c>
      <c r="U39" s="774">
        <f t="shared" si="13"/>
        <v>100</v>
      </c>
      <c r="V39" s="773" t="s">
        <v>17</v>
      </c>
      <c r="W39" s="774">
        <f t="shared" si="14"/>
        <v>100</v>
      </c>
      <c r="X39" s="1799"/>
      <c r="Y39" s="3272"/>
      <c r="Z39" s="1800">
        <f t="shared" si="15"/>
        <v>111</v>
      </c>
      <c r="AA39" s="1797">
        <f t="shared" si="3"/>
        <v>1</v>
      </c>
      <c r="AB39" s="1797">
        <f t="shared" si="4"/>
        <v>1</v>
      </c>
      <c r="AC39" s="1797">
        <f t="shared" si="5"/>
        <v>1</v>
      </c>
    </row>
    <row r="40" spans="1:29" ht="15.75" thickBot="1">
      <c r="A40" s="478"/>
      <c r="B40" s="248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73"/>
      <c r="Q40" s="1796">
        <f t="shared" si="11"/>
        <v>111</v>
      </c>
      <c r="R40" s="773" t="s">
        <v>17</v>
      </c>
      <c r="S40" s="774">
        <f t="shared" si="12"/>
        <v>100</v>
      </c>
      <c r="T40" s="773" t="s">
        <v>17</v>
      </c>
      <c r="U40" s="774">
        <f t="shared" si="13"/>
        <v>100</v>
      </c>
      <c r="V40" s="773" t="s">
        <v>17</v>
      </c>
      <c r="W40" s="774">
        <f t="shared" si="14"/>
        <v>100</v>
      </c>
      <c r="X40" s="1799"/>
      <c r="Y40" s="3273"/>
      <c r="Z40" s="1800">
        <f t="shared" si="15"/>
        <v>111</v>
      </c>
      <c r="AA40" s="1797">
        <f t="shared" si="3"/>
        <v>1</v>
      </c>
      <c r="AB40" s="1797">
        <f t="shared" si="4"/>
        <v>1</v>
      </c>
      <c r="AC40" s="1797">
        <f t="shared" si="5"/>
        <v>1</v>
      </c>
    </row>
    <row r="41" spans="1:29" ht="15">
      <c r="A41" s="479" t="s">
        <v>2490</v>
      </c>
      <c r="B41" s="480"/>
      <c r="C41" s="1394" t="s">
        <v>1</v>
      </c>
      <c r="D41" s="1395"/>
      <c r="E41" s="1396"/>
      <c r="F41" s="1397"/>
      <c r="G41" s="1398"/>
      <c r="H41" s="1399"/>
      <c r="I41" s="1396"/>
      <c r="J41" s="1399"/>
      <c r="K41" s="782"/>
      <c r="L41" s="1138"/>
      <c r="M41" s="1139"/>
      <c r="N41" s="1126"/>
      <c r="O41" s="1139"/>
      <c r="P41" s="3265" t="str">
        <f>A41</f>
        <v>成交单价（元/平方米）</v>
      </c>
      <c r="Q41" s="3265"/>
      <c r="R41" s="3266">
        <f>E41</f>
        <v>0</v>
      </c>
      <c r="S41" s="3266"/>
      <c r="T41" s="3266">
        <f>G41</f>
        <v>0</v>
      </c>
      <c r="U41" s="3266"/>
      <c r="V41" s="3266">
        <f>I41</f>
        <v>0</v>
      </c>
      <c r="W41" s="3266"/>
      <c r="X41" s="758"/>
      <c r="Y41" s="780"/>
      <c r="Z41" s="758"/>
      <c r="AA41" s="758"/>
      <c r="AB41" s="758"/>
      <c r="AC41" s="758"/>
    </row>
    <row r="42" spans="1:29" ht="15.75" thickBot="1">
      <c r="A42" s="486" t="s">
        <v>2581</v>
      </c>
      <c r="B42" s="487"/>
      <c r="C42" s="1400" t="e">
        <f>R43</f>
        <v>#DIV/0!</v>
      </c>
      <c r="D42" s="1401"/>
      <c r="E42" s="1402" t="e">
        <f>R42</f>
        <v>#DIV/0!</v>
      </c>
      <c r="F42" s="1402"/>
      <c r="G42" s="1400" t="e">
        <f>T42</f>
        <v>#DIV/0!</v>
      </c>
      <c r="H42" s="1401"/>
      <c r="I42" s="1402" t="e">
        <f>V42</f>
        <v>#DIV/0!</v>
      </c>
      <c r="J42" s="1401"/>
      <c r="K42" s="783"/>
      <c r="L42" s="1138"/>
      <c r="M42" s="1139"/>
      <c r="N42" s="1126"/>
      <c r="O42" s="1139"/>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8"/>
      <c r="Y42" s="758"/>
      <c r="Z42" s="758"/>
      <c r="AA42" s="758"/>
      <c r="AB42" s="758"/>
      <c r="AC42" s="758"/>
    </row>
    <row r="43" spans="1:29" ht="15.75" thickBot="1">
      <c r="A43" s="492" t="s">
        <v>2582</v>
      </c>
      <c r="B43" s="493"/>
      <c r="C43" s="1404" t="e">
        <f>R43</f>
        <v>#DIV/0!</v>
      </c>
      <c r="D43" s="1404"/>
      <c r="E43" s="1404"/>
      <c r="F43" s="1404"/>
      <c r="G43" s="1404"/>
      <c r="H43" s="1404"/>
      <c r="I43" s="1404"/>
      <c r="J43" s="1404"/>
      <c r="K43" s="784"/>
      <c r="L43" s="1138"/>
      <c r="M43" s="1139"/>
      <c r="N43" s="1139"/>
      <c r="O43" s="1139"/>
      <c r="P43" s="3262" t="str">
        <f>A43</f>
        <v>估价对象XX用房的比较价值（楼面单价，元/平方米）</v>
      </c>
      <c r="Q43" s="3263"/>
      <c r="R43" s="3264" t="e">
        <f>IF(F1="售价",ROUND(AVERAGE(R42:V42),0),ROUND(AVERAGE(R42:V42),1))</f>
        <v>#DIV/0!</v>
      </c>
      <c r="S43" s="3264"/>
      <c r="T43" s="3264"/>
      <c r="U43" s="3264"/>
      <c r="V43" s="3264"/>
      <c r="W43" s="3264"/>
      <c r="X43" s="758"/>
      <c r="Y43" s="758"/>
      <c r="Z43" s="758"/>
      <c r="AA43" s="758"/>
      <c r="AB43" s="758"/>
      <c r="AC43" s="758"/>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2583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2584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2585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2" t="s">
        <v>2586</v>
      </c>
      <c r="B51" s="758"/>
      <c r="C51" s="763"/>
      <c r="D51" s="763"/>
      <c r="E51" s="763"/>
      <c r="F51" s="764"/>
      <c r="G51" s="764"/>
      <c r="H51" s="763"/>
      <c r="I51" s="763"/>
      <c r="J51" s="763"/>
      <c r="K51" s="1155"/>
      <c r="L51" s="1156"/>
      <c r="M51" s="1154"/>
      <c r="N51" s="1154"/>
      <c r="O51" s="1154"/>
      <c r="P51" s="503"/>
      <c r="Q51" s="504"/>
    </row>
    <row r="52" spans="1:17" s="508" customFormat="1" ht="15">
      <c r="A52" s="505" t="s">
        <v>2461</v>
      </c>
      <c r="B52" s="506"/>
      <c r="C52" s="1560" t="str">
        <f>YEAR(C7)&amp;"-"&amp;MONTH(C7)</f>
        <v>2018-3</v>
      </c>
      <c r="D52" s="1561">
        <f>EDATE(C52,-1)</f>
        <v>43132</v>
      </c>
      <c r="E52" s="1561">
        <f t="shared" ref="E52:O52" si="16">EDATE(D52,-1)</f>
        <v>43101</v>
      </c>
      <c r="F52" s="1561">
        <f t="shared" si="16"/>
        <v>43070</v>
      </c>
      <c r="G52" s="1561">
        <f t="shared" si="16"/>
        <v>43040</v>
      </c>
      <c r="H52" s="1561">
        <f t="shared" si="16"/>
        <v>43009</v>
      </c>
      <c r="I52" s="1561">
        <f t="shared" si="16"/>
        <v>42979</v>
      </c>
      <c r="J52" s="1561">
        <f t="shared" si="16"/>
        <v>42948</v>
      </c>
      <c r="K52" s="1561">
        <f t="shared" si="16"/>
        <v>42917</v>
      </c>
      <c r="L52" s="1561">
        <f t="shared" si="16"/>
        <v>42887</v>
      </c>
      <c r="M52" s="1561">
        <f t="shared" si="16"/>
        <v>42856</v>
      </c>
      <c r="N52" s="1561">
        <f t="shared" si="16"/>
        <v>42826</v>
      </c>
      <c r="O52" s="1561">
        <f t="shared" si="16"/>
        <v>42795</v>
      </c>
      <c r="P52" s="507"/>
    </row>
    <row r="53" spans="1:17" s="117" customFormat="1" ht="15">
      <c r="A53" s="509"/>
      <c r="B53" s="510"/>
      <c r="C53" s="1559">
        <v>100</v>
      </c>
      <c r="D53" s="512"/>
      <c r="E53" s="512"/>
      <c r="F53" s="512"/>
      <c r="G53" s="512"/>
      <c r="H53" s="512"/>
      <c r="I53" s="512"/>
      <c r="J53" s="512"/>
      <c r="K53" s="512"/>
      <c r="L53" s="512"/>
      <c r="M53" s="513"/>
      <c r="N53" s="512"/>
      <c r="O53" s="514"/>
      <c r="P53" s="504"/>
    </row>
    <row r="54" spans="1:17" s="117" customFormat="1" ht="15.75" thickBot="1">
      <c r="A54" s="515" t="s">
        <v>2497</v>
      </c>
      <c r="B54" s="516"/>
      <c r="C54" s="517"/>
      <c r="D54" s="518"/>
      <c r="E54" s="518"/>
      <c r="F54" s="518"/>
      <c r="G54" s="518"/>
      <c r="H54" s="518"/>
      <c r="I54" s="518"/>
      <c r="J54" s="518"/>
      <c r="K54" s="518"/>
      <c r="L54" s="518"/>
      <c r="M54" s="519"/>
      <c r="N54" s="518"/>
      <c r="O54" s="520"/>
      <c r="P54" s="504"/>
      <c r="Q54" s="504"/>
    </row>
    <row r="55" spans="1:17" s="117" customFormat="1" ht="15">
      <c r="A55" s="521" t="s">
        <v>2463</v>
      </c>
      <c r="B55" s="510"/>
      <c r="C55" s="522" t="s">
        <v>2564</v>
      </c>
      <c r="D55" s="523"/>
      <c r="E55" s="523"/>
      <c r="F55" s="523"/>
      <c r="G55" s="523"/>
      <c r="H55" s="523"/>
      <c r="I55" s="523"/>
      <c r="J55" s="523"/>
      <c r="K55" s="523"/>
      <c r="L55" s="524"/>
      <c r="M55" s="525"/>
      <c r="N55" s="1146"/>
      <c r="O55" s="1146"/>
      <c r="P55" s="526"/>
      <c r="Q55" s="504"/>
    </row>
    <row r="56" spans="1:17" s="117" customFormat="1" ht="15.75" thickBot="1">
      <c r="A56" s="521"/>
      <c r="B56" s="510"/>
      <c r="C56" s="638">
        <v>100</v>
      </c>
      <c r="D56" s="512"/>
      <c r="E56" s="512"/>
      <c r="F56" s="512"/>
      <c r="G56" s="512"/>
      <c r="H56" s="512"/>
      <c r="I56" s="512"/>
      <c r="J56" s="512"/>
      <c r="K56" s="512"/>
      <c r="L56" s="512"/>
      <c r="M56" s="514"/>
      <c r="N56" s="1146"/>
      <c r="O56" s="1146"/>
      <c r="P56" s="504"/>
      <c r="Q56" s="504"/>
    </row>
    <row r="57" spans="1:17">
      <c r="A57" s="527" t="s">
        <v>2500</v>
      </c>
      <c r="B57" s="528" t="s">
        <v>2467</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2470</v>
      </c>
      <c r="C59" s="539" t="s">
        <v>2501</v>
      </c>
      <c r="D59" s="539" t="s">
        <v>2502</v>
      </c>
      <c r="E59" s="539" t="s">
        <v>2503</v>
      </c>
      <c r="F59" s="539" t="s">
        <v>2504</v>
      </c>
      <c r="G59" s="539" t="s">
        <v>2505</v>
      </c>
      <c r="H59" s="539" t="s">
        <v>2506</v>
      </c>
      <c r="I59" s="539" t="s">
        <v>2507</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2471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2472</v>
      </c>
      <c r="B70" s="528" t="s">
        <v>2617</v>
      </c>
      <c r="C70" s="573" t="s">
        <v>2509</v>
      </c>
      <c r="D70" s="573" t="s">
        <v>2510</v>
      </c>
      <c r="E70" s="573" t="s">
        <v>2511</v>
      </c>
      <c r="F70" s="573" t="s">
        <v>2512</v>
      </c>
      <c r="G70" s="573" t="s">
        <v>2513</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2514</v>
      </c>
      <c r="C72" s="578" t="s">
        <v>2509</v>
      </c>
      <c r="D72" s="578" t="s">
        <v>2510</v>
      </c>
      <c r="E72" s="578" t="s">
        <v>2511</v>
      </c>
      <c r="F72" s="578" t="s">
        <v>2512</v>
      </c>
      <c r="G72" s="578" t="s">
        <v>2513</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2515</v>
      </c>
      <c r="C74" s="578" t="s">
        <v>2509</v>
      </c>
      <c r="D74" s="578" t="s">
        <v>2510</v>
      </c>
      <c r="E74" s="578" t="s">
        <v>2511</v>
      </c>
      <c r="F74" s="578" t="s">
        <v>2512</v>
      </c>
      <c r="G74" s="578" t="s">
        <v>2513</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2601</v>
      </c>
      <c r="C76" s="659" t="s">
        <v>2587</v>
      </c>
      <c r="D76" s="659" t="s">
        <v>2588</v>
      </c>
      <c r="E76" s="659" t="s">
        <v>2589</v>
      </c>
      <c r="F76" s="659" t="s">
        <v>2590</v>
      </c>
      <c r="G76" s="659" t="s">
        <v>2591</v>
      </c>
      <c r="H76" s="539"/>
      <c r="I76" s="539"/>
      <c r="J76" s="539"/>
      <c r="K76" s="539"/>
      <c r="L76" s="539"/>
      <c r="M76" s="1369"/>
      <c r="N76" s="1148"/>
      <c r="O76" s="1148"/>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8"/>
      <c r="O77" s="1148"/>
      <c r="P77" s="45"/>
      <c r="Q77" s="504"/>
    </row>
    <row r="78" spans="1:17" ht="15.75" thickTop="1">
      <c r="A78" s="534"/>
      <c r="B78" s="538" t="s">
        <v>2610</v>
      </c>
      <c r="C78" s="578" t="s">
        <v>2509</v>
      </c>
      <c r="D78" s="578" t="s">
        <v>2510</v>
      </c>
      <c r="E78" s="578" t="s">
        <v>2511</v>
      </c>
      <c r="F78" s="578" t="s">
        <v>2512</v>
      </c>
      <c r="G78" s="578" t="s">
        <v>2513</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519"/>
      <c r="B87" s="569"/>
      <c r="C87" s="570"/>
      <c r="D87" s="570"/>
      <c r="E87" s="570"/>
      <c r="F87" s="570"/>
      <c r="G87" s="591"/>
      <c r="H87" s="591"/>
      <c r="I87" s="591"/>
      <c r="J87" s="591"/>
      <c r="K87" s="591"/>
      <c r="L87" s="591"/>
      <c r="M87" s="592"/>
      <c r="N87" s="1148"/>
      <c r="O87" s="1148"/>
      <c r="P87" s="45"/>
      <c r="Q87" s="504"/>
    </row>
    <row r="88" spans="1:17">
      <c r="A88" s="527" t="s">
        <v>2476</v>
      </c>
      <c r="B88" s="528" t="s">
        <v>2524</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2525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2526</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2528</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1916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2"/>
      <c r="J98" s="622"/>
      <c r="K98" s="623"/>
      <c r="L98" s="624"/>
      <c r="M98" s="625"/>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2529</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2530</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2532</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5" t="s">
        <v>2618</v>
      </c>
      <c r="C106" s="578" t="s">
        <v>2509</v>
      </c>
      <c r="D106" s="578" t="s">
        <v>2510</v>
      </c>
      <c r="E106" s="578" t="s">
        <v>2511</v>
      </c>
      <c r="F106" s="578" t="s">
        <v>2512</v>
      </c>
      <c r="G106" s="578" t="s">
        <v>2513</v>
      </c>
      <c r="H106" s="539"/>
      <c r="I106" s="539"/>
      <c r="J106" s="539"/>
      <c r="K106" s="540"/>
      <c r="L106" s="541"/>
      <c r="M106" s="542"/>
      <c r="N106" s="1148"/>
      <c r="O106" s="1148"/>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519"/>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5" customFormat="1" ht="28.5" customHeight="1" thickBot="1">
      <c r="A1" s="1604" t="s">
        <v>2619</v>
      </c>
      <c r="B1" s="1605"/>
      <c r="C1" s="1606" t="s">
        <v>2443</v>
      </c>
      <c r="D1" s="1607"/>
      <c r="E1" s="1608"/>
      <c r="F1" s="2469"/>
      <c r="G1" s="1609" t="s">
        <v>2555</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98" customFormat="1" ht="28.5" customHeight="1" thickTop="1">
      <c r="A2" s="1603" t="s">
        <v>2240</v>
      </c>
      <c r="B2" s="1405" t="e">
        <f ca="1">IF(C2="——",IF(B37="元/平方米",ROUND(C39*D3/10000,0),ROUND(F3*C39/10000,0)),IF(B37="元/平方米",ROUND(C39*D3/10000,0),ROUND(F3*C39/10000,0))-D2)</f>
        <v>#DIV/0!</v>
      </c>
      <c r="C2" s="2471"/>
      <c r="D2" s="1119" t="e">
        <f ca="1">SUMIF(INDIRECT("'"&amp;F2&amp;"'"&amp;"!A:A"),"承租人权益价值",INDIRECT("'"&amp;F2&amp;"'"&amp;"!c:c"))</f>
        <v>#REF!</v>
      </c>
      <c r="E2" s="2472" t="s">
        <v>2241</v>
      </c>
      <c r="F2" s="2473"/>
      <c r="G2" s="1120"/>
      <c r="H2" s="1120"/>
      <c r="I2" s="1120"/>
      <c r="J2" s="1120"/>
      <c r="K2" s="1122"/>
      <c r="L2" s="1123"/>
      <c r="M2" s="1124"/>
      <c r="N2" s="1124"/>
      <c r="O2" s="1124"/>
      <c r="P2" s="1406"/>
      <c r="Q2" s="767"/>
      <c r="R2" s="767"/>
      <c r="S2" s="767"/>
      <c r="T2" s="767"/>
      <c r="U2" s="767"/>
      <c r="V2" s="767"/>
      <c r="W2" s="767"/>
      <c r="X2" s="767"/>
      <c r="Y2" s="767"/>
      <c r="Z2" s="767"/>
      <c r="AA2" s="767"/>
      <c r="AB2" s="767"/>
      <c r="AC2" s="768"/>
    </row>
    <row r="3" spans="1:29" s="398" customFormat="1" ht="28.5" customHeight="1" thickBot="1">
      <c r="A3" s="247" t="s">
        <v>2242</v>
      </c>
      <c r="B3" s="609" t="e">
        <f ca="1">IF(AND(C2="——",B37="元/平方米"),C39,ROUND(B2*10000/D3,0))</f>
        <v>#DIV/0!</v>
      </c>
      <c r="C3" s="400" t="s">
        <v>2556</v>
      </c>
      <c r="D3" s="399">
        <f>SUMIF('数据-汇总表'!$C19:$C33,D1,'数据-汇总表'!$E19:$E33)</f>
        <v>0</v>
      </c>
      <c r="E3" s="400" t="s">
        <v>2620</v>
      </c>
      <c r="F3" s="399">
        <f>SUMIF('数据-取费表'!A5:A15,D1,'数据-取费表'!AH5:AH15)</f>
        <v>0</v>
      </c>
      <c r="G3" s="1120"/>
      <c r="H3" s="1120"/>
      <c r="I3" s="1120"/>
      <c r="J3" s="1120"/>
      <c r="K3" s="1122"/>
      <c r="L3" s="1123"/>
      <c r="M3" s="1124"/>
      <c r="N3" s="1124"/>
      <c r="O3" s="1124"/>
      <c r="P3" s="1406"/>
      <c r="Q3" s="767"/>
      <c r="R3" s="767"/>
      <c r="S3" s="767"/>
      <c r="T3" s="767"/>
      <c r="U3" s="767"/>
      <c r="V3" s="767"/>
      <c r="W3" s="767"/>
      <c r="X3" s="767"/>
      <c r="Y3" s="767"/>
      <c r="Z3" s="767"/>
      <c r="AA3" s="767"/>
      <c r="AB3" s="785"/>
      <c r="AC3" s="781"/>
    </row>
    <row r="4" spans="1:29" ht="15">
      <c r="A4" s="401" t="s">
        <v>2557</v>
      </c>
      <c r="B4" s="402"/>
      <c r="C4" s="3280" t="s">
        <v>2558</v>
      </c>
      <c r="D4" s="3281"/>
      <c r="E4" s="3282" t="s">
        <v>2559</v>
      </c>
      <c r="F4" s="3283"/>
      <c r="G4" s="3280" t="s">
        <v>2560</v>
      </c>
      <c r="H4" s="3281"/>
      <c r="I4" s="3280" t="s">
        <v>2561</v>
      </c>
      <c r="J4" s="3281"/>
      <c r="K4" s="610" t="s">
        <v>2562</v>
      </c>
      <c r="L4" s="1125"/>
      <c r="M4" s="1126"/>
      <c r="N4" s="1126"/>
      <c r="O4" s="1126"/>
      <c r="P4" s="3284" t="s">
        <v>2563</v>
      </c>
      <c r="Q4" s="3285"/>
      <c r="R4" s="3290" t="s">
        <v>2559</v>
      </c>
      <c r="S4" s="3291"/>
      <c r="T4" s="3290" t="s">
        <v>2560</v>
      </c>
      <c r="U4" s="3291"/>
      <c r="V4" s="3296" t="s">
        <v>2561</v>
      </c>
      <c r="W4" s="3296"/>
      <c r="X4" s="1799"/>
      <c r="Y4" s="3290" t="s">
        <v>2563</v>
      </c>
      <c r="Z4" s="3291"/>
      <c r="AA4" s="3277" t="s">
        <v>2559</v>
      </c>
      <c r="AB4" s="3278" t="s">
        <v>2560</v>
      </c>
      <c r="AC4" s="3277" t="s">
        <v>2561</v>
      </c>
    </row>
    <row r="5" spans="1:29" ht="15">
      <c r="A5" s="404"/>
      <c r="B5" s="405"/>
      <c r="C5" s="3304" t="s">
        <v>2455</v>
      </c>
      <c r="D5" s="3300"/>
      <c r="E5" s="3356" t="s">
        <v>2456</v>
      </c>
      <c r="F5" s="3306"/>
      <c r="G5" s="3304" t="s">
        <v>2457</v>
      </c>
      <c r="H5" s="3300"/>
      <c r="I5" s="3304" t="s">
        <v>2458</v>
      </c>
      <c r="J5" s="3300"/>
      <c r="K5" s="610"/>
      <c r="L5" s="1125"/>
      <c r="M5" s="1126"/>
      <c r="N5" s="1126"/>
      <c r="O5" s="1126"/>
      <c r="P5" s="3286"/>
      <c r="Q5" s="3287"/>
      <c r="R5" s="3292"/>
      <c r="S5" s="3293"/>
      <c r="T5" s="3292"/>
      <c r="U5" s="3293"/>
      <c r="V5" s="3296"/>
      <c r="W5" s="3296"/>
      <c r="X5" s="1799"/>
      <c r="Y5" s="3292"/>
      <c r="Z5" s="3293"/>
      <c r="AA5" s="3278"/>
      <c r="AB5" s="3278"/>
      <c r="AC5" s="3278"/>
    </row>
    <row r="6" spans="1:29" ht="15.75" thickBot="1">
      <c r="A6" s="406"/>
      <c r="B6" s="407"/>
      <c r="C6" s="3338" t="s">
        <v>2459</v>
      </c>
      <c r="D6" s="3298"/>
      <c r="E6" s="3339" t="s">
        <v>2459</v>
      </c>
      <c r="F6" s="3340"/>
      <c r="G6" s="3338" t="s">
        <v>2459</v>
      </c>
      <c r="H6" s="3298"/>
      <c r="I6" s="3338" t="s">
        <v>2459</v>
      </c>
      <c r="J6" s="3298"/>
      <c r="K6" s="610" t="s">
        <v>2460</v>
      </c>
      <c r="L6" s="1125"/>
      <c r="M6" s="1126"/>
      <c r="N6" s="1126"/>
      <c r="O6" s="1126"/>
      <c r="P6" s="3288"/>
      <c r="Q6" s="3289"/>
      <c r="R6" s="3292"/>
      <c r="S6" s="3293"/>
      <c r="T6" s="3294"/>
      <c r="U6" s="3295"/>
      <c r="V6" s="3296"/>
      <c r="W6" s="3296"/>
      <c r="X6" s="1799"/>
      <c r="Y6" s="3294"/>
      <c r="Z6" s="3295"/>
      <c r="AA6" s="3279"/>
      <c r="AB6" s="3279"/>
      <c r="AC6" s="3279"/>
    </row>
    <row r="7" spans="1:29" s="117" customFormat="1" ht="15.75" thickBot="1">
      <c r="A7" s="408" t="s">
        <v>2461</v>
      </c>
      <c r="B7" s="409"/>
      <c r="C7" s="410">
        <f>'数据-取费表'!B2</f>
        <v>43161</v>
      </c>
      <c r="D7" s="411">
        <v>100</v>
      </c>
      <c r="E7" s="412"/>
      <c r="F7" s="413">
        <f>SUMIF(48:48,YEAR(E7)&amp;"-"&amp;MONTH(E7),49:49)</f>
        <v>0</v>
      </c>
      <c r="G7" s="412"/>
      <c r="H7" s="411">
        <f>SUMIF(48:48,YEAR(G7)&amp;"-"&amp;MONTH(G7),49:49)</f>
        <v>0</v>
      </c>
      <c r="I7" s="412"/>
      <c r="J7" s="411">
        <f>SUMIF(48:48,YEAR(I7)&amp;"-"&amp;MONTH(I7),49:49)</f>
        <v>0</v>
      </c>
      <c r="K7" s="611"/>
      <c r="L7" s="1127"/>
      <c r="M7" s="1128"/>
      <c r="N7" s="1128"/>
      <c r="O7" s="1128"/>
      <c r="P7" s="3301" t="s">
        <v>2462</v>
      </c>
      <c r="Q7" s="3303"/>
      <c r="R7" s="769" t="s">
        <v>17</v>
      </c>
      <c r="S7" s="770">
        <f t="shared" ref="S7:S14" si="0">F7</f>
        <v>0</v>
      </c>
      <c r="T7" s="769" t="s">
        <v>17</v>
      </c>
      <c r="U7" s="770">
        <f t="shared" ref="U7:U14" si="1">H7</f>
        <v>0</v>
      </c>
      <c r="V7" s="769" t="s">
        <v>17</v>
      </c>
      <c r="W7" s="770">
        <f t="shared" ref="W7:W14" si="2">J7</f>
        <v>0</v>
      </c>
      <c r="X7" s="771"/>
      <c r="Y7" s="3301" t="s">
        <v>2462</v>
      </c>
      <c r="Z7" s="3302"/>
      <c r="AA7" s="772" t="e">
        <f>D7/F7</f>
        <v>#DIV/0!</v>
      </c>
      <c r="AB7" s="772" t="e">
        <f>D7/H7</f>
        <v>#DIV/0!</v>
      </c>
      <c r="AC7" s="772" t="e">
        <f>D7/J7</f>
        <v>#DIV/0!</v>
      </c>
    </row>
    <row r="8" spans="1:29" s="117" customFormat="1" ht="15.75" thickBot="1">
      <c r="A8" s="408" t="s">
        <v>2463</v>
      </c>
      <c r="B8" s="409"/>
      <c r="C8" s="414" t="s">
        <v>2564</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301" t="s">
        <v>2465</v>
      </c>
      <c r="Q8" s="3302"/>
      <c r="R8" s="769" t="s">
        <v>17</v>
      </c>
      <c r="S8" s="770">
        <f t="shared" si="0"/>
        <v>0</v>
      </c>
      <c r="T8" s="769" t="s">
        <v>17</v>
      </c>
      <c r="U8" s="770">
        <f t="shared" si="1"/>
        <v>0</v>
      </c>
      <c r="V8" s="769" t="s">
        <v>17</v>
      </c>
      <c r="W8" s="770">
        <f t="shared" si="2"/>
        <v>0</v>
      </c>
      <c r="X8" s="771"/>
      <c r="Y8" s="3301" t="s">
        <v>2465</v>
      </c>
      <c r="Z8" s="3302"/>
      <c r="AA8" s="772" t="e">
        <f t="shared" ref="AA8:AA36" si="3">D8/F8</f>
        <v>#DIV/0!</v>
      </c>
      <c r="AB8" s="772" t="e">
        <f t="shared" ref="AB8:AB36" si="4">D8/H8</f>
        <v>#DIV/0!</v>
      </c>
      <c r="AC8" s="772" t="e">
        <f t="shared" ref="AC8:AC36" si="5">D8/J8</f>
        <v>#DIV/0!</v>
      </c>
    </row>
    <row r="9" spans="1:29" s="117" customFormat="1">
      <c r="A9" s="68" t="s">
        <v>2466</v>
      </c>
      <c r="B9" s="639" t="s">
        <v>2467</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65" t="s">
        <v>2468</v>
      </c>
      <c r="Q9" s="1781" t="str">
        <f t="shared" ref="Q9:Q14" si="6">B9</f>
        <v>用途</v>
      </c>
      <c r="R9" s="769" t="s">
        <v>17</v>
      </c>
      <c r="S9" s="770">
        <f t="shared" si="0"/>
        <v>100</v>
      </c>
      <c r="T9" s="769" t="s">
        <v>17</v>
      </c>
      <c r="U9" s="770">
        <f t="shared" si="1"/>
        <v>100</v>
      </c>
      <c r="V9" s="769" t="s">
        <v>17</v>
      </c>
      <c r="W9" s="770">
        <f t="shared" si="2"/>
        <v>100</v>
      </c>
      <c r="X9" s="771"/>
      <c r="Y9" s="3142" t="s">
        <v>2469</v>
      </c>
      <c r="Z9" s="55" t="str">
        <f t="shared" ref="Z9:Z14" si="7">Q9</f>
        <v>用途</v>
      </c>
      <c r="AA9" s="772">
        <f t="shared" si="3"/>
        <v>1</v>
      </c>
      <c r="AB9" s="772">
        <f t="shared" si="4"/>
        <v>1</v>
      </c>
      <c r="AC9" s="772">
        <f t="shared" si="5"/>
        <v>1</v>
      </c>
    </row>
    <row r="10" spans="1:29" s="427" customFormat="1" ht="27">
      <c r="A10" s="640"/>
      <c r="B10" s="641" t="s">
        <v>2470</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65"/>
      <c r="Q10" s="1781" t="str">
        <f t="shared" si="6"/>
        <v>土地使用年限（年）</v>
      </c>
      <c r="R10" s="769" t="s">
        <v>17</v>
      </c>
      <c r="S10" s="770">
        <f t="shared" si="0"/>
        <v>100</v>
      </c>
      <c r="T10" s="769" t="s">
        <v>17</v>
      </c>
      <c r="U10" s="770">
        <f t="shared" si="1"/>
        <v>100</v>
      </c>
      <c r="V10" s="769" t="s">
        <v>17</v>
      </c>
      <c r="W10" s="770">
        <f t="shared" si="2"/>
        <v>100</v>
      </c>
      <c r="X10" s="771"/>
      <c r="Y10" s="3142"/>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65"/>
      <c r="Q11" s="1781">
        <f t="shared" si="6"/>
        <v>111</v>
      </c>
      <c r="R11" s="769" t="s">
        <v>17</v>
      </c>
      <c r="S11" s="770">
        <f t="shared" si="0"/>
        <v>100</v>
      </c>
      <c r="T11" s="769" t="s">
        <v>17</v>
      </c>
      <c r="U11" s="770">
        <f t="shared" si="1"/>
        <v>100</v>
      </c>
      <c r="V11" s="769" t="s">
        <v>17</v>
      </c>
      <c r="W11" s="770">
        <f t="shared" si="2"/>
        <v>100</v>
      </c>
      <c r="X11" s="771"/>
      <c r="Y11" s="3142"/>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65"/>
      <c r="Q12" s="1781">
        <f t="shared" si="6"/>
        <v>111</v>
      </c>
      <c r="R12" s="769" t="s">
        <v>17</v>
      </c>
      <c r="S12" s="770">
        <f t="shared" si="0"/>
        <v>100</v>
      </c>
      <c r="T12" s="769" t="s">
        <v>17</v>
      </c>
      <c r="U12" s="770">
        <f t="shared" si="1"/>
        <v>100</v>
      </c>
      <c r="V12" s="769" t="s">
        <v>17</v>
      </c>
      <c r="W12" s="770">
        <f t="shared" si="2"/>
        <v>100</v>
      </c>
      <c r="X12" s="771"/>
      <c r="Y12" s="3142"/>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65"/>
      <c r="Q13" s="1781">
        <f t="shared" si="6"/>
        <v>111</v>
      </c>
      <c r="R13" s="769" t="s">
        <v>17</v>
      </c>
      <c r="S13" s="770">
        <f t="shared" si="0"/>
        <v>100</v>
      </c>
      <c r="T13" s="769" t="s">
        <v>17</v>
      </c>
      <c r="U13" s="770">
        <f t="shared" si="1"/>
        <v>100</v>
      </c>
      <c r="V13" s="769" t="s">
        <v>17</v>
      </c>
      <c r="W13" s="770">
        <f t="shared" si="2"/>
        <v>100</v>
      </c>
      <c r="X13" s="771"/>
      <c r="Y13" s="3142"/>
      <c r="Z13" s="55">
        <f t="shared" si="7"/>
        <v>111</v>
      </c>
      <c r="AA13" s="772">
        <f t="shared" si="3"/>
        <v>1</v>
      </c>
      <c r="AB13" s="772">
        <f t="shared" si="4"/>
        <v>1</v>
      </c>
      <c r="AC13" s="772">
        <f t="shared" si="5"/>
        <v>1</v>
      </c>
    </row>
    <row r="14" spans="1:29" ht="15">
      <c r="A14" s="401" t="s">
        <v>2472</v>
      </c>
      <c r="B14" s="628" t="s">
        <v>2621</v>
      </c>
      <c r="C14" s="257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67" t="s">
        <v>2473</v>
      </c>
      <c r="Q14" s="1796" t="str">
        <f t="shared" si="6"/>
        <v>交通便捷度</v>
      </c>
      <c r="R14" s="773" t="s">
        <v>17</v>
      </c>
      <c r="S14" s="774">
        <f t="shared" si="0"/>
        <v>100</v>
      </c>
      <c r="T14" s="773" t="s">
        <v>17</v>
      </c>
      <c r="U14" s="774">
        <f t="shared" si="1"/>
        <v>100</v>
      </c>
      <c r="V14" s="773" t="s">
        <v>17</v>
      </c>
      <c r="W14" s="774">
        <f t="shared" si="2"/>
        <v>100</v>
      </c>
      <c r="X14" s="1799"/>
      <c r="Y14" s="3267" t="s">
        <v>2473</v>
      </c>
      <c r="Z14" s="1800" t="str">
        <f t="shared" si="7"/>
        <v>交通便捷度</v>
      </c>
      <c r="AA14" s="1797">
        <f t="shared" si="3"/>
        <v>1</v>
      </c>
      <c r="AB14" s="1797">
        <f t="shared" si="4"/>
        <v>1</v>
      </c>
      <c r="AC14" s="1797">
        <f t="shared" si="5"/>
        <v>1</v>
      </c>
    </row>
    <row r="15" spans="1:29" ht="15">
      <c r="A15" s="404"/>
      <c r="B15" s="646"/>
      <c r="C15" s="447"/>
      <c r="D15" s="448"/>
      <c r="E15" s="447"/>
      <c r="F15" s="449"/>
      <c r="G15" s="447"/>
      <c r="H15" s="450"/>
      <c r="I15" s="447"/>
      <c r="J15" s="448"/>
      <c r="K15" s="615"/>
      <c r="L15" s="1135"/>
      <c r="M15" s="1126"/>
      <c r="N15" s="1126"/>
      <c r="O15" s="1126"/>
      <c r="P15" s="3268"/>
      <c r="Q15" s="1796"/>
      <c r="R15" s="773"/>
      <c r="S15" s="774"/>
      <c r="T15" s="773"/>
      <c r="U15" s="774"/>
      <c r="V15" s="773"/>
      <c r="W15" s="774"/>
      <c r="X15" s="1799"/>
      <c r="Y15" s="3268"/>
      <c r="Z15" s="1800"/>
      <c r="AA15" s="1797">
        <v>1</v>
      </c>
      <c r="AB15" s="1797">
        <v>1</v>
      </c>
      <c r="AC15" s="1797">
        <v>1</v>
      </c>
    </row>
    <row r="16" spans="1:29" ht="15">
      <c r="A16" s="404"/>
      <c r="B16" s="630" t="s">
        <v>2600</v>
      </c>
      <c r="C16" s="2492">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68"/>
      <c r="Q16" s="1796" t="str">
        <f>B16</f>
        <v>公共配套设施</v>
      </c>
      <c r="R16" s="773" t="s">
        <v>17</v>
      </c>
      <c r="S16" s="774">
        <f>F16</f>
        <v>100</v>
      </c>
      <c r="T16" s="773" t="s">
        <v>17</v>
      </c>
      <c r="U16" s="774">
        <f>H16</f>
        <v>100</v>
      </c>
      <c r="V16" s="773" t="s">
        <v>17</v>
      </c>
      <c r="W16" s="774">
        <f>J16</f>
        <v>100</v>
      </c>
      <c r="X16" s="1799"/>
      <c r="Y16" s="3268"/>
      <c r="Z16" s="1800" t="str">
        <f>Q16</f>
        <v>公共配套设施</v>
      </c>
      <c r="AA16" s="1797">
        <f t="shared" si="3"/>
        <v>1</v>
      </c>
      <c r="AB16" s="1797">
        <f t="shared" si="4"/>
        <v>1</v>
      </c>
      <c r="AC16" s="1797">
        <f t="shared" si="5"/>
        <v>1</v>
      </c>
    </row>
    <row r="17" spans="1:29" ht="15">
      <c r="A17" s="404"/>
      <c r="B17" s="631"/>
      <c r="C17" s="2493"/>
      <c r="D17" s="448"/>
      <c r="E17" s="447"/>
      <c r="F17" s="449"/>
      <c r="G17" s="447"/>
      <c r="H17" s="448"/>
      <c r="I17" s="447"/>
      <c r="J17" s="448"/>
      <c r="K17" s="615"/>
      <c r="L17" s="1135"/>
      <c r="M17" s="1126"/>
      <c r="N17" s="1126"/>
      <c r="O17" s="1126"/>
      <c r="P17" s="3268"/>
      <c r="Q17" s="1796"/>
      <c r="R17" s="773"/>
      <c r="S17" s="774"/>
      <c r="T17" s="773"/>
      <c r="U17" s="774"/>
      <c r="V17" s="773"/>
      <c r="W17" s="774"/>
      <c r="X17" s="1799"/>
      <c r="Y17" s="3268"/>
      <c r="Z17" s="1800"/>
      <c r="AA17" s="1797">
        <v>1</v>
      </c>
      <c r="AB17" s="1797">
        <v>1</v>
      </c>
      <c r="AC17" s="1797">
        <v>1</v>
      </c>
    </row>
    <row r="18" spans="1:29" ht="15">
      <c r="A18" s="404"/>
      <c r="B18" s="632" t="s">
        <v>2601</v>
      </c>
      <c r="C18" s="2492">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68"/>
      <c r="Q18" s="1796" t="str">
        <f>B18</f>
        <v>基础设施水平</v>
      </c>
      <c r="R18" s="773" t="s">
        <v>17</v>
      </c>
      <c r="S18" s="774">
        <f>F18</f>
        <v>100</v>
      </c>
      <c r="T18" s="773" t="s">
        <v>17</v>
      </c>
      <c r="U18" s="774">
        <f>H18</f>
        <v>100</v>
      </c>
      <c r="V18" s="773" t="s">
        <v>17</v>
      </c>
      <c r="W18" s="774">
        <f>J18</f>
        <v>100</v>
      </c>
      <c r="X18" s="1799"/>
      <c r="Y18" s="3268"/>
      <c r="Z18" s="1800" t="str">
        <f>Q18</f>
        <v>基础设施水平</v>
      </c>
      <c r="AA18" s="1797">
        <f t="shared" ref="AA18" si="8">D18/F18</f>
        <v>1</v>
      </c>
      <c r="AB18" s="1797">
        <f t="shared" ref="AB18" si="9">D18/H18</f>
        <v>1</v>
      </c>
      <c r="AC18" s="1797">
        <f t="shared" ref="AC18" si="10">D18/J18</f>
        <v>1</v>
      </c>
    </row>
    <row r="19" spans="1:29" ht="15">
      <c r="A19" s="404"/>
      <c r="B19" s="632"/>
      <c r="C19" s="2493"/>
      <c r="D19" s="450"/>
      <c r="E19" s="2493"/>
      <c r="F19" s="453"/>
      <c r="G19" s="2493"/>
      <c r="H19" s="448"/>
      <c r="I19" s="447"/>
      <c r="J19" s="448"/>
      <c r="K19" s="1370"/>
      <c r="L19" s="1135"/>
      <c r="M19" s="1126"/>
      <c r="N19" s="1126"/>
      <c r="O19" s="1126"/>
      <c r="P19" s="3268"/>
      <c r="Q19" s="1796"/>
      <c r="R19" s="773"/>
      <c r="S19" s="774"/>
      <c r="T19" s="773"/>
      <c r="U19" s="774"/>
      <c r="V19" s="773"/>
      <c r="W19" s="774"/>
      <c r="X19" s="1799"/>
      <c r="Y19" s="3268"/>
      <c r="Z19" s="1800"/>
      <c r="AA19" s="1797">
        <v>1</v>
      </c>
      <c r="AB19" s="1797">
        <v>1</v>
      </c>
      <c r="AC19" s="1797">
        <v>1</v>
      </c>
    </row>
    <row r="20" spans="1:29" ht="15">
      <c r="A20" s="404"/>
      <c r="B20" s="630" t="s">
        <v>2622</v>
      </c>
      <c r="C20" s="2492">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68"/>
      <c r="Q20" s="1796" t="str">
        <f>B20</f>
        <v>自然及人文环境</v>
      </c>
      <c r="R20" s="773" t="s">
        <v>17</v>
      </c>
      <c r="S20" s="774">
        <f>F20</f>
        <v>100</v>
      </c>
      <c r="T20" s="773" t="s">
        <v>17</v>
      </c>
      <c r="U20" s="774">
        <f>H20</f>
        <v>100</v>
      </c>
      <c r="V20" s="773" t="s">
        <v>17</v>
      </c>
      <c r="W20" s="774">
        <f>J20</f>
        <v>100</v>
      </c>
      <c r="X20" s="1799"/>
      <c r="Y20" s="3268"/>
      <c r="Z20" s="1800" t="str">
        <f>Q20</f>
        <v>自然及人文环境</v>
      </c>
      <c r="AA20" s="1797">
        <f t="shared" si="3"/>
        <v>1</v>
      </c>
      <c r="AB20" s="1797">
        <f t="shared" si="4"/>
        <v>1</v>
      </c>
      <c r="AC20" s="1797">
        <f t="shared" si="5"/>
        <v>1</v>
      </c>
    </row>
    <row r="21" spans="1:29" ht="15">
      <c r="A21" s="404"/>
      <c r="B21" s="631"/>
      <c r="C21" s="447"/>
      <c r="D21" s="448"/>
      <c r="E21" s="447"/>
      <c r="F21" s="449"/>
      <c r="G21" s="447"/>
      <c r="H21" s="448"/>
      <c r="I21" s="447"/>
      <c r="J21" s="448"/>
      <c r="K21" s="615"/>
      <c r="L21" s="1135"/>
      <c r="M21" s="1126"/>
      <c r="N21" s="1126"/>
      <c r="O21" s="1126"/>
      <c r="P21" s="3268"/>
      <c r="Q21" s="1796"/>
      <c r="R21" s="773"/>
      <c r="S21" s="774"/>
      <c r="T21" s="773"/>
      <c r="U21" s="774"/>
      <c r="V21" s="773"/>
      <c r="W21" s="774"/>
      <c r="X21" s="1799"/>
      <c r="Y21" s="3268"/>
      <c r="Z21" s="1800"/>
      <c r="AA21" s="1797">
        <v>1</v>
      </c>
      <c r="AB21" s="1797">
        <v>1</v>
      </c>
      <c r="AC21" s="1797">
        <v>1</v>
      </c>
    </row>
    <row r="22" spans="1:29" ht="15">
      <c r="A22" s="404"/>
      <c r="B22" s="630" t="s">
        <v>2623</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68"/>
      <c r="Q22" s="1796" t="str">
        <f>B22</f>
        <v>楼层</v>
      </c>
      <c r="R22" s="773" t="s">
        <v>17</v>
      </c>
      <c r="S22" s="774">
        <f>F22</f>
        <v>100</v>
      </c>
      <c r="T22" s="773" t="s">
        <v>17</v>
      </c>
      <c r="U22" s="774">
        <f>H22</f>
        <v>100</v>
      </c>
      <c r="V22" s="773" t="s">
        <v>17</v>
      </c>
      <c r="W22" s="774">
        <f>J22</f>
        <v>100</v>
      </c>
      <c r="X22" s="1799"/>
      <c r="Y22" s="3268"/>
      <c r="Z22" s="1800" t="str">
        <f>Q22</f>
        <v>楼层</v>
      </c>
      <c r="AA22" s="1797">
        <f t="shared" si="3"/>
        <v>1</v>
      </c>
      <c r="AB22" s="1797">
        <f t="shared" si="4"/>
        <v>1</v>
      </c>
      <c r="AC22" s="179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68"/>
      <c r="Q23" s="1796">
        <f>B23</f>
        <v>111</v>
      </c>
      <c r="R23" s="773" t="s">
        <v>17</v>
      </c>
      <c r="S23" s="774">
        <f>F23</f>
        <v>100</v>
      </c>
      <c r="T23" s="773" t="s">
        <v>17</v>
      </c>
      <c r="U23" s="774">
        <f>H23</f>
        <v>100</v>
      </c>
      <c r="V23" s="773" t="s">
        <v>17</v>
      </c>
      <c r="W23" s="774">
        <f>J23</f>
        <v>100</v>
      </c>
      <c r="X23" s="1799"/>
      <c r="Y23" s="3268"/>
      <c r="Z23" s="1800">
        <f>Q23</f>
        <v>111</v>
      </c>
      <c r="AA23" s="1797">
        <f t="shared" si="3"/>
        <v>1</v>
      </c>
      <c r="AB23" s="1797">
        <f t="shared" si="4"/>
        <v>1</v>
      </c>
      <c r="AC23" s="179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68"/>
      <c r="Q24" s="1796">
        <f t="shared" ref="Q24:Q36" si="11">B24</f>
        <v>111</v>
      </c>
      <c r="R24" s="773" t="s">
        <v>17</v>
      </c>
      <c r="S24" s="774">
        <f>F24</f>
        <v>100</v>
      </c>
      <c r="T24" s="773" t="s">
        <v>17</v>
      </c>
      <c r="U24" s="774">
        <f>H24</f>
        <v>100</v>
      </c>
      <c r="V24" s="773" t="s">
        <v>17</v>
      </c>
      <c r="W24" s="774">
        <f>J24</f>
        <v>100</v>
      </c>
      <c r="X24" s="1799"/>
      <c r="Y24" s="3268"/>
      <c r="Z24" s="1800">
        <f>Q24</f>
        <v>111</v>
      </c>
      <c r="AA24" s="1797">
        <f t="shared" si="3"/>
        <v>1</v>
      </c>
      <c r="AB24" s="1797">
        <f t="shared" si="4"/>
        <v>1</v>
      </c>
      <c r="AC24" s="179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7"/>
      <c r="M25" s="1128"/>
      <c r="N25" s="1128"/>
      <c r="O25" s="1128"/>
      <c r="P25" s="3268"/>
      <c r="Q25" s="1781">
        <f t="shared" si="11"/>
        <v>111</v>
      </c>
      <c r="R25" s="769" t="s">
        <v>17</v>
      </c>
      <c r="S25" s="770">
        <f>F25</f>
        <v>100</v>
      </c>
      <c r="T25" s="769" t="s">
        <v>17</v>
      </c>
      <c r="U25" s="770">
        <f>H25</f>
        <v>100</v>
      </c>
      <c r="V25" s="769" t="s">
        <v>17</v>
      </c>
      <c r="W25" s="770">
        <f>J25</f>
        <v>100</v>
      </c>
      <c r="X25" s="771"/>
      <c r="Y25" s="3268"/>
      <c r="Z25" s="55">
        <f>Q25</f>
        <v>111</v>
      </c>
      <c r="AA25" s="1797">
        <f>D25/F25</f>
        <v>1</v>
      </c>
      <c r="AB25" s="1797">
        <f>D25/H25</f>
        <v>1</v>
      </c>
      <c r="AC25" s="1797">
        <f>D25/J25</f>
        <v>1</v>
      </c>
    </row>
    <row r="26" spans="1:29" ht="15">
      <c r="A26" s="651" t="s">
        <v>2476</v>
      </c>
      <c r="B26" s="70" t="s">
        <v>2624</v>
      </c>
      <c r="C26" s="2577">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57" t="s">
        <v>2478</v>
      </c>
      <c r="Q26" s="1796" t="str">
        <f t="shared" si="11"/>
        <v>配套类型</v>
      </c>
      <c r="R26" s="773" t="s">
        <v>17</v>
      </c>
      <c r="S26" s="774">
        <f t="shared" ref="S26:S36" si="12">F26</f>
        <v>100</v>
      </c>
      <c r="T26" s="773" t="s">
        <v>17</v>
      </c>
      <c r="U26" s="774">
        <f t="shared" ref="U26:U36" si="13">H26</f>
        <v>100</v>
      </c>
      <c r="V26" s="773" t="s">
        <v>17</v>
      </c>
      <c r="W26" s="774">
        <f t="shared" ref="W26:W36" si="14">J26</f>
        <v>100</v>
      </c>
      <c r="X26" s="1799"/>
      <c r="Y26" s="3272" t="s">
        <v>2478</v>
      </c>
      <c r="Z26" s="1800" t="str">
        <f t="shared" ref="Z26:Z36" si="15">Q26</f>
        <v>配套类型</v>
      </c>
      <c r="AA26" s="1797">
        <f t="shared" si="3"/>
        <v>1</v>
      </c>
      <c r="AB26" s="1797">
        <f t="shared" si="4"/>
        <v>1</v>
      </c>
      <c r="AC26" s="1797">
        <f t="shared" si="5"/>
        <v>1</v>
      </c>
    </row>
    <row r="27" spans="1:29" s="471" customFormat="1" ht="15">
      <c r="A27" s="652"/>
      <c r="B27" s="653" t="s">
        <v>2625</v>
      </c>
      <c r="C27" s="654"/>
      <c r="D27" s="136">
        <v>100</v>
      </c>
      <c r="E27" s="654"/>
      <c r="F27" s="461">
        <f>SUMIF(81:81,E27,82:82)-SUMIF(81:81,C27,82:82)+100</f>
        <v>100</v>
      </c>
      <c r="G27" s="654"/>
      <c r="H27" s="435">
        <f>SUMIF(81:81,G27,82:82)-SUMIF(81:81,C27,82:82)+100</f>
        <v>100</v>
      </c>
      <c r="I27" s="654"/>
      <c r="J27" s="435">
        <f>SUMIF(81:81,I27,82:82)-SUMIF(81:81,C27,82:82)+100</f>
        <v>100</v>
      </c>
      <c r="K27" s="613"/>
      <c r="L27" s="1133"/>
      <c r="M27" s="1136"/>
      <c r="N27" s="1136"/>
      <c r="O27" s="1136"/>
      <c r="P27" s="3272"/>
      <c r="Q27" s="775" t="str">
        <f t="shared" si="11"/>
        <v>项目停车位配比</v>
      </c>
      <c r="R27" s="776" t="s">
        <v>17</v>
      </c>
      <c r="S27" s="777">
        <f t="shared" si="12"/>
        <v>100</v>
      </c>
      <c r="T27" s="776" t="s">
        <v>17</v>
      </c>
      <c r="U27" s="777">
        <f t="shared" si="13"/>
        <v>100</v>
      </c>
      <c r="V27" s="776" t="s">
        <v>17</v>
      </c>
      <c r="W27" s="777">
        <f t="shared" si="14"/>
        <v>100</v>
      </c>
      <c r="X27" s="778"/>
      <c r="Y27" s="3272"/>
      <c r="Z27" s="779" t="str">
        <f t="shared" si="15"/>
        <v>项目停车位配比</v>
      </c>
      <c r="AA27" s="1797">
        <f t="shared" si="3"/>
        <v>1</v>
      </c>
      <c r="AB27" s="1797">
        <f t="shared" si="4"/>
        <v>1</v>
      </c>
      <c r="AC27" s="1797">
        <f t="shared" si="5"/>
        <v>1</v>
      </c>
    </row>
    <row r="28" spans="1:29" ht="15">
      <c r="A28" s="655"/>
      <c r="B28" s="653" t="s">
        <v>2626</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72"/>
      <c r="Q28" s="1796" t="str">
        <f t="shared" si="11"/>
        <v>公共部分装修</v>
      </c>
      <c r="R28" s="773" t="s">
        <v>17</v>
      </c>
      <c r="S28" s="774">
        <f t="shared" si="12"/>
        <v>100</v>
      </c>
      <c r="T28" s="773" t="s">
        <v>17</v>
      </c>
      <c r="U28" s="774">
        <f t="shared" si="13"/>
        <v>100</v>
      </c>
      <c r="V28" s="773" t="s">
        <v>17</v>
      </c>
      <c r="W28" s="774">
        <f t="shared" si="14"/>
        <v>100</v>
      </c>
      <c r="X28" s="1799"/>
      <c r="Y28" s="3272"/>
      <c r="Z28" s="1800" t="str">
        <f t="shared" si="15"/>
        <v>公共部分装修</v>
      </c>
      <c r="AA28" s="1797">
        <f t="shared" si="3"/>
        <v>1</v>
      </c>
      <c r="AB28" s="1797">
        <f t="shared" si="4"/>
        <v>1</v>
      </c>
      <c r="AC28" s="1797">
        <f t="shared" si="5"/>
        <v>1</v>
      </c>
    </row>
    <row r="29" spans="1:29" ht="15">
      <c r="A29" s="655"/>
      <c r="B29" s="653" t="s">
        <v>2627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72"/>
      <c r="Q29" s="1796" t="str">
        <f t="shared" si="11"/>
        <v>成新率</v>
      </c>
      <c r="R29" s="773" t="s">
        <v>17</v>
      </c>
      <c r="S29" s="774" t="e">
        <f t="shared" si="12"/>
        <v>#N/A</v>
      </c>
      <c r="T29" s="773" t="s">
        <v>17</v>
      </c>
      <c r="U29" s="774" t="e">
        <f t="shared" si="13"/>
        <v>#N/A</v>
      </c>
      <c r="V29" s="773" t="s">
        <v>17</v>
      </c>
      <c r="W29" s="774" t="e">
        <f t="shared" si="14"/>
        <v>#N/A</v>
      </c>
      <c r="X29" s="1799"/>
      <c r="Y29" s="3272"/>
      <c r="Z29" s="1800" t="str">
        <f t="shared" si="15"/>
        <v>成新率</v>
      </c>
      <c r="AA29" s="1797" t="e">
        <f t="shared" si="3"/>
        <v>#N/A</v>
      </c>
      <c r="AB29" s="1797" t="e">
        <f t="shared" si="4"/>
        <v>#N/A</v>
      </c>
      <c r="AC29" s="1797" t="e">
        <f t="shared" si="5"/>
        <v>#N/A</v>
      </c>
    </row>
    <row r="30" spans="1:29" ht="15">
      <c r="A30" s="655"/>
      <c r="B30" s="653" t="s">
        <v>2628</v>
      </c>
      <c r="C30" s="656"/>
      <c r="D30" s="435">
        <v>100</v>
      </c>
      <c r="E30" s="656"/>
      <c r="F30" s="461">
        <f>SUMIF(88:88,E30,89:89)-SUMIF(88:88,C30,89:89)+100</f>
        <v>100</v>
      </c>
      <c r="G30" s="656"/>
      <c r="H30" s="435">
        <f>SUMIF(88:88,E30,89:89)-SUMIF(88:88,C30,89:89)+100</f>
        <v>100</v>
      </c>
      <c r="I30" s="656"/>
      <c r="J30" s="435">
        <f>SUMIF(88:88,E30,89:89)-SUMIF(88:88,C30,89:89)+100</f>
        <v>100</v>
      </c>
      <c r="K30" s="612"/>
      <c r="L30" s="1135"/>
      <c r="M30" s="1126"/>
      <c r="N30" s="1126"/>
      <c r="O30" s="1126"/>
      <c r="P30" s="3272"/>
      <c r="Q30" s="1796" t="str">
        <f t="shared" si="11"/>
        <v>物业等级</v>
      </c>
      <c r="R30" s="773" t="s">
        <v>17</v>
      </c>
      <c r="S30" s="774">
        <f t="shared" si="12"/>
        <v>100</v>
      </c>
      <c r="T30" s="773" t="s">
        <v>17</v>
      </c>
      <c r="U30" s="774">
        <f t="shared" si="13"/>
        <v>100</v>
      </c>
      <c r="V30" s="773" t="s">
        <v>17</v>
      </c>
      <c r="W30" s="774">
        <f t="shared" si="14"/>
        <v>100</v>
      </c>
      <c r="X30" s="1799"/>
      <c r="Y30" s="3272"/>
      <c r="Z30" s="1800" t="str">
        <f t="shared" si="15"/>
        <v>物业等级</v>
      </c>
      <c r="AA30" s="1797">
        <f t="shared" si="3"/>
        <v>1</v>
      </c>
      <c r="AB30" s="1797">
        <f t="shared" si="4"/>
        <v>1</v>
      </c>
      <c r="AC30" s="1797">
        <f t="shared" si="5"/>
        <v>1</v>
      </c>
    </row>
    <row r="31" spans="1:29" s="117" customFormat="1" ht="15">
      <c r="A31" s="657"/>
      <c r="B31" s="653" t="s">
        <v>2629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72"/>
      <c r="Q31" s="1781" t="str">
        <f t="shared" si="11"/>
        <v>停车位面积</v>
      </c>
      <c r="R31" s="769" t="s">
        <v>17</v>
      </c>
      <c r="S31" s="770" t="e">
        <f t="shared" si="12"/>
        <v>#N/A</v>
      </c>
      <c r="T31" s="769" t="s">
        <v>17</v>
      </c>
      <c r="U31" s="770" t="e">
        <f t="shared" si="13"/>
        <v>#N/A</v>
      </c>
      <c r="V31" s="769" t="s">
        <v>17</v>
      </c>
      <c r="W31" s="770" t="e">
        <f t="shared" si="14"/>
        <v>#N/A</v>
      </c>
      <c r="X31" s="771"/>
      <c r="Y31" s="3272"/>
      <c r="Z31" s="55" t="str">
        <f t="shared" si="15"/>
        <v>停车位面积</v>
      </c>
      <c r="AA31" s="772" t="e">
        <f t="shared" si="3"/>
        <v>#N/A</v>
      </c>
      <c r="AB31" s="772" t="e">
        <f t="shared" si="4"/>
        <v>#N/A</v>
      </c>
      <c r="AC31" s="772" t="e">
        <f t="shared" si="5"/>
        <v>#N/A</v>
      </c>
    </row>
    <row r="32" spans="1:29" ht="15">
      <c r="A32" s="655"/>
      <c r="B32" s="653" t="s">
        <v>2630</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72" t="s">
        <v>2478</v>
      </c>
      <c r="Q32" s="1796" t="str">
        <f t="shared" si="11"/>
        <v>车位类型</v>
      </c>
      <c r="R32" s="773" t="s">
        <v>17</v>
      </c>
      <c r="S32" s="774">
        <f t="shared" si="12"/>
        <v>100</v>
      </c>
      <c r="T32" s="773" t="s">
        <v>17</v>
      </c>
      <c r="U32" s="774">
        <f t="shared" si="13"/>
        <v>100</v>
      </c>
      <c r="V32" s="773" t="s">
        <v>17</v>
      </c>
      <c r="W32" s="774">
        <f t="shared" si="14"/>
        <v>100</v>
      </c>
      <c r="X32" s="1799"/>
      <c r="Y32" s="3272" t="s">
        <v>2478</v>
      </c>
      <c r="Z32" s="1800" t="str">
        <f t="shared" si="15"/>
        <v>车位类型</v>
      </c>
      <c r="AA32" s="1797">
        <f t="shared" si="3"/>
        <v>1</v>
      </c>
      <c r="AB32" s="1797">
        <f t="shared" si="4"/>
        <v>1</v>
      </c>
      <c r="AC32" s="1797">
        <f t="shared" si="5"/>
        <v>1</v>
      </c>
    </row>
    <row r="33" spans="1:29" ht="15">
      <c r="A33" s="655"/>
      <c r="B33" s="653" t="s">
        <v>2631</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72"/>
      <c r="Q33" s="1796" t="str">
        <f t="shared" si="11"/>
        <v>是否直接入户</v>
      </c>
      <c r="R33" s="773" t="s">
        <v>17</v>
      </c>
      <c r="S33" s="774">
        <f t="shared" si="12"/>
        <v>100</v>
      </c>
      <c r="T33" s="773" t="s">
        <v>17</v>
      </c>
      <c r="U33" s="774">
        <f t="shared" si="13"/>
        <v>100</v>
      </c>
      <c r="V33" s="773" t="s">
        <v>17</v>
      </c>
      <c r="W33" s="774">
        <f t="shared" si="14"/>
        <v>100</v>
      </c>
      <c r="X33" s="1799"/>
      <c r="Y33" s="3272"/>
      <c r="Z33" s="1800" t="str">
        <f t="shared" si="15"/>
        <v>是否直接入户</v>
      </c>
      <c r="AA33" s="1797">
        <f t="shared" si="3"/>
        <v>1</v>
      </c>
      <c r="AB33" s="1797">
        <f t="shared" si="4"/>
        <v>1</v>
      </c>
      <c r="AC33" s="179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72"/>
      <c r="Q34" s="1796">
        <f t="shared" si="11"/>
        <v>111</v>
      </c>
      <c r="R34" s="773" t="s">
        <v>17</v>
      </c>
      <c r="S34" s="774">
        <f t="shared" si="12"/>
        <v>100</v>
      </c>
      <c r="T34" s="773" t="s">
        <v>17</v>
      </c>
      <c r="U34" s="774">
        <f t="shared" si="13"/>
        <v>100</v>
      </c>
      <c r="V34" s="773" t="s">
        <v>17</v>
      </c>
      <c r="W34" s="774">
        <f t="shared" si="14"/>
        <v>100</v>
      </c>
      <c r="X34" s="1799"/>
      <c r="Y34" s="3272"/>
      <c r="Z34" s="1800">
        <f t="shared" si="15"/>
        <v>111</v>
      </c>
      <c r="AA34" s="1797">
        <f t="shared" si="3"/>
        <v>1</v>
      </c>
      <c r="AB34" s="1797">
        <f t="shared" si="4"/>
        <v>1</v>
      </c>
      <c r="AC34" s="179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72"/>
      <c r="Q35" s="775">
        <f t="shared" si="11"/>
        <v>111</v>
      </c>
      <c r="R35" s="776" t="s">
        <v>17</v>
      </c>
      <c r="S35" s="777">
        <f t="shared" si="12"/>
        <v>100</v>
      </c>
      <c r="T35" s="776" t="s">
        <v>17</v>
      </c>
      <c r="U35" s="777">
        <f t="shared" si="13"/>
        <v>100</v>
      </c>
      <c r="V35" s="776" t="s">
        <v>17</v>
      </c>
      <c r="W35" s="777">
        <f t="shared" si="14"/>
        <v>100</v>
      </c>
      <c r="X35" s="778"/>
      <c r="Y35" s="3272"/>
      <c r="Z35" s="779">
        <f t="shared" si="15"/>
        <v>111</v>
      </c>
      <c r="AA35" s="1797">
        <f t="shared" si="3"/>
        <v>1</v>
      </c>
      <c r="AB35" s="1797">
        <f t="shared" si="4"/>
        <v>1</v>
      </c>
      <c r="AC35" s="179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72"/>
      <c r="Q36" s="1796">
        <f t="shared" si="11"/>
        <v>111</v>
      </c>
      <c r="R36" s="773" t="s">
        <v>17</v>
      </c>
      <c r="S36" s="774">
        <f t="shared" si="12"/>
        <v>100</v>
      </c>
      <c r="T36" s="773" t="s">
        <v>17</v>
      </c>
      <c r="U36" s="774">
        <f t="shared" si="13"/>
        <v>100</v>
      </c>
      <c r="V36" s="773" t="s">
        <v>17</v>
      </c>
      <c r="W36" s="774">
        <f t="shared" si="14"/>
        <v>100</v>
      </c>
      <c r="X36" s="1799"/>
      <c r="Y36" s="3272"/>
      <c r="Z36" s="1800">
        <f t="shared" si="15"/>
        <v>111</v>
      </c>
      <c r="AA36" s="1797">
        <f t="shared" si="3"/>
        <v>1</v>
      </c>
      <c r="AB36" s="1797">
        <f t="shared" si="4"/>
        <v>1</v>
      </c>
      <c r="AC36" s="1797">
        <f t="shared" si="5"/>
        <v>1</v>
      </c>
    </row>
    <row r="37" spans="1:29" ht="15">
      <c r="A37" s="479" t="s">
        <v>2632</v>
      </c>
      <c r="B37" s="2578" t="s">
        <v>2633</v>
      </c>
      <c r="C37" s="1394" t="s">
        <v>1</v>
      </c>
      <c r="D37" s="1395"/>
      <c r="E37" s="1396"/>
      <c r="F37" s="1397"/>
      <c r="G37" s="1398"/>
      <c r="H37" s="1399"/>
      <c r="I37" s="1396"/>
      <c r="J37" s="1399"/>
      <c r="K37" s="618"/>
      <c r="L37" s="1138"/>
      <c r="M37" s="1139"/>
      <c r="N37" s="1126"/>
      <c r="O37" s="1139"/>
      <c r="P37" s="3265" t="str">
        <f>A37</f>
        <v>成交单价</v>
      </c>
      <c r="Q37" s="3265"/>
      <c r="R37" s="3266">
        <f>E37</f>
        <v>0</v>
      </c>
      <c r="S37" s="3266"/>
      <c r="T37" s="3266">
        <f>G37</f>
        <v>0</v>
      </c>
      <c r="U37" s="3266"/>
      <c r="V37" s="3266">
        <f>I37</f>
        <v>0</v>
      </c>
      <c r="W37" s="3266"/>
      <c r="X37" s="758"/>
      <c r="Y37" s="780"/>
      <c r="Z37" s="758"/>
      <c r="AA37" s="758"/>
      <c r="AB37" s="758"/>
      <c r="AC37" s="758"/>
    </row>
    <row r="38" spans="1:29" ht="15.75" thickBot="1">
      <c r="A38" s="486" t="s">
        <v>2634</v>
      </c>
      <c r="B38" s="487" t="str">
        <f>B37</f>
        <v>元/车位</v>
      </c>
      <c r="C38" s="1400" t="e">
        <f>R39</f>
        <v>#DIV/0!</v>
      </c>
      <c r="D38" s="1401"/>
      <c r="E38" s="1402" t="e">
        <f>R38</f>
        <v>#DIV/0!</v>
      </c>
      <c r="F38" s="1402"/>
      <c r="G38" s="1400" t="e">
        <f>T38</f>
        <v>#DIV/0!</v>
      </c>
      <c r="H38" s="1401"/>
      <c r="I38" s="1402" t="e">
        <f>V38</f>
        <v>#DIV/0!</v>
      </c>
      <c r="J38" s="1401"/>
      <c r="K38" s="619"/>
      <c r="L38" s="1138"/>
      <c r="M38" s="1139"/>
      <c r="N38" s="1139"/>
      <c r="O38" s="1139"/>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8"/>
      <c r="Y38" s="758"/>
      <c r="Z38" s="758"/>
      <c r="AA38" s="758"/>
      <c r="AB38" s="758"/>
      <c r="AC38" s="758"/>
    </row>
    <row r="39" spans="1:29" ht="15.75" thickBot="1">
      <c r="A39" s="492" t="s">
        <v>2635</v>
      </c>
      <c r="B39" s="493"/>
      <c r="C39" s="1404" t="e">
        <f>R39</f>
        <v>#DIV/0!</v>
      </c>
      <c r="D39" s="1404"/>
      <c r="E39" s="1404"/>
      <c r="F39" s="1404"/>
      <c r="G39" s="1404"/>
      <c r="H39" s="1404"/>
      <c r="I39" s="1404"/>
      <c r="J39" s="1404"/>
      <c r="K39" s="620"/>
      <c r="L39" s="1138"/>
      <c r="M39" s="1139"/>
      <c r="N39" s="1139"/>
      <c r="O39" s="1139"/>
      <c r="P39" s="3262" t="str">
        <f>A39</f>
        <v>估价对象XX用房的比较价值（楼面单价，元/平方米）</v>
      </c>
      <c r="Q39" s="3263"/>
      <c r="R39" s="3264" t="e">
        <f>IF(F1="售价",ROUND(AVERAGE(R38:V38),0),ROUND(AVERAGE(R38:V38),1))</f>
        <v>#DIV/0!</v>
      </c>
      <c r="S39" s="3264"/>
      <c r="T39" s="3264"/>
      <c r="U39" s="3264"/>
      <c r="V39" s="3264"/>
      <c r="W39" s="3264"/>
      <c r="X39" s="758"/>
      <c r="Y39" s="758"/>
      <c r="Z39" s="758"/>
      <c r="AA39" s="758"/>
      <c r="AB39" s="758"/>
      <c r="AC39" s="758"/>
    </row>
    <row r="40" spans="1:29">
      <c r="A40" s="1139"/>
      <c r="B40" s="1139"/>
      <c r="C40" s="1139"/>
      <c r="D40" s="1139"/>
      <c r="E40" s="1139"/>
      <c r="F40" s="1139"/>
      <c r="G40" s="1142"/>
      <c r="H40" s="1139"/>
      <c r="I40" s="1139"/>
      <c r="J40" s="1139"/>
      <c r="K40" s="1100"/>
      <c r="L40" s="1101"/>
      <c r="M40" s="1139"/>
      <c r="N40" s="1139"/>
      <c r="O40" s="1139"/>
      <c r="P40" s="1407"/>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07"/>
      <c r="Q41" s="1139"/>
      <c r="R41" s="1139"/>
      <c r="S41" s="1139"/>
      <c r="T41" s="1139"/>
      <c r="U41" s="1139"/>
      <c r="V41" s="1139"/>
      <c r="W41" s="1139"/>
      <c r="X41" s="1139"/>
      <c r="Y41" s="1139"/>
      <c r="Z41" s="1139"/>
      <c r="AA41" s="1139"/>
      <c r="AB41" s="1139"/>
      <c r="AC41" s="1139"/>
    </row>
    <row r="42" spans="1:29" ht="13.5" customHeight="1">
      <c r="A42" s="1139"/>
      <c r="B42" s="1139"/>
      <c r="C42" s="497" t="s">
        <v>2636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07"/>
      <c r="Q42" s="1139"/>
      <c r="R42" s="1139"/>
      <c r="S42" s="1139"/>
      <c r="T42" s="1139"/>
      <c r="U42" s="1139"/>
      <c r="V42" s="1139"/>
      <c r="W42" s="1139"/>
      <c r="X42" s="1139"/>
      <c r="Y42" s="1139"/>
      <c r="Z42" s="1139"/>
      <c r="AA42" s="1139"/>
      <c r="AB42" s="1139"/>
      <c r="AC42" s="1139"/>
    </row>
    <row r="43" spans="1:29" ht="13.5" customHeight="1">
      <c r="A43" s="1139"/>
      <c r="B43" s="1139"/>
      <c r="C43" s="497" t="s">
        <v>2637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07"/>
      <c r="Q43" s="1139"/>
      <c r="R43" s="1139"/>
      <c r="S43" s="1139"/>
      <c r="T43" s="1139"/>
      <c r="U43" s="1139"/>
      <c r="V43" s="1139"/>
      <c r="W43" s="1139"/>
      <c r="X43" s="1139"/>
      <c r="Y43" s="1139"/>
      <c r="Z43" s="1139"/>
      <c r="AA43" s="1139"/>
      <c r="AB43" s="1139"/>
      <c r="AC43" s="1139"/>
    </row>
    <row r="44" spans="1:29" s="502" customFormat="1" ht="13.5" customHeight="1">
      <c r="A44" s="1140"/>
      <c r="B44" s="1140"/>
      <c r="C44" s="497" t="s">
        <v>2638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08"/>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08"/>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07"/>
      <c r="Q46" s="1139"/>
      <c r="R46" s="1139"/>
      <c r="S46" s="1139"/>
      <c r="T46" s="1139"/>
      <c r="U46" s="1139"/>
      <c r="V46" s="1139"/>
      <c r="W46" s="1139"/>
      <c r="X46" s="1139"/>
      <c r="Y46" s="1139"/>
      <c r="Z46" s="1139"/>
      <c r="AA46" s="1139"/>
      <c r="AB46" s="1139"/>
      <c r="AC46" s="1139"/>
    </row>
    <row r="47" spans="1:29" ht="21.75" thickBot="1">
      <c r="A47" s="1411" t="s">
        <v>2639</v>
      </c>
      <c r="B47" s="1139"/>
      <c r="C47" s="1154"/>
      <c r="D47" s="1154"/>
      <c r="E47" s="1154"/>
      <c r="F47" s="1412"/>
      <c r="G47" s="1412"/>
      <c r="H47" s="1154"/>
      <c r="I47" s="1154"/>
      <c r="J47" s="1154"/>
      <c r="K47" s="1155"/>
      <c r="L47" s="1156"/>
      <c r="M47" s="1154"/>
      <c r="N47" s="1154"/>
      <c r="O47" s="1154"/>
      <c r="P47" s="1409"/>
      <c r="Q47" s="1410"/>
      <c r="R47" s="1139"/>
      <c r="S47" s="1139"/>
      <c r="T47" s="1139"/>
      <c r="U47" s="1139"/>
      <c r="V47" s="1139"/>
      <c r="W47" s="1139"/>
      <c r="X47" s="1139"/>
      <c r="Y47" s="1139"/>
      <c r="Z47" s="1139"/>
      <c r="AA47" s="1139"/>
      <c r="AB47" s="1139"/>
      <c r="AC47" s="1139"/>
    </row>
    <row r="48" spans="1:29" s="508" customFormat="1" ht="15">
      <c r="A48" s="505" t="s">
        <v>2640</v>
      </c>
      <c r="B48" s="506"/>
      <c r="C48" s="1560" t="str">
        <f>YEAR(C7)&amp;"-"&amp;MONTH(C7)</f>
        <v>2018-3</v>
      </c>
      <c r="D48" s="1561">
        <f>EDATE(C48,-1)</f>
        <v>43132</v>
      </c>
      <c r="E48" s="1561">
        <f t="shared" ref="E48:O48" si="16">EDATE(D48,-1)</f>
        <v>43101</v>
      </c>
      <c r="F48" s="1561">
        <f t="shared" si="16"/>
        <v>43070</v>
      </c>
      <c r="G48" s="1561">
        <f t="shared" si="16"/>
        <v>43040</v>
      </c>
      <c r="H48" s="1561">
        <f t="shared" si="16"/>
        <v>43009</v>
      </c>
      <c r="I48" s="1561">
        <f t="shared" si="16"/>
        <v>42979</v>
      </c>
      <c r="J48" s="1561">
        <f t="shared" si="16"/>
        <v>42948</v>
      </c>
      <c r="K48" s="1561">
        <f t="shared" si="16"/>
        <v>42917</v>
      </c>
      <c r="L48" s="1561">
        <f t="shared" si="16"/>
        <v>42887</v>
      </c>
      <c r="M48" s="1561">
        <f t="shared" si="16"/>
        <v>42856</v>
      </c>
      <c r="N48" s="1561">
        <f t="shared" si="16"/>
        <v>42826</v>
      </c>
      <c r="O48" s="1561">
        <f t="shared" si="16"/>
        <v>42795</v>
      </c>
      <c r="P48" s="1425"/>
      <c r="Q48" s="1426"/>
      <c r="R48" s="1426"/>
      <c r="S48" s="1426"/>
      <c r="T48" s="1426"/>
      <c r="U48" s="1426"/>
      <c r="V48" s="1426"/>
      <c r="W48" s="1426"/>
      <c r="X48" s="1426"/>
      <c r="Y48" s="1426"/>
      <c r="Z48" s="1426"/>
      <c r="AA48" s="1426"/>
      <c r="AB48" s="1426"/>
      <c r="AC48" s="1426"/>
    </row>
    <row r="49" spans="1:29" s="117" customFormat="1" ht="15">
      <c r="A49" s="509"/>
      <c r="B49" s="510"/>
      <c r="C49" s="1552">
        <v>100</v>
      </c>
      <c r="D49" s="512"/>
      <c r="E49" s="512"/>
      <c r="F49" s="512"/>
      <c r="G49" s="512"/>
      <c r="H49" s="512"/>
      <c r="I49" s="512"/>
      <c r="J49" s="512"/>
      <c r="K49" s="512"/>
      <c r="L49" s="512"/>
      <c r="M49" s="513"/>
      <c r="N49" s="512"/>
      <c r="O49" s="513"/>
      <c r="P49" s="1415"/>
      <c r="Q49" s="1414"/>
      <c r="R49" s="1414"/>
      <c r="S49" s="1414"/>
      <c r="T49" s="1414"/>
      <c r="U49" s="1414"/>
      <c r="V49" s="1414"/>
      <c r="W49" s="1414"/>
      <c r="X49" s="1414"/>
      <c r="Y49" s="1414"/>
      <c r="Z49" s="1414"/>
      <c r="AA49" s="1414"/>
      <c r="AB49" s="1414"/>
      <c r="AC49" s="1414"/>
    </row>
    <row r="50" spans="1:29" s="117" customFormat="1" ht="15.75" thickBot="1">
      <c r="A50" s="515" t="s">
        <v>2497</v>
      </c>
      <c r="B50" s="516"/>
      <c r="C50" s="517"/>
      <c r="D50" s="518"/>
      <c r="E50" s="518"/>
      <c r="F50" s="518"/>
      <c r="G50" s="518"/>
      <c r="H50" s="518"/>
      <c r="I50" s="518"/>
      <c r="J50" s="518"/>
      <c r="K50" s="518"/>
      <c r="L50" s="518"/>
      <c r="M50" s="519"/>
      <c r="N50" s="518"/>
      <c r="O50" s="519"/>
      <c r="P50" s="1415"/>
      <c r="Q50" s="1410"/>
      <c r="R50" s="1414"/>
      <c r="S50" s="1414"/>
      <c r="T50" s="1414"/>
      <c r="U50" s="1414"/>
      <c r="V50" s="1414"/>
      <c r="W50" s="1414"/>
      <c r="X50" s="1414"/>
      <c r="Y50" s="1414"/>
      <c r="Z50" s="1414"/>
      <c r="AA50" s="1414"/>
      <c r="AB50" s="1414"/>
      <c r="AC50" s="1414"/>
    </row>
    <row r="51" spans="1:29" s="117" customFormat="1" ht="15">
      <c r="A51" s="521" t="s">
        <v>2463</v>
      </c>
      <c r="B51" s="510"/>
      <c r="C51" s="522" t="s">
        <v>2564</v>
      </c>
      <c r="D51" s="523"/>
      <c r="E51" s="523"/>
      <c r="F51" s="523"/>
      <c r="G51" s="523"/>
      <c r="H51" s="523"/>
      <c r="I51" s="523"/>
      <c r="J51" s="523"/>
      <c r="K51" s="523"/>
      <c r="L51" s="524"/>
      <c r="M51" s="525"/>
      <c r="N51" s="1146"/>
      <c r="O51" s="1146"/>
      <c r="P51" s="1413"/>
      <c r="Q51" s="1410"/>
      <c r="R51" s="1414"/>
      <c r="S51" s="1414"/>
      <c r="T51" s="1414"/>
      <c r="U51" s="1414"/>
      <c r="V51" s="1414"/>
      <c r="W51" s="1414"/>
      <c r="X51" s="1414"/>
      <c r="Y51" s="1414"/>
      <c r="Z51" s="1414"/>
      <c r="AA51" s="1414"/>
      <c r="AB51" s="1414"/>
      <c r="AC51" s="1414"/>
    </row>
    <row r="52" spans="1:29" s="117" customFormat="1" ht="15.75" thickBot="1">
      <c r="A52" s="521"/>
      <c r="B52" s="510"/>
      <c r="C52" s="638">
        <v>100</v>
      </c>
      <c r="D52" s="512"/>
      <c r="E52" s="512"/>
      <c r="F52" s="512"/>
      <c r="G52" s="512"/>
      <c r="H52" s="512"/>
      <c r="I52" s="512"/>
      <c r="J52" s="512"/>
      <c r="K52" s="512"/>
      <c r="L52" s="512"/>
      <c r="M52" s="514"/>
      <c r="N52" s="1146"/>
      <c r="O52" s="1146"/>
      <c r="P52" s="1415"/>
      <c r="Q52" s="1410"/>
      <c r="R52" s="1414"/>
      <c r="S52" s="1414"/>
      <c r="T52" s="1414"/>
      <c r="U52" s="1414"/>
      <c r="V52" s="1414"/>
      <c r="W52" s="1414"/>
      <c r="X52" s="1414"/>
      <c r="Y52" s="1414"/>
      <c r="Z52" s="1414"/>
      <c r="AA52" s="1414"/>
      <c r="AB52" s="1414"/>
      <c r="AC52" s="1414"/>
    </row>
    <row r="53" spans="1:29">
      <c r="A53" s="527" t="s">
        <v>2500</v>
      </c>
      <c r="B53" s="528" t="s">
        <v>2467</v>
      </c>
      <c r="C53" s="529">
        <f>C9</f>
        <v>0</v>
      </c>
      <c r="D53" s="530"/>
      <c r="E53" s="530"/>
      <c r="F53" s="530"/>
      <c r="G53" s="530"/>
      <c r="H53" s="530"/>
      <c r="I53" s="530"/>
      <c r="J53" s="530"/>
      <c r="K53" s="531"/>
      <c r="L53" s="532"/>
      <c r="M53" s="533"/>
      <c r="N53" s="1147"/>
      <c r="O53" s="1147"/>
      <c r="P53" s="1416"/>
      <c r="Q53" s="1410"/>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16"/>
      <c r="Q54" s="1410"/>
      <c r="R54" s="1139"/>
      <c r="S54" s="1139"/>
      <c r="T54" s="1139"/>
      <c r="U54" s="1139"/>
      <c r="V54" s="1139"/>
      <c r="W54" s="1139"/>
      <c r="X54" s="1139"/>
      <c r="Y54" s="1139"/>
      <c r="Z54" s="1139"/>
      <c r="AA54" s="1139"/>
      <c r="AB54" s="1139"/>
      <c r="AC54" s="1139"/>
    </row>
    <row r="55" spans="1:29" ht="27.75" thickTop="1">
      <c r="A55" s="534"/>
      <c r="B55" s="538" t="s">
        <v>2470</v>
      </c>
      <c r="C55" s="539" t="s">
        <v>2501</v>
      </c>
      <c r="D55" s="539" t="s">
        <v>2502</v>
      </c>
      <c r="E55" s="539" t="s">
        <v>2503</v>
      </c>
      <c r="F55" s="539" t="s">
        <v>2504</v>
      </c>
      <c r="G55" s="539" t="s">
        <v>2505</v>
      </c>
      <c r="H55" s="539" t="s">
        <v>2506</v>
      </c>
      <c r="I55" s="539" t="s">
        <v>2507</v>
      </c>
      <c r="J55" s="539"/>
      <c r="K55" s="540"/>
      <c r="L55" s="541"/>
      <c r="M55" s="542"/>
      <c r="N55" s="1147"/>
      <c r="O55" s="1147"/>
      <c r="P55" s="1416"/>
      <c r="Q55" s="1410"/>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16"/>
      <c r="Q56" s="1410"/>
      <c r="R56" s="1139"/>
      <c r="S56" s="1139"/>
      <c r="T56" s="1139"/>
      <c r="U56" s="1139"/>
      <c r="V56" s="1139"/>
      <c r="W56" s="1139"/>
      <c r="X56" s="1139"/>
      <c r="Y56" s="1139"/>
      <c r="Z56" s="1139"/>
      <c r="AA56" s="1139"/>
      <c r="AB56" s="1139"/>
      <c r="AC56" s="1139"/>
    </row>
    <row r="57" spans="1:29" ht="15.75" thickTop="1">
      <c r="A57" s="534"/>
      <c r="B57" s="659">
        <f>B11</f>
        <v>111</v>
      </c>
      <c r="C57" s="549"/>
      <c r="D57" s="549"/>
      <c r="E57" s="549"/>
      <c r="F57" s="549"/>
      <c r="G57" s="549"/>
      <c r="H57" s="549"/>
      <c r="I57" s="549"/>
      <c r="J57" s="549"/>
      <c r="K57" s="550"/>
      <c r="L57" s="551"/>
      <c r="M57" s="552"/>
      <c r="N57" s="1147"/>
      <c r="O57" s="1147"/>
      <c r="P57" s="1416"/>
      <c r="Q57" s="1410"/>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16"/>
      <c r="Q58" s="1410"/>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17"/>
      <c r="Q59" s="1418"/>
      <c r="R59" s="1419"/>
      <c r="S59" s="1419"/>
      <c r="T59" s="1419"/>
      <c r="U59" s="1419"/>
      <c r="V59" s="1419"/>
      <c r="W59" s="1419"/>
      <c r="X59" s="1419"/>
      <c r="Y59" s="1419"/>
      <c r="Z59" s="1419"/>
      <c r="AA59" s="1419"/>
      <c r="AB59" s="1419"/>
      <c r="AC59" s="1419"/>
    </row>
    <row r="60" spans="1:29" s="471" customFormat="1" ht="15.75" thickBot="1">
      <c r="A60" s="553"/>
      <c r="B60" s="543"/>
      <c r="C60" s="560"/>
      <c r="D60" s="536"/>
      <c r="E60" s="536"/>
      <c r="F60" s="536"/>
      <c r="G60" s="536"/>
      <c r="H60" s="536"/>
      <c r="I60" s="536"/>
      <c r="J60" s="536"/>
      <c r="K60" s="536"/>
      <c r="L60" s="536"/>
      <c r="M60" s="537"/>
      <c r="N60" s="1148"/>
      <c r="O60" s="1148"/>
      <c r="P60" s="1417"/>
      <c r="Q60" s="1418"/>
      <c r="R60" s="1419"/>
      <c r="S60" s="1419"/>
      <c r="T60" s="1419"/>
      <c r="U60" s="1419"/>
      <c r="V60" s="1419"/>
      <c r="W60" s="1419"/>
      <c r="X60" s="1419"/>
      <c r="Y60" s="1419"/>
      <c r="Z60" s="1419"/>
      <c r="AA60" s="1419"/>
      <c r="AB60" s="1419"/>
      <c r="AC60" s="1419"/>
    </row>
    <row r="61" spans="1:29" s="471" customFormat="1" ht="15.75" thickTop="1">
      <c r="A61" s="553"/>
      <c r="B61" s="538">
        <f>B13</f>
        <v>111</v>
      </c>
      <c r="C61" s="554"/>
      <c r="D61" s="554"/>
      <c r="E61" s="554"/>
      <c r="F61" s="554"/>
      <c r="G61" s="554"/>
      <c r="H61" s="555"/>
      <c r="I61" s="555"/>
      <c r="J61" s="555"/>
      <c r="K61" s="555"/>
      <c r="L61" s="556"/>
      <c r="M61" s="557"/>
      <c r="N61" s="1149"/>
      <c r="O61" s="1149"/>
      <c r="P61" s="1420"/>
      <c r="Q61" s="1421"/>
      <c r="R61" s="1419"/>
      <c r="S61" s="1419"/>
      <c r="T61" s="1419"/>
      <c r="U61" s="1419"/>
      <c r="V61" s="1419"/>
      <c r="W61" s="1419"/>
      <c r="X61" s="1419"/>
      <c r="Y61" s="1419"/>
      <c r="Z61" s="1419"/>
      <c r="AA61" s="1419"/>
      <c r="AB61" s="1419"/>
      <c r="AC61" s="1419"/>
    </row>
    <row r="62" spans="1:29" s="471" customFormat="1" ht="15.75" thickBot="1">
      <c r="A62" s="553"/>
      <c r="B62" s="543"/>
      <c r="C62" s="560"/>
      <c r="D62" s="560"/>
      <c r="E62" s="560"/>
      <c r="F62" s="560"/>
      <c r="G62" s="560"/>
      <c r="H62" s="562"/>
      <c r="I62" s="562"/>
      <c r="J62" s="562"/>
      <c r="K62" s="562"/>
      <c r="L62" s="562"/>
      <c r="M62" s="563"/>
      <c r="N62" s="1149"/>
      <c r="O62" s="1149"/>
      <c r="P62" s="1417"/>
      <c r="Q62" s="1418"/>
      <c r="R62" s="1419"/>
      <c r="S62" s="1419"/>
      <c r="T62" s="1419"/>
      <c r="U62" s="1419"/>
      <c r="V62" s="1419"/>
      <c r="W62" s="1419"/>
      <c r="X62" s="1419"/>
      <c r="Y62" s="1419"/>
      <c r="Z62" s="1419"/>
      <c r="AA62" s="1419"/>
      <c r="AB62" s="1419"/>
      <c r="AC62" s="1419"/>
    </row>
    <row r="63" spans="1:29" ht="15" thickTop="1">
      <c r="A63" s="527" t="s">
        <v>2472</v>
      </c>
      <c r="B63" s="528" t="s">
        <v>2514</v>
      </c>
      <c r="C63" s="573" t="s">
        <v>2509</v>
      </c>
      <c r="D63" s="573" t="s">
        <v>2510</v>
      </c>
      <c r="E63" s="573" t="s">
        <v>2511</v>
      </c>
      <c r="F63" s="573" t="s">
        <v>2512</v>
      </c>
      <c r="G63" s="573" t="s">
        <v>2513</v>
      </c>
      <c r="H63" s="529"/>
      <c r="I63" s="529"/>
      <c r="J63" s="529"/>
      <c r="K63" s="574"/>
      <c r="L63" s="575"/>
      <c r="M63" s="576"/>
      <c r="N63" s="1147"/>
      <c r="O63" s="1147"/>
      <c r="P63" s="1422"/>
      <c r="Q63" s="1410"/>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16"/>
      <c r="Q64" s="1410"/>
      <c r="R64" s="1139"/>
      <c r="S64" s="1139"/>
      <c r="T64" s="1139"/>
      <c r="U64" s="1139"/>
      <c r="V64" s="1139"/>
      <c r="W64" s="1139"/>
      <c r="X64" s="1139"/>
      <c r="Y64" s="1139"/>
      <c r="Z64" s="1139"/>
      <c r="AA64" s="1139"/>
      <c r="AB64" s="1139"/>
      <c r="AC64" s="1139"/>
    </row>
    <row r="65" spans="1:29" ht="15.75" thickTop="1">
      <c r="A65" s="534"/>
      <c r="B65" s="538" t="s">
        <v>2515</v>
      </c>
      <c r="C65" s="578" t="s">
        <v>2509</v>
      </c>
      <c r="D65" s="578" t="s">
        <v>2510</v>
      </c>
      <c r="E65" s="578" t="s">
        <v>2511</v>
      </c>
      <c r="F65" s="578" t="s">
        <v>2512</v>
      </c>
      <c r="G65" s="578" t="s">
        <v>2513</v>
      </c>
      <c r="H65" s="539"/>
      <c r="I65" s="539"/>
      <c r="J65" s="539"/>
      <c r="K65" s="540"/>
      <c r="L65" s="541"/>
      <c r="M65" s="542"/>
      <c r="N65" s="1147"/>
      <c r="O65" s="1147"/>
      <c r="P65" s="1416"/>
      <c r="Q65" s="1410"/>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16"/>
      <c r="Q66" s="1410"/>
      <c r="R66" s="1139"/>
      <c r="S66" s="1139"/>
      <c r="T66" s="1139"/>
      <c r="U66" s="1139"/>
      <c r="V66" s="1139"/>
      <c r="W66" s="1139"/>
      <c r="X66" s="1139"/>
      <c r="Y66" s="1139"/>
      <c r="Z66" s="1139"/>
      <c r="AA66" s="1139"/>
      <c r="AB66" s="1139"/>
      <c r="AC66" s="1139"/>
    </row>
    <row r="67" spans="1:29" ht="15.75" thickTop="1">
      <c r="A67" s="534"/>
      <c r="B67" s="546" t="s">
        <v>2601</v>
      </c>
      <c r="C67" s="659" t="s">
        <v>2587</v>
      </c>
      <c r="D67" s="659" t="s">
        <v>2588</v>
      </c>
      <c r="E67" s="659" t="s">
        <v>2589</v>
      </c>
      <c r="F67" s="659" t="s">
        <v>2590</v>
      </c>
      <c r="G67" s="659" t="s">
        <v>2591</v>
      </c>
      <c r="H67" s="539"/>
      <c r="I67" s="539"/>
      <c r="J67" s="539"/>
      <c r="K67" s="539"/>
      <c r="L67" s="539"/>
      <c r="M67" s="1369"/>
      <c r="N67" s="1148"/>
      <c r="O67" s="1148"/>
      <c r="P67" s="1416"/>
      <c r="Q67" s="1410"/>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8"/>
      <c r="O68" s="1148"/>
      <c r="P68" s="1416"/>
      <c r="Q68" s="1410"/>
      <c r="R68" s="1139"/>
      <c r="S68" s="1139"/>
      <c r="T68" s="1139"/>
      <c r="U68" s="1139"/>
      <c r="V68" s="1139"/>
      <c r="W68" s="1139"/>
      <c r="X68" s="1139"/>
      <c r="Y68" s="1139"/>
      <c r="Z68" s="1139"/>
      <c r="AA68" s="1139"/>
      <c r="AB68" s="1139"/>
      <c r="AC68" s="1139"/>
    </row>
    <row r="69" spans="1:29" ht="15.75" thickTop="1">
      <c r="A69" s="534"/>
      <c r="B69" s="538" t="s">
        <v>2521</v>
      </c>
      <c r="C69" s="578" t="s">
        <v>2509</v>
      </c>
      <c r="D69" s="578" t="s">
        <v>2510</v>
      </c>
      <c r="E69" s="578" t="s">
        <v>2511</v>
      </c>
      <c r="F69" s="578" t="s">
        <v>2512</v>
      </c>
      <c r="G69" s="578" t="s">
        <v>2513</v>
      </c>
      <c r="H69" s="539"/>
      <c r="I69" s="539"/>
      <c r="J69" s="539"/>
      <c r="K69" s="540"/>
      <c r="L69" s="541"/>
      <c r="M69" s="542"/>
      <c r="N69" s="1147"/>
      <c r="O69" s="1147"/>
      <c r="P69" s="1416"/>
      <c r="Q69" s="1410"/>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16"/>
      <c r="Q70" s="1410"/>
      <c r="R70" s="1139"/>
      <c r="S70" s="1139"/>
      <c r="T70" s="1139"/>
      <c r="U70" s="1139"/>
      <c r="V70" s="1139"/>
      <c r="W70" s="1139"/>
      <c r="X70" s="1139"/>
      <c r="Y70" s="1139"/>
      <c r="Z70" s="1139"/>
      <c r="AA70" s="1139"/>
      <c r="AB70" s="1139"/>
      <c r="AC70" s="1139"/>
    </row>
    <row r="71" spans="1:29" ht="15.75" thickTop="1">
      <c r="A71" s="534"/>
      <c r="B71" s="538" t="s">
        <v>2641</v>
      </c>
      <c r="C71" s="554"/>
      <c r="D71" s="554"/>
      <c r="E71" s="554"/>
      <c r="F71" s="554"/>
      <c r="G71" s="554"/>
      <c r="H71" s="583"/>
      <c r="I71" s="583"/>
      <c r="J71" s="583"/>
      <c r="K71" s="584"/>
      <c r="L71" s="585"/>
      <c r="M71" s="586"/>
      <c r="N71" s="1147"/>
      <c r="O71" s="1147"/>
      <c r="P71" s="1416"/>
      <c r="Q71" s="1410"/>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16"/>
      <c r="Q72" s="1410"/>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16"/>
      <c r="Q73" s="1410"/>
      <c r="R73" s="1414"/>
      <c r="S73" s="1414"/>
      <c r="T73" s="1414"/>
      <c r="U73" s="1414"/>
      <c r="V73" s="1414"/>
      <c r="W73" s="1414"/>
      <c r="X73" s="1414"/>
      <c r="Y73" s="1414"/>
      <c r="Z73" s="1414"/>
      <c r="AA73" s="1414"/>
      <c r="AB73" s="1414"/>
      <c r="AC73" s="1414"/>
    </row>
    <row r="74" spans="1:29" s="117" customFormat="1" ht="15.75" thickBot="1">
      <c r="A74" s="579"/>
      <c r="B74" s="543"/>
      <c r="C74" s="560"/>
      <c r="D74" s="536"/>
      <c r="E74" s="536"/>
      <c r="F74" s="536"/>
      <c r="G74" s="536"/>
      <c r="H74" s="536"/>
      <c r="I74" s="536"/>
      <c r="J74" s="536"/>
      <c r="K74" s="536"/>
      <c r="L74" s="536"/>
      <c r="M74" s="537"/>
      <c r="N74" s="1148"/>
      <c r="O74" s="1148"/>
      <c r="P74" s="1416"/>
      <c r="Q74" s="1410"/>
      <c r="R74" s="1414"/>
      <c r="S74" s="1414"/>
      <c r="T74" s="1414"/>
      <c r="U74" s="1414"/>
      <c r="V74" s="1414"/>
      <c r="W74" s="1414"/>
      <c r="X74" s="1414"/>
      <c r="Y74" s="1414"/>
      <c r="Z74" s="1414"/>
      <c r="AA74" s="1414"/>
      <c r="AB74" s="1414"/>
      <c r="AC74" s="1414"/>
    </row>
    <row r="75" spans="1:29" s="117" customFormat="1" ht="15.75" thickTop="1">
      <c r="A75" s="579"/>
      <c r="B75" s="538">
        <f>B24</f>
        <v>111</v>
      </c>
      <c r="C75" s="549"/>
      <c r="D75" s="549"/>
      <c r="E75" s="549"/>
      <c r="F75" s="549"/>
      <c r="G75" s="554"/>
      <c r="H75" s="554"/>
      <c r="I75" s="554"/>
      <c r="J75" s="554"/>
      <c r="K75" s="554"/>
      <c r="L75" s="554"/>
      <c r="M75" s="581"/>
      <c r="N75" s="1146"/>
      <c r="O75" s="1146"/>
      <c r="P75" s="1416"/>
      <c r="Q75" s="1410"/>
      <c r="R75" s="1414"/>
      <c r="S75" s="1414"/>
      <c r="T75" s="1414"/>
      <c r="U75" s="1414"/>
      <c r="V75" s="1414"/>
      <c r="W75" s="1414"/>
      <c r="X75" s="1414"/>
      <c r="Y75" s="1414"/>
      <c r="Z75" s="1414"/>
      <c r="AA75" s="1414"/>
      <c r="AB75" s="1414"/>
      <c r="AC75" s="1414"/>
    </row>
    <row r="76" spans="1:29" s="117" customFormat="1" ht="15.75" thickBot="1">
      <c r="A76" s="579"/>
      <c r="B76" s="543"/>
      <c r="C76" s="560"/>
      <c r="D76" s="536"/>
      <c r="E76" s="536"/>
      <c r="F76" s="536"/>
      <c r="G76" s="536"/>
      <c r="H76" s="536"/>
      <c r="I76" s="536"/>
      <c r="J76" s="536"/>
      <c r="K76" s="536"/>
      <c r="L76" s="536"/>
      <c r="M76" s="537"/>
      <c r="N76" s="1148"/>
      <c r="O76" s="1148"/>
      <c r="P76" s="1416"/>
      <c r="Q76" s="1410"/>
      <c r="R76" s="1414"/>
      <c r="S76" s="1414"/>
      <c r="T76" s="1414"/>
      <c r="U76" s="1414"/>
      <c r="V76" s="1414"/>
      <c r="W76" s="1414"/>
      <c r="X76" s="1414"/>
      <c r="Y76" s="1414"/>
      <c r="Z76" s="1414"/>
      <c r="AA76" s="1414"/>
      <c r="AB76" s="1414"/>
      <c r="AC76" s="1414"/>
    </row>
    <row r="77" spans="1:29" s="471" customFormat="1" ht="15.75" thickTop="1">
      <c r="A77" s="553"/>
      <c r="B77" s="538">
        <f>B25</f>
        <v>111</v>
      </c>
      <c r="C77" s="554"/>
      <c r="D77" s="554"/>
      <c r="E77" s="554"/>
      <c r="F77" s="554"/>
      <c r="G77" s="554"/>
      <c r="H77" s="555"/>
      <c r="I77" s="555"/>
      <c r="J77" s="555"/>
      <c r="K77" s="555"/>
      <c r="L77" s="556"/>
      <c r="M77" s="557"/>
      <c r="N77" s="1149"/>
      <c r="O77" s="1149"/>
      <c r="P77" s="1417"/>
      <c r="Q77" s="1418"/>
      <c r="R77" s="1419"/>
      <c r="S77" s="1419"/>
      <c r="T77" s="1419"/>
      <c r="U77" s="1419"/>
      <c r="V77" s="1419"/>
      <c r="W77" s="1419"/>
      <c r="X77" s="1419"/>
      <c r="Y77" s="1419"/>
      <c r="Z77" s="1419"/>
      <c r="AA77" s="1419"/>
      <c r="AB77" s="1419"/>
      <c r="AC77" s="1419"/>
    </row>
    <row r="78" spans="1:29" s="471" customFormat="1" ht="15.75" thickBot="1">
      <c r="A78" s="553"/>
      <c r="B78" s="543"/>
      <c r="C78" s="560"/>
      <c r="D78" s="560"/>
      <c r="E78" s="560"/>
      <c r="F78" s="560"/>
      <c r="G78" s="536"/>
      <c r="H78" s="536"/>
      <c r="I78" s="536"/>
      <c r="J78" s="536"/>
      <c r="K78" s="536"/>
      <c r="L78" s="536"/>
      <c r="M78" s="537"/>
      <c r="N78" s="1149"/>
      <c r="O78" s="1149"/>
      <c r="P78" s="1417"/>
      <c r="Q78" s="1418"/>
      <c r="R78" s="1419"/>
      <c r="S78" s="1419"/>
      <c r="T78" s="1419"/>
      <c r="U78" s="1419"/>
      <c r="V78" s="1419"/>
      <c r="W78" s="1419"/>
      <c r="X78" s="1419"/>
      <c r="Y78" s="1419"/>
      <c r="Z78" s="1419"/>
      <c r="AA78" s="1419"/>
      <c r="AB78" s="1419"/>
      <c r="AC78" s="1419"/>
    </row>
    <row r="79" spans="1:29" ht="27.75" thickTop="1">
      <c r="A79" s="527" t="s">
        <v>2476</v>
      </c>
      <c r="B79" s="528" t="s">
        <v>2642</v>
      </c>
      <c r="C79" s="529">
        <f>C26</f>
        <v>0</v>
      </c>
      <c r="D79" s="530"/>
      <c r="E79" s="530"/>
      <c r="F79" s="530"/>
      <c r="G79" s="530"/>
      <c r="H79" s="530"/>
      <c r="I79" s="530"/>
      <c r="J79" s="530"/>
      <c r="K79" s="531"/>
      <c r="L79" s="532"/>
      <c r="M79" s="533"/>
      <c r="N79" s="1147"/>
      <c r="O79" s="1147"/>
      <c r="P79" s="1416"/>
      <c r="Q79" s="1410"/>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16"/>
      <c r="Q80" s="1410"/>
      <c r="R80" s="1139"/>
      <c r="S80" s="1139"/>
      <c r="T80" s="1139"/>
      <c r="U80" s="1139"/>
      <c r="V80" s="1139"/>
      <c r="W80" s="1139"/>
      <c r="X80" s="1139"/>
      <c r="Y80" s="1139"/>
      <c r="Z80" s="1139"/>
      <c r="AA80" s="1139"/>
      <c r="AB80" s="1139"/>
      <c r="AC80" s="1139"/>
    </row>
    <row r="81" spans="1:29" ht="15.75" thickTop="1">
      <c r="A81" s="534"/>
      <c r="B81" s="538" t="s">
        <v>2643</v>
      </c>
      <c r="C81" s="660"/>
      <c r="D81" s="660"/>
      <c r="E81" s="660"/>
      <c r="F81" s="660"/>
      <c r="G81" s="660"/>
      <c r="H81" s="660"/>
      <c r="I81" s="660"/>
      <c r="J81" s="660"/>
      <c r="K81" s="661"/>
      <c r="L81" s="662"/>
      <c r="M81" s="663"/>
      <c r="N81" s="1146"/>
      <c r="O81" s="1146"/>
      <c r="P81" s="1416"/>
      <c r="Q81" s="1410"/>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17"/>
      <c r="Q82" s="1418"/>
      <c r="R82" s="1419"/>
      <c r="S82" s="1419"/>
      <c r="T82" s="1419"/>
      <c r="U82" s="1419"/>
      <c r="V82" s="1419"/>
      <c r="W82" s="1419"/>
      <c r="X82" s="1419"/>
      <c r="Y82" s="1419"/>
      <c r="Z82" s="1419"/>
      <c r="AA82" s="1419"/>
      <c r="AB82" s="1419"/>
      <c r="AC82" s="1419"/>
    </row>
    <row r="83" spans="1:29" ht="15" thickTop="1">
      <c r="A83" s="599"/>
      <c r="B83" s="538" t="s">
        <v>2528</v>
      </c>
      <c r="C83" s="554"/>
      <c r="D83" s="554"/>
      <c r="E83" s="583"/>
      <c r="F83" s="583"/>
      <c r="G83" s="583"/>
      <c r="H83" s="583"/>
      <c r="I83" s="583"/>
      <c r="J83" s="583"/>
      <c r="K83" s="584"/>
      <c r="L83" s="585"/>
      <c r="M83" s="586"/>
      <c r="N83" s="1147"/>
      <c r="O83" s="1147"/>
      <c r="P83" s="1416"/>
      <c r="Q83" s="1410"/>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16"/>
      <c r="Q84" s="1410"/>
      <c r="R84" s="1139"/>
      <c r="S84" s="1139"/>
      <c r="T84" s="1139"/>
      <c r="U84" s="1139"/>
      <c r="V84" s="1139"/>
      <c r="W84" s="1139"/>
      <c r="X84" s="1139"/>
      <c r="Y84" s="1139"/>
      <c r="Z84" s="1139"/>
      <c r="AA84" s="1139"/>
      <c r="AB84" s="1139"/>
      <c r="AC84" s="1139"/>
    </row>
    <row r="85" spans="1:29" ht="15" thickTop="1">
      <c r="A85" s="599"/>
      <c r="B85" s="538" t="s">
        <v>2644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16"/>
      <c r="Q85" s="1410"/>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2"/>
      <c r="J86" s="622"/>
      <c r="K86" s="623"/>
      <c r="L86" s="624"/>
      <c r="M86" s="625"/>
      <c r="N86" s="1147"/>
      <c r="O86" s="1147"/>
      <c r="P86" s="1416"/>
      <c r="Q86" s="1410"/>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16"/>
      <c r="Q87" s="1410"/>
      <c r="R87" s="1139"/>
      <c r="S87" s="1139"/>
      <c r="T87" s="1139"/>
      <c r="U87" s="1139"/>
      <c r="V87" s="1139"/>
      <c r="W87" s="1139"/>
      <c r="X87" s="1139"/>
      <c r="Y87" s="1139"/>
      <c r="Z87" s="1139"/>
      <c r="AA87" s="1139"/>
      <c r="AB87" s="1139"/>
      <c r="AC87" s="1139"/>
    </row>
    <row r="88" spans="1:29" ht="15" thickTop="1">
      <c r="A88" s="599"/>
      <c r="B88" s="546" t="s">
        <v>2645</v>
      </c>
      <c r="C88" s="530"/>
      <c r="D88" s="530"/>
      <c r="E88" s="530"/>
      <c r="F88" s="530"/>
      <c r="G88" s="530"/>
      <c r="H88" s="530"/>
      <c r="I88" s="530"/>
      <c r="J88" s="530"/>
      <c r="K88" s="531"/>
      <c r="L88" s="532"/>
      <c r="M88" s="533"/>
      <c r="N88" s="1147"/>
      <c r="O88" s="1147"/>
      <c r="P88" s="1416"/>
      <c r="Q88" s="1410"/>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16"/>
      <c r="Q89" s="1410"/>
      <c r="R89" s="1139"/>
      <c r="S89" s="1139"/>
      <c r="T89" s="1139"/>
      <c r="U89" s="1139"/>
      <c r="V89" s="1139"/>
      <c r="W89" s="1139"/>
      <c r="X89" s="1139"/>
      <c r="Y89" s="1139"/>
      <c r="Z89" s="1139"/>
      <c r="AA89" s="1139"/>
      <c r="AB89" s="1139"/>
      <c r="AC89" s="1139"/>
    </row>
    <row r="90" spans="1:29" s="471" customFormat="1" ht="15" thickTop="1">
      <c r="A90" s="593"/>
      <c r="B90" s="538" t="s">
        <v>2646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49"/>
      <c r="O90" s="1149"/>
      <c r="P90" s="1417"/>
      <c r="Q90" s="1418"/>
      <c r="R90" s="1419"/>
      <c r="S90" s="1419"/>
      <c r="T90" s="1419"/>
      <c r="U90" s="1419"/>
      <c r="V90" s="1419"/>
      <c r="W90" s="1419"/>
      <c r="X90" s="1419"/>
      <c r="Y90" s="1419"/>
      <c r="Z90" s="1419"/>
      <c r="AA90" s="1419"/>
      <c r="AB90" s="1419"/>
      <c r="AC90" s="1419"/>
    </row>
    <row r="91" spans="1:29" s="471" customFormat="1">
      <c r="A91" s="593"/>
      <c r="B91" s="546"/>
      <c r="C91" s="595"/>
      <c r="D91" s="595"/>
      <c r="E91" s="595"/>
      <c r="F91" s="595"/>
      <c r="G91" s="595"/>
      <c r="H91" s="595"/>
      <c r="I91" s="595"/>
      <c r="J91" s="596"/>
      <c r="K91" s="596"/>
      <c r="L91" s="597"/>
      <c r="M91" s="598"/>
      <c r="N91" s="1149"/>
      <c r="O91" s="1149"/>
      <c r="P91" s="1417"/>
      <c r="Q91" s="1418"/>
      <c r="R91" s="1419"/>
      <c r="S91" s="1419"/>
      <c r="T91" s="1419"/>
      <c r="U91" s="1419"/>
      <c r="V91" s="1419"/>
      <c r="W91" s="1419"/>
      <c r="X91" s="1419"/>
      <c r="Y91" s="1419"/>
      <c r="Z91" s="1419"/>
      <c r="AA91" s="1419"/>
      <c r="AB91" s="1419"/>
      <c r="AC91" s="1419"/>
    </row>
    <row r="92" spans="1:29" s="471" customFormat="1" ht="15.75" thickBot="1">
      <c r="A92" s="553"/>
      <c r="B92" s="543"/>
      <c r="C92" s="560"/>
      <c r="D92" s="536"/>
      <c r="E92" s="536"/>
      <c r="F92" s="536"/>
      <c r="G92" s="536"/>
      <c r="H92" s="536"/>
      <c r="I92" s="536"/>
      <c r="J92" s="536"/>
      <c r="K92" s="536"/>
      <c r="L92" s="536"/>
      <c r="M92" s="537"/>
      <c r="N92" s="1149"/>
      <c r="O92" s="1149"/>
      <c r="P92" s="1417"/>
      <c r="Q92" s="1418"/>
      <c r="R92" s="1419"/>
      <c r="S92" s="1419"/>
      <c r="T92" s="1419"/>
      <c r="U92" s="1419"/>
      <c r="V92" s="1419"/>
      <c r="W92" s="1419"/>
      <c r="X92" s="1419"/>
      <c r="Y92" s="1419"/>
      <c r="Z92" s="1419"/>
      <c r="AA92" s="1419"/>
      <c r="AB92" s="1419"/>
      <c r="AC92" s="1419"/>
    </row>
    <row r="93" spans="1:29" ht="15" thickTop="1">
      <c r="A93" s="599"/>
      <c r="B93" s="538" t="s">
        <v>2647</v>
      </c>
      <c r="C93" s="554"/>
      <c r="D93" s="554"/>
      <c r="E93" s="583"/>
      <c r="F93" s="583"/>
      <c r="G93" s="583"/>
      <c r="H93" s="583"/>
      <c r="I93" s="583"/>
      <c r="J93" s="583"/>
      <c r="K93" s="584"/>
      <c r="L93" s="585"/>
      <c r="M93" s="586"/>
      <c r="N93" s="1147"/>
      <c r="O93" s="1147"/>
      <c r="P93" s="1416"/>
      <c r="Q93" s="1410"/>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16"/>
      <c r="Q94" s="1410"/>
      <c r="R94" s="1139"/>
      <c r="S94" s="1139"/>
      <c r="T94" s="1139"/>
      <c r="U94" s="1139"/>
      <c r="V94" s="1139"/>
      <c r="W94" s="1139"/>
      <c r="X94" s="1139"/>
      <c r="Y94" s="1139"/>
      <c r="Z94" s="1139"/>
      <c r="AA94" s="1139"/>
      <c r="AB94" s="1139"/>
      <c r="AC94" s="1139"/>
    </row>
    <row r="95" spans="1:29" ht="15" thickTop="1">
      <c r="A95" s="599"/>
      <c r="B95" s="538" t="s">
        <v>2648</v>
      </c>
      <c r="C95" s="530"/>
      <c r="D95" s="530"/>
      <c r="E95" s="530"/>
      <c r="F95" s="530"/>
      <c r="G95" s="530"/>
      <c r="H95" s="530"/>
      <c r="I95" s="530"/>
      <c r="J95" s="530"/>
      <c r="K95" s="531"/>
      <c r="L95" s="532"/>
      <c r="M95" s="533"/>
      <c r="N95" s="1147"/>
      <c r="O95" s="1147"/>
      <c r="P95" s="1416"/>
      <c r="Q95" s="1410"/>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16"/>
      <c r="Q96" s="1410"/>
      <c r="R96" s="1139"/>
      <c r="S96" s="1139"/>
      <c r="T96" s="1139"/>
      <c r="U96" s="1139"/>
      <c r="V96" s="1139"/>
      <c r="W96" s="1139"/>
      <c r="X96" s="1139"/>
      <c r="Y96" s="1139"/>
      <c r="Z96" s="1139"/>
      <c r="AA96" s="1139"/>
      <c r="AB96" s="1139"/>
      <c r="AC96" s="1139"/>
    </row>
    <row r="97" spans="1:29" ht="15" thickTop="1">
      <c r="A97" s="599"/>
      <c r="B97" s="635">
        <f>B34</f>
        <v>111</v>
      </c>
      <c r="C97" s="549"/>
      <c r="D97" s="549"/>
      <c r="E97" s="549"/>
      <c r="F97" s="549"/>
      <c r="G97" s="554"/>
      <c r="H97" s="555"/>
      <c r="I97" s="555"/>
      <c r="J97" s="555"/>
      <c r="K97" s="555"/>
      <c r="L97" s="556"/>
      <c r="M97" s="557"/>
      <c r="N97" s="1148"/>
      <c r="O97" s="1148"/>
      <c r="P97" s="1423"/>
      <c r="Q97" s="1424"/>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16"/>
      <c r="Q98" s="1410"/>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17"/>
      <c r="Q99" s="1418"/>
      <c r="R99" s="1419"/>
      <c r="S99" s="1419"/>
      <c r="T99" s="1419"/>
      <c r="U99" s="1419"/>
      <c r="V99" s="1419"/>
      <c r="W99" s="1419"/>
      <c r="X99" s="1419"/>
      <c r="Y99" s="1419"/>
      <c r="Z99" s="1419"/>
      <c r="AA99" s="1419"/>
      <c r="AB99" s="1419"/>
      <c r="AC99" s="1419"/>
    </row>
    <row r="100" spans="1:29" s="471" customFormat="1" ht="15.75" thickBot="1">
      <c r="A100" s="553"/>
      <c r="B100" s="535"/>
      <c r="C100" s="560"/>
      <c r="D100" s="536"/>
      <c r="E100" s="536"/>
      <c r="F100" s="536"/>
      <c r="G100" s="560"/>
      <c r="H100" s="562"/>
      <c r="I100" s="562"/>
      <c r="J100" s="562"/>
      <c r="K100" s="562"/>
      <c r="L100" s="562"/>
      <c r="M100" s="563"/>
      <c r="N100" s="1149"/>
      <c r="O100" s="1149"/>
      <c r="P100" s="1417"/>
      <c r="Q100" s="1418"/>
      <c r="R100" s="1419"/>
      <c r="S100" s="1419"/>
      <c r="T100" s="1419"/>
      <c r="U100" s="1419"/>
      <c r="V100" s="1419"/>
      <c r="W100" s="1419"/>
      <c r="X100" s="1419"/>
      <c r="Y100" s="1419"/>
      <c r="Z100" s="1419"/>
      <c r="AA100" s="1419"/>
      <c r="AB100" s="1419"/>
      <c r="AC100" s="1419"/>
    </row>
    <row r="101" spans="1:29" ht="15" thickTop="1">
      <c r="A101" s="599"/>
      <c r="B101" s="538">
        <f>B36</f>
        <v>111</v>
      </c>
      <c r="C101" s="554"/>
      <c r="D101" s="554"/>
      <c r="E101" s="554"/>
      <c r="F101" s="554"/>
      <c r="G101" s="554"/>
      <c r="H101" s="555"/>
      <c r="I101" s="555"/>
      <c r="J101" s="555"/>
      <c r="K101" s="555"/>
      <c r="L101" s="556"/>
      <c r="M101" s="557"/>
      <c r="N101" s="1147"/>
      <c r="O101" s="1147"/>
      <c r="P101" s="1416"/>
      <c r="Q101" s="1410"/>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16"/>
      <c r="Q102" s="1410"/>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5" customFormat="1" ht="28.5" customHeight="1" thickBot="1">
      <c r="A1" s="1604" t="s">
        <v>2619</v>
      </c>
      <c r="B1" s="1605"/>
      <c r="C1" s="1606" t="s">
        <v>2443</v>
      </c>
      <c r="D1" s="1607"/>
      <c r="E1" s="1616"/>
      <c r="F1" s="2469"/>
      <c r="G1" s="1617" t="s">
        <v>2555</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8" customFormat="1" ht="28.5" customHeight="1" thickTop="1">
      <c r="A2" s="1603" t="s">
        <v>2240</v>
      </c>
      <c r="B2" s="1405" t="e">
        <f ca="1">IF(C2="——",ROUND(C37*D3/10000,0),ROUND(C37*D3/10000,0)-D2)</f>
        <v>#DIV/0!</v>
      </c>
      <c r="C2" s="2471"/>
      <c r="D2" s="1119" t="e">
        <f ca="1">SUMIF(INDIRECT("'"&amp;F2&amp;"'"&amp;"!A:A"),"承租人权益价值",INDIRECT("'"&amp;F2&amp;"'"&amp;"!c:c"))</f>
        <v>#REF!</v>
      </c>
      <c r="E2" s="2472" t="s">
        <v>2241</v>
      </c>
      <c r="F2" s="2473"/>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8" customFormat="1" ht="28.5" customHeight="1" thickBot="1">
      <c r="A3" s="247" t="s">
        <v>2242</v>
      </c>
      <c r="B3" s="609" t="e">
        <f ca="1">IF(C2="——",C37,ROUND(B2*10000/D3,0))</f>
        <v>#DIV/0!</v>
      </c>
      <c r="C3" s="400" t="s">
        <v>2556</v>
      </c>
      <c r="D3" s="399">
        <f>SUMIF('数据-汇总表'!$C19:$C33,D1,'数据-汇总表'!$E19:$E33)</f>
        <v>0</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1" t="s">
        <v>2557</v>
      </c>
      <c r="B4" s="402"/>
      <c r="C4" s="3280" t="s">
        <v>2558</v>
      </c>
      <c r="D4" s="3281"/>
      <c r="E4" s="3282" t="s">
        <v>2559</v>
      </c>
      <c r="F4" s="3283"/>
      <c r="G4" s="3280" t="s">
        <v>2560</v>
      </c>
      <c r="H4" s="3281"/>
      <c r="I4" s="3280" t="s">
        <v>2561</v>
      </c>
      <c r="J4" s="3281"/>
      <c r="K4" s="610" t="s">
        <v>2562</v>
      </c>
      <c r="L4" s="1125"/>
      <c r="M4" s="1126"/>
      <c r="N4" s="1126"/>
      <c r="O4" s="1126"/>
      <c r="P4" s="3284" t="s">
        <v>2563</v>
      </c>
      <c r="Q4" s="3285"/>
      <c r="R4" s="3290" t="s">
        <v>2559</v>
      </c>
      <c r="S4" s="3291"/>
      <c r="T4" s="3290" t="s">
        <v>2560</v>
      </c>
      <c r="U4" s="3291"/>
      <c r="V4" s="3296" t="s">
        <v>2561</v>
      </c>
      <c r="W4" s="3296"/>
      <c r="X4" s="1799"/>
      <c r="Y4" s="3290" t="s">
        <v>2563</v>
      </c>
      <c r="Z4" s="3291"/>
      <c r="AA4" s="3277" t="s">
        <v>2559</v>
      </c>
      <c r="AB4" s="3278" t="s">
        <v>2560</v>
      </c>
      <c r="AC4" s="3277" t="s">
        <v>2561</v>
      </c>
    </row>
    <row r="5" spans="1:29" ht="15">
      <c r="A5" s="404"/>
      <c r="B5" s="405"/>
      <c r="C5" s="3304" t="s">
        <v>2455</v>
      </c>
      <c r="D5" s="3300"/>
      <c r="E5" s="3356" t="s">
        <v>2456</v>
      </c>
      <c r="F5" s="3306"/>
      <c r="G5" s="3304" t="s">
        <v>2457</v>
      </c>
      <c r="H5" s="3300"/>
      <c r="I5" s="3304" t="s">
        <v>2458</v>
      </c>
      <c r="J5" s="3300"/>
      <c r="K5" s="610"/>
      <c r="L5" s="1125"/>
      <c r="M5" s="1126"/>
      <c r="N5" s="1126"/>
      <c r="O5" s="1126"/>
      <c r="P5" s="3286"/>
      <c r="Q5" s="3287"/>
      <c r="R5" s="3292"/>
      <c r="S5" s="3293"/>
      <c r="T5" s="3292"/>
      <c r="U5" s="3293"/>
      <c r="V5" s="3296"/>
      <c r="W5" s="3296"/>
      <c r="X5" s="1799"/>
      <c r="Y5" s="3292"/>
      <c r="Z5" s="3293"/>
      <c r="AA5" s="3278"/>
      <c r="AB5" s="3278"/>
      <c r="AC5" s="3278"/>
    </row>
    <row r="6" spans="1:29" ht="15.75" thickBot="1">
      <c r="A6" s="406"/>
      <c r="B6" s="407"/>
      <c r="C6" s="3338" t="s">
        <v>2459</v>
      </c>
      <c r="D6" s="3298"/>
      <c r="E6" s="3339" t="s">
        <v>2459</v>
      </c>
      <c r="F6" s="3340"/>
      <c r="G6" s="3338" t="s">
        <v>2459</v>
      </c>
      <c r="H6" s="3298"/>
      <c r="I6" s="3338" t="s">
        <v>2459</v>
      </c>
      <c r="J6" s="3298"/>
      <c r="K6" s="610" t="s">
        <v>2460</v>
      </c>
      <c r="L6" s="1125"/>
      <c r="M6" s="1126"/>
      <c r="N6" s="1126"/>
      <c r="O6" s="1126"/>
      <c r="P6" s="3288"/>
      <c r="Q6" s="3289"/>
      <c r="R6" s="3292"/>
      <c r="S6" s="3293"/>
      <c r="T6" s="3294"/>
      <c r="U6" s="3295"/>
      <c r="V6" s="3296"/>
      <c r="W6" s="3296"/>
      <c r="X6" s="1799"/>
      <c r="Y6" s="3294"/>
      <c r="Z6" s="3295"/>
      <c r="AA6" s="3279"/>
      <c r="AB6" s="3279"/>
      <c r="AC6" s="3279"/>
    </row>
    <row r="7" spans="1:29" s="117" customFormat="1" ht="15.75" thickBot="1">
      <c r="A7" s="408" t="s">
        <v>2461</v>
      </c>
      <c r="B7" s="409"/>
      <c r="C7" s="410">
        <f>'数据-取费表'!B2</f>
        <v>43161</v>
      </c>
      <c r="D7" s="411">
        <v>100</v>
      </c>
      <c r="E7" s="412"/>
      <c r="F7" s="413">
        <f>SUMIF(46:46,YEAR(E7)&amp;"-"&amp;MONTH(E7),47:47)</f>
        <v>0</v>
      </c>
      <c r="G7" s="2579"/>
      <c r="H7" s="411">
        <f>SUMIF(46:46,YEAR(G7)&amp;"-"&amp;MONTH(G7),47:47)</f>
        <v>0</v>
      </c>
      <c r="I7" s="412"/>
      <c r="J7" s="411">
        <f>SUMIF(46:46,YEAR(I7)&amp;"-"&amp;MONTH(I7),47:47)</f>
        <v>0</v>
      </c>
      <c r="K7" s="611"/>
      <c r="L7" s="1127"/>
      <c r="M7" s="1128"/>
      <c r="N7" s="1128"/>
      <c r="O7" s="1128"/>
      <c r="P7" s="3301" t="s">
        <v>2462</v>
      </c>
      <c r="Q7" s="3303"/>
      <c r="R7" s="769" t="s">
        <v>17</v>
      </c>
      <c r="S7" s="770">
        <f t="shared" ref="S7:S14" si="0">F7</f>
        <v>0</v>
      </c>
      <c r="T7" s="769" t="s">
        <v>17</v>
      </c>
      <c r="U7" s="770">
        <f t="shared" ref="U7:U14" si="1">H7</f>
        <v>0</v>
      </c>
      <c r="V7" s="769" t="s">
        <v>17</v>
      </c>
      <c r="W7" s="770">
        <f t="shared" ref="W7:W14" si="2">J7</f>
        <v>0</v>
      </c>
      <c r="X7" s="771"/>
      <c r="Y7" s="3301" t="s">
        <v>2462</v>
      </c>
      <c r="Z7" s="3302"/>
      <c r="AA7" s="772" t="e">
        <f>D7/F7</f>
        <v>#DIV/0!</v>
      </c>
      <c r="AB7" s="772" t="e">
        <f>D7/H7</f>
        <v>#DIV/0!</v>
      </c>
      <c r="AC7" s="772" t="e">
        <f>D7/J7</f>
        <v>#DIV/0!</v>
      </c>
    </row>
    <row r="8" spans="1:29" s="117" customFormat="1" ht="15.75" thickBot="1">
      <c r="A8" s="408" t="s">
        <v>2463</v>
      </c>
      <c r="B8" s="409"/>
      <c r="C8" s="414" t="s">
        <v>2564</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301" t="s">
        <v>2465</v>
      </c>
      <c r="Q8" s="3302"/>
      <c r="R8" s="769" t="s">
        <v>17</v>
      </c>
      <c r="S8" s="770">
        <f t="shared" si="0"/>
        <v>0</v>
      </c>
      <c r="T8" s="769" t="s">
        <v>17</v>
      </c>
      <c r="U8" s="770">
        <f t="shared" si="1"/>
        <v>0</v>
      </c>
      <c r="V8" s="769" t="s">
        <v>17</v>
      </c>
      <c r="W8" s="770">
        <f t="shared" si="2"/>
        <v>0</v>
      </c>
      <c r="X8" s="771"/>
      <c r="Y8" s="3301" t="s">
        <v>2465</v>
      </c>
      <c r="Z8" s="3302"/>
      <c r="AA8" s="772" t="e">
        <f t="shared" ref="AA8:AA34" si="3">D8/F8</f>
        <v>#DIV/0!</v>
      </c>
      <c r="AB8" s="772" t="e">
        <f t="shared" ref="AB8:AB34" si="4">D8/H8</f>
        <v>#DIV/0!</v>
      </c>
      <c r="AC8" s="772" t="e">
        <f t="shared" ref="AC8:AC34" si="5">D8/J8</f>
        <v>#DIV/0!</v>
      </c>
    </row>
    <row r="9" spans="1:29" s="117" customFormat="1">
      <c r="A9" s="415" t="s">
        <v>2466</v>
      </c>
      <c r="B9" s="71" t="s">
        <v>2467</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65" t="s">
        <v>2468</v>
      </c>
      <c r="Q9" s="1781" t="str">
        <f t="shared" ref="Q9:Q14" si="6">B9</f>
        <v>用途</v>
      </c>
      <c r="R9" s="769" t="s">
        <v>17</v>
      </c>
      <c r="S9" s="770">
        <f t="shared" si="0"/>
        <v>100</v>
      </c>
      <c r="T9" s="769" t="s">
        <v>17</v>
      </c>
      <c r="U9" s="770">
        <f t="shared" si="1"/>
        <v>100</v>
      </c>
      <c r="V9" s="769" t="s">
        <v>17</v>
      </c>
      <c r="W9" s="770">
        <f t="shared" si="2"/>
        <v>100</v>
      </c>
      <c r="X9" s="771"/>
      <c r="Y9" s="3142" t="s">
        <v>2469</v>
      </c>
      <c r="Z9" s="55" t="str">
        <f t="shared" ref="Z9:Z14" si="7">Q9</f>
        <v>用途</v>
      </c>
      <c r="AA9" s="772">
        <f t="shared" si="3"/>
        <v>1</v>
      </c>
      <c r="AB9" s="772">
        <f t="shared" si="4"/>
        <v>1</v>
      </c>
      <c r="AC9" s="772">
        <f t="shared" si="5"/>
        <v>1</v>
      </c>
    </row>
    <row r="10" spans="1:29" s="427" customFormat="1" ht="27">
      <c r="A10" s="421"/>
      <c r="B10" s="422" t="s">
        <v>2470</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65"/>
      <c r="Q10" s="1781" t="str">
        <f t="shared" si="6"/>
        <v>土地使用年限（年）</v>
      </c>
      <c r="R10" s="769" t="s">
        <v>17</v>
      </c>
      <c r="S10" s="770">
        <f t="shared" si="0"/>
        <v>100</v>
      </c>
      <c r="T10" s="769" t="s">
        <v>17</v>
      </c>
      <c r="U10" s="770">
        <f t="shared" si="1"/>
        <v>100</v>
      </c>
      <c r="V10" s="769" t="s">
        <v>17</v>
      </c>
      <c r="W10" s="770">
        <f t="shared" si="2"/>
        <v>100</v>
      </c>
      <c r="X10" s="771"/>
      <c r="Y10" s="3142"/>
      <c r="Z10" s="55" t="str">
        <f t="shared" si="7"/>
        <v>土地使用年限（年）</v>
      </c>
      <c r="AA10" s="772">
        <f t="shared" si="3"/>
        <v>1</v>
      </c>
      <c r="AB10" s="772">
        <f t="shared" si="4"/>
        <v>1</v>
      </c>
      <c r="AC10" s="772">
        <f t="shared" si="5"/>
        <v>1</v>
      </c>
    </row>
    <row r="11" spans="1:29" ht="15">
      <c r="A11" s="428"/>
      <c r="B11" s="2485">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65"/>
      <c r="Q11" s="1781">
        <f t="shared" si="6"/>
        <v>111</v>
      </c>
      <c r="R11" s="769" t="s">
        <v>17</v>
      </c>
      <c r="S11" s="770">
        <f t="shared" si="0"/>
        <v>100</v>
      </c>
      <c r="T11" s="769" t="s">
        <v>17</v>
      </c>
      <c r="U11" s="770">
        <f t="shared" si="1"/>
        <v>100</v>
      </c>
      <c r="V11" s="769" t="s">
        <v>17</v>
      </c>
      <c r="W11" s="770">
        <f t="shared" si="2"/>
        <v>100</v>
      </c>
      <c r="X11" s="771"/>
      <c r="Y11" s="3142"/>
      <c r="Z11" s="55">
        <f t="shared" si="7"/>
        <v>111</v>
      </c>
      <c r="AA11" s="772">
        <f t="shared" si="3"/>
        <v>1</v>
      </c>
      <c r="AB11" s="772">
        <f t="shared" si="4"/>
        <v>1</v>
      </c>
      <c r="AC11" s="772">
        <f t="shared" si="5"/>
        <v>1</v>
      </c>
    </row>
    <row r="12" spans="1:29" s="117" customFormat="1" ht="15">
      <c r="A12" s="431"/>
      <c r="B12" s="2485">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65"/>
      <c r="Q12" s="1781">
        <f t="shared" si="6"/>
        <v>111</v>
      </c>
      <c r="R12" s="769" t="s">
        <v>17</v>
      </c>
      <c r="S12" s="770">
        <f t="shared" si="0"/>
        <v>100</v>
      </c>
      <c r="T12" s="769" t="s">
        <v>17</v>
      </c>
      <c r="U12" s="770">
        <f t="shared" si="1"/>
        <v>100</v>
      </c>
      <c r="V12" s="769" t="s">
        <v>17</v>
      </c>
      <c r="W12" s="770">
        <f t="shared" si="2"/>
        <v>100</v>
      </c>
      <c r="X12" s="771"/>
      <c r="Y12" s="3142"/>
      <c r="Z12" s="55">
        <f t="shared" si="7"/>
        <v>111</v>
      </c>
      <c r="AA12" s="772">
        <f>D12/F12</f>
        <v>1</v>
      </c>
      <c r="AB12" s="772">
        <f>D12/H12</f>
        <v>1</v>
      </c>
      <c r="AC12" s="772">
        <f>D12/J12</f>
        <v>1</v>
      </c>
    </row>
    <row r="13" spans="1:29" ht="15.75" thickBot="1">
      <c r="A13" s="428"/>
      <c r="B13" s="2485">
        <v>111</v>
      </c>
      <c r="C13" s="434"/>
      <c r="D13" s="435">
        <v>100</v>
      </c>
      <c r="E13" s="469"/>
      <c r="F13" s="425">
        <f>SUMIF(59:59,E13,60:60)-SUMIF(59:59,C13,60:60)+100</f>
        <v>100</v>
      </c>
      <c r="G13" s="2580"/>
      <c r="H13" s="438">
        <f>SUMIF(59:59,G13,60:60)-SUMIF(59:59,C13,60:60)+100</f>
        <v>100</v>
      </c>
      <c r="I13" s="469"/>
      <c r="J13" s="435">
        <f>SUMIF(59:59,I13,60:60)-SUMIF(59:59,C13,60:60)+100</f>
        <v>100</v>
      </c>
      <c r="K13" s="613"/>
      <c r="L13" s="1135"/>
      <c r="M13" s="1126"/>
      <c r="N13" s="1126"/>
      <c r="O13" s="1134"/>
      <c r="P13" s="3265"/>
      <c r="Q13" s="1781">
        <f t="shared" si="6"/>
        <v>111</v>
      </c>
      <c r="R13" s="769" t="s">
        <v>17</v>
      </c>
      <c r="S13" s="770">
        <f t="shared" si="0"/>
        <v>100</v>
      </c>
      <c r="T13" s="769" t="s">
        <v>17</v>
      </c>
      <c r="U13" s="770">
        <f t="shared" si="1"/>
        <v>100</v>
      </c>
      <c r="V13" s="769" t="s">
        <v>17</v>
      </c>
      <c r="W13" s="770">
        <f t="shared" si="2"/>
        <v>100</v>
      </c>
      <c r="X13" s="771"/>
      <c r="Y13" s="3142"/>
      <c r="Z13" s="55">
        <f t="shared" si="7"/>
        <v>111</v>
      </c>
      <c r="AA13" s="772">
        <f t="shared" si="3"/>
        <v>1</v>
      </c>
      <c r="AB13" s="772">
        <f t="shared" si="4"/>
        <v>1</v>
      </c>
      <c r="AC13" s="772">
        <f t="shared" si="5"/>
        <v>1</v>
      </c>
    </row>
    <row r="14" spans="1:29" ht="15">
      <c r="A14" s="440" t="s">
        <v>2472</v>
      </c>
      <c r="B14" s="69" t="s">
        <v>2621</v>
      </c>
      <c r="C14" s="257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67" t="s">
        <v>2473</v>
      </c>
      <c r="Q14" s="1796" t="str">
        <f t="shared" si="6"/>
        <v>交通便捷度</v>
      </c>
      <c r="R14" s="773" t="s">
        <v>17</v>
      </c>
      <c r="S14" s="774">
        <f t="shared" si="0"/>
        <v>100</v>
      </c>
      <c r="T14" s="773" t="s">
        <v>17</v>
      </c>
      <c r="U14" s="774">
        <f t="shared" si="1"/>
        <v>100</v>
      </c>
      <c r="V14" s="773" t="s">
        <v>17</v>
      </c>
      <c r="W14" s="774">
        <f t="shared" si="2"/>
        <v>100</v>
      </c>
      <c r="X14" s="1799"/>
      <c r="Y14" s="3267" t="s">
        <v>2473</v>
      </c>
      <c r="Z14" s="1800" t="str">
        <f t="shared" si="7"/>
        <v>交通便捷度</v>
      </c>
      <c r="AA14" s="1797">
        <f t="shared" si="3"/>
        <v>1</v>
      </c>
      <c r="AB14" s="1797">
        <f t="shared" si="4"/>
        <v>1</v>
      </c>
      <c r="AC14" s="1797">
        <f t="shared" si="5"/>
        <v>1</v>
      </c>
    </row>
    <row r="15" spans="1:29" ht="15">
      <c r="A15" s="428"/>
      <c r="B15" s="446"/>
      <c r="C15" s="447"/>
      <c r="D15" s="448"/>
      <c r="E15" s="447"/>
      <c r="F15" s="449"/>
      <c r="G15" s="447"/>
      <c r="H15" s="450"/>
      <c r="I15" s="447"/>
      <c r="J15" s="448"/>
      <c r="K15" s="615"/>
      <c r="L15" s="1135"/>
      <c r="M15" s="1126"/>
      <c r="N15" s="1126"/>
      <c r="O15" s="1134"/>
      <c r="P15" s="3268"/>
      <c r="Q15" s="1796"/>
      <c r="R15" s="773"/>
      <c r="S15" s="774"/>
      <c r="T15" s="773"/>
      <c r="U15" s="774"/>
      <c r="V15" s="773"/>
      <c r="W15" s="774"/>
      <c r="X15" s="1799"/>
      <c r="Y15" s="3268"/>
      <c r="Z15" s="1800"/>
      <c r="AA15" s="1797">
        <v>1</v>
      </c>
      <c r="AB15" s="1797">
        <v>1</v>
      </c>
      <c r="AC15" s="1797">
        <v>1</v>
      </c>
    </row>
    <row r="16" spans="1:29" ht="15">
      <c r="A16" s="428"/>
      <c r="B16" s="451" t="s">
        <v>2600</v>
      </c>
      <c r="C16" s="2492">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68"/>
      <c r="Q16" s="1796" t="str">
        <f>B16</f>
        <v>公共配套设施</v>
      </c>
      <c r="R16" s="773" t="s">
        <v>17</v>
      </c>
      <c r="S16" s="774">
        <f>F16</f>
        <v>100</v>
      </c>
      <c r="T16" s="773" t="s">
        <v>17</v>
      </c>
      <c r="U16" s="774">
        <f>H16</f>
        <v>100</v>
      </c>
      <c r="V16" s="773" t="s">
        <v>17</v>
      </c>
      <c r="W16" s="774">
        <f>J16</f>
        <v>100</v>
      </c>
      <c r="X16" s="1799"/>
      <c r="Y16" s="3268"/>
      <c r="Z16" s="1800" t="str">
        <f>Q16</f>
        <v>公共配套设施</v>
      </c>
      <c r="AA16" s="1797">
        <f t="shared" si="3"/>
        <v>1</v>
      </c>
      <c r="AB16" s="1797">
        <f t="shared" si="4"/>
        <v>1</v>
      </c>
      <c r="AC16" s="1797">
        <f t="shared" si="5"/>
        <v>1</v>
      </c>
    </row>
    <row r="17" spans="1:29" ht="15">
      <c r="A17" s="428"/>
      <c r="B17" s="456"/>
      <c r="C17" s="2493"/>
      <c r="D17" s="448"/>
      <c r="E17" s="447"/>
      <c r="F17" s="449"/>
      <c r="G17" s="447"/>
      <c r="H17" s="448"/>
      <c r="I17" s="447"/>
      <c r="J17" s="448"/>
      <c r="K17" s="615"/>
      <c r="L17" s="1135"/>
      <c r="M17" s="1126"/>
      <c r="N17" s="1126"/>
      <c r="O17" s="1134"/>
      <c r="P17" s="3268"/>
      <c r="Q17" s="1796"/>
      <c r="R17" s="773"/>
      <c r="S17" s="774"/>
      <c r="T17" s="773"/>
      <c r="U17" s="774"/>
      <c r="V17" s="773"/>
      <c r="W17" s="774"/>
      <c r="X17" s="1799"/>
      <c r="Y17" s="3268"/>
      <c r="Z17" s="1800"/>
      <c r="AA17" s="1797">
        <v>1</v>
      </c>
      <c r="AB17" s="1797">
        <v>1</v>
      </c>
      <c r="AC17" s="1797">
        <v>1</v>
      </c>
    </row>
    <row r="18" spans="1:29" ht="15">
      <c r="A18" s="428"/>
      <c r="B18" s="1371" t="s">
        <v>2601</v>
      </c>
      <c r="C18" s="249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68"/>
      <c r="Q18" s="1796" t="str">
        <f>B18</f>
        <v>基础设施水平</v>
      </c>
      <c r="R18" s="773" t="s">
        <v>17</v>
      </c>
      <c r="S18" s="774">
        <f>F18</f>
        <v>100</v>
      </c>
      <c r="T18" s="773" t="s">
        <v>17</v>
      </c>
      <c r="U18" s="774">
        <f>H18</f>
        <v>100</v>
      </c>
      <c r="V18" s="773" t="s">
        <v>17</v>
      </c>
      <c r="W18" s="774">
        <f>J18</f>
        <v>100</v>
      </c>
      <c r="X18" s="1799"/>
      <c r="Y18" s="3268"/>
      <c r="Z18" s="1800" t="str">
        <f>Q18</f>
        <v>基础设施水平</v>
      </c>
      <c r="AA18" s="1797">
        <f t="shared" ref="AA18" si="8">D18/F18</f>
        <v>1</v>
      </c>
      <c r="AB18" s="1797">
        <f t="shared" ref="AB18" si="9">D18/H18</f>
        <v>1</v>
      </c>
      <c r="AC18" s="1797">
        <f t="shared" ref="AC18" si="10">D18/J18</f>
        <v>1</v>
      </c>
    </row>
    <row r="19" spans="1:29" ht="15">
      <c r="A19" s="428"/>
      <c r="B19" s="1371"/>
      <c r="C19" s="2493"/>
      <c r="D19" s="450"/>
      <c r="E19" s="2493"/>
      <c r="F19" s="453"/>
      <c r="G19" s="2493"/>
      <c r="H19" s="448"/>
      <c r="I19" s="447"/>
      <c r="J19" s="448"/>
      <c r="K19" s="1370"/>
      <c r="L19" s="1135"/>
      <c r="M19" s="1126"/>
      <c r="N19" s="1126"/>
      <c r="O19" s="1134"/>
      <c r="P19" s="3268"/>
      <c r="Q19" s="1796"/>
      <c r="R19" s="773"/>
      <c r="S19" s="774"/>
      <c r="T19" s="773"/>
      <c r="U19" s="774"/>
      <c r="V19" s="773"/>
      <c r="W19" s="774"/>
      <c r="X19" s="1799"/>
      <c r="Y19" s="3268"/>
      <c r="Z19" s="1800"/>
      <c r="AA19" s="1797">
        <v>1</v>
      </c>
      <c r="AB19" s="1797">
        <v>1</v>
      </c>
      <c r="AC19" s="1797">
        <v>1</v>
      </c>
    </row>
    <row r="20" spans="1:29" ht="15">
      <c r="A20" s="428"/>
      <c r="B20" s="451" t="s">
        <v>2622</v>
      </c>
      <c r="C20" s="249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68"/>
      <c r="Q20" s="1796" t="str">
        <f>B20</f>
        <v>自然及人文环境</v>
      </c>
      <c r="R20" s="773" t="s">
        <v>17</v>
      </c>
      <c r="S20" s="774">
        <f>F20</f>
        <v>100</v>
      </c>
      <c r="T20" s="773" t="s">
        <v>17</v>
      </c>
      <c r="U20" s="774">
        <f>H20</f>
        <v>100</v>
      </c>
      <c r="V20" s="773" t="s">
        <v>17</v>
      </c>
      <c r="W20" s="774">
        <f>J20</f>
        <v>100</v>
      </c>
      <c r="X20" s="1799"/>
      <c r="Y20" s="3268"/>
      <c r="Z20" s="1800" t="str">
        <f>Q20</f>
        <v>自然及人文环境</v>
      </c>
      <c r="AA20" s="1797">
        <f t="shared" si="3"/>
        <v>1</v>
      </c>
      <c r="AB20" s="1797">
        <f t="shared" si="4"/>
        <v>1</v>
      </c>
      <c r="AC20" s="1797">
        <f t="shared" si="5"/>
        <v>1</v>
      </c>
    </row>
    <row r="21" spans="1:29" ht="15">
      <c r="A21" s="428"/>
      <c r="B21" s="456"/>
      <c r="C21" s="447"/>
      <c r="D21" s="448"/>
      <c r="E21" s="447"/>
      <c r="F21" s="449"/>
      <c r="G21" s="447"/>
      <c r="H21" s="448"/>
      <c r="I21" s="447"/>
      <c r="J21" s="448"/>
      <c r="K21" s="615"/>
      <c r="L21" s="1135"/>
      <c r="M21" s="1126"/>
      <c r="N21" s="1126"/>
      <c r="O21" s="1134"/>
      <c r="P21" s="3268"/>
      <c r="Q21" s="1796"/>
      <c r="R21" s="773"/>
      <c r="S21" s="774"/>
      <c r="T21" s="773"/>
      <c r="U21" s="774"/>
      <c r="V21" s="773"/>
      <c r="W21" s="774"/>
      <c r="X21" s="1799"/>
      <c r="Y21" s="3268"/>
      <c r="Z21" s="1800"/>
      <c r="AA21" s="1797">
        <v>1</v>
      </c>
      <c r="AB21" s="1797">
        <v>1</v>
      </c>
      <c r="AC21" s="1797">
        <v>1</v>
      </c>
    </row>
    <row r="22" spans="1:29" ht="15">
      <c r="A22" s="428"/>
      <c r="B22" s="451" t="s">
        <v>2623</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68"/>
      <c r="Q22" s="1796" t="str">
        <f>B22</f>
        <v>楼层</v>
      </c>
      <c r="R22" s="773" t="s">
        <v>17</v>
      </c>
      <c r="S22" s="774">
        <f>F22</f>
        <v>100</v>
      </c>
      <c r="T22" s="773" t="s">
        <v>17</v>
      </c>
      <c r="U22" s="774">
        <f>H22</f>
        <v>100</v>
      </c>
      <c r="V22" s="773" t="s">
        <v>17</v>
      </c>
      <c r="W22" s="774">
        <f>J22</f>
        <v>100</v>
      </c>
      <c r="X22" s="1799"/>
      <c r="Y22" s="3268"/>
      <c r="Z22" s="1800" t="str">
        <f>Q22</f>
        <v>楼层</v>
      </c>
      <c r="AA22" s="1797">
        <f t="shared" si="3"/>
        <v>1</v>
      </c>
      <c r="AB22" s="1797">
        <f t="shared" si="4"/>
        <v>1</v>
      </c>
      <c r="AC22" s="1797">
        <f t="shared" si="5"/>
        <v>1</v>
      </c>
    </row>
    <row r="23" spans="1:29" ht="15">
      <c r="A23" s="404"/>
      <c r="B23" s="2485">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68"/>
      <c r="Q23" s="1796">
        <f>B23</f>
        <v>111</v>
      </c>
      <c r="R23" s="773" t="s">
        <v>17</v>
      </c>
      <c r="S23" s="774">
        <f>F23</f>
        <v>100</v>
      </c>
      <c r="T23" s="773" t="s">
        <v>17</v>
      </c>
      <c r="U23" s="774">
        <f>H23</f>
        <v>100</v>
      </c>
      <c r="V23" s="773" t="s">
        <v>17</v>
      </c>
      <c r="W23" s="774">
        <f>J23</f>
        <v>100</v>
      </c>
      <c r="X23" s="1799"/>
      <c r="Y23" s="3268"/>
      <c r="Z23" s="1800">
        <f>Q23</f>
        <v>111</v>
      </c>
      <c r="AA23" s="1797">
        <f t="shared" si="3"/>
        <v>1</v>
      </c>
      <c r="AB23" s="1797">
        <f t="shared" si="4"/>
        <v>1</v>
      </c>
      <c r="AC23" s="1797">
        <f t="shared" si="5"/>
        <v>1</v>
      </c>
    </row>
    <row r="24" spans="1:29" ht="15">
      <c r="A24" s="428"/>
      <c r="B24" s="2485">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68"/>
      <c r="Q24" s="1796">
        <f t="shared" ref="Q24:Q34" si="11">B24</f>
        <v>111</v>
      </c>
      <c r="R24" s="773" t="s">
        <v>17</v>
      </c>
      <c r="S24" s="774">
        <f>F24</f>
        <v>100</v>
      </c>
      <c r="T24" s="773" t="s">
        <v>17</v>
      </c>
      <c r="U24" s="774">
        <f>H24</f>
        <v>100</v>
      </c>
      <c r="V24" s="773" t="s">
        <v>17</v>
      </c>
      <c r="W24" s="774">
        <f>J24</f>
        <v>100</v>
      </c>
      <c r="X24" s="1799"/>
      <c r="Y24" s="3268"/>
      <c r="Z24" s="1800">
        <f>Q24</f>
        <v>111</v>
      </c>
      <c r="AA24" s="1797">
        <f t="shared" si="3"/>
        <v>1</v>
      </c>
      <c r="AB24" s="1797">
        <f t="shared" si="4"/>
        <v>1</v>
      </c>
      <c r="AC24" s="1797">
        <f t="shared" si="5"/>
        <v>1</v>
      </c>
    </row>
    <row r="25" spans="1:29" s="117" customFormat="1" ht="15.75" thickBot="1">
      <c r="A25" s="431"/>
      <c r="B25" s="2485">
        <v>111</v>
      </c>
      <c r="C25" s="2581"/>
      <c r="D25" s="664">
        <v>100</v>
      </c>
      <c r="E25" s="2581"/>
      <c r="F25" s="665">
        <f>SUMIF(75:75,E25,76:76)-SUMIF(75:75,C25,76:76)+100</f>
        <v>100</v>
      </c>
      <c r="G25" s="2581"/>
      <c r="H25" s="664">
        <f>SUMIF(75:75,G25,76:76)-SUMIF(75:75,C25,76:76)+100</f>
        <v>100</v>
      </c>
      <c r="I25" s="2581"/>
      <c r="J25" s="664">
        <f>SUMIF(75:75,I25,76:76)-SUMIF(75:75,C25,76:76)+100</f>
        <v>100</v>
      </c>
      <c r="K25" s="613"/>
      <c r="L25" s="1127"/>
      <c r="M25" s="1128"/>
      <c r="N25" s="1128"/>
      <c r="O25" s="1129"/>
      <c r="P25" s="3268"/>
      <c r="Q25" s="1781">
        <f t="shared" si="11"/>
        <v>111</v>
      </c>
      <c r="R25" s="769" t="s">
        <v>17</v>
      </c>
      <c r="S25" s="770">
        <f>F25</f>
        <v>100</v>
      </c>
      <c r="T25" s="769" t="s">
        <v>17</v>
      </c>
      <c r="U25" s="770">
        <f>H25</f>
        <v>100</v>
      </c>
      <c r="V25" s="769" t="s">
        <v>17</v>
      </c>
      <c r="W25" s="770">
        <f>J25</f>
        <v>100</v>
      </c>
      <c r="X25" s="771"/>
      <c r="Y25" s="3268"/>
      <c r="Z25" s="55">
        <f>Q25</f>
        <v>111</v>
      </c>
      <c r="AA25" s="1797">
        <f>D25/F25</f>
        <v>1</v>
      </c>
      <c r="AB25" s="1797">
        <f>D25/H25</f>
        <v>1</v>
      </c>
      <c r="AC25" s="1797">
        <f>D25/J25</f>
        <v>1</v>
      </c>
    </row>
    <row r="26" spans="1:29" ht="15">
      <c r="A26" s="466" t="s">
        <v>2476</v>
      </c>
      <c r="B26" s="71" t="s">
        <v>2626</v>
      </c>
      <c r="C26" s="2562"/>
      <c r="D26" s="467">
        <v>100</v>
      </c>
      <c r="E26" s="2562"/>
      <c r="F26" s="666">
        <f>SUMIF(77:77,E26,78:78)-SUMIF(77:77,C26,78:78)+100</f>
        <v>100</v>
      </c>
      <c r="G26" s="2562"/>
      <c r="H26" s="467">
        <f>SUMIF(77:77,G26,78:78)-SUMIF(77:77,C26,78:78)+100</f>
        <v>100</v>
      </c>
      <c r="I26" s="2562"/>
      <c r="J26" s="467">
        <f>SUMIF(77:77,I26,78:78)-SUMIF(77:77,C26,78:78)+100</f>
        <v>100</v>
      </c>
      <c r="K26" s="612"/>
      <c r="L26" s="1135"/>
      <c r="M26" s="1126"/>
      <c r="N26" s="1126"/>
      <c r="O26" s="1134"/>
      <c r="P26" s="3357" t="s">
        <v>2478</v>
      </c>
      <c r="Q26" s="1796" t="str">
        <f t="shared" si="11"/>
        <v>公共部分装修</v>
      </c>
      <c r="R26" s="773" t="s">
        <v>17</v>
      </c>
      <c r="S26" s="774">
        <f t="shared" ref="S26:S34" si="12">F26</f>
        <v>100</v>
      </c>
      <c r="T26" s="773" t="s">
        <v>17</v>
      </c>
      <c r="U26" s="774">
        <f t="shared" ref="U26:U34" si="13">H26</f>
        <v>100</v>
      </c>
      <c r="V26" s="773" t="s">
        <v>17</v>
      </c>
      <c r="W26" s="774">
        <f t="shared" ref="W26:W34" si="14">J26</f>
        <v>100</v>
      </c>
      <c r="X26" s="1799"/>
      <c r="Y26" s="3272" t="s">
        <v>2478</v>
      </c>
      <c r="Z26" s="1800" t="str">
        <f t="shared" ref="Z26:Z34" si="15">Q26</f>
        <v>公共部分装修</v>
      </c>
      <c r="AA26" s="1797">
        <f t="shared" si="3"/>
        <v>1</v>
      </c>
      <c r="AB26" s="1797">
        <f t="shared" si="4"/>
        <v>1</v>
      </c>
      <c r="AC26" s="1797">
        <f t="shared" si="5"/>
        <v>1</v>
      </c>
    </row>
    <row r="27" spans="1:29" s="471" customFormat="1" ht="15">
      <c r="A27" s="468"/>
      <c r="B27" s="422" t="s">
        <v>2627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72"/>
      <c r="Q27" s="775" t="str">
        <f t="shared" si="11"/>
        <v>成新率</v>
      </c>
      <c r="R27" s="776" t="s">
        <v>17</v>
      </c>
      <c r="S27" s="777" t="e">
        <f t="shared" si="12"/>
        <v>#N/A</v>
      </c>
      <c r="T27" s="776" t="s">
        <v>17</v>
      </c>
      <c r="U27" s="777" t="e">
        <f t="shared" si="13"/>
        <v>#N/A</v>
      </c>
      <c r="V27" s="776" t="s">
        <v>17</v>
      </c>
      <c r="W27" s="777" t="e">
        <f t="shared" si="14"/>
        <v>#N/A</v>
      </c>
      <c r="X27" s="778"/>
      <c r="Y27" s="3272"/>
      <c r="Z27" s="779" t="str">
        <f t="shared" si="15"/>
        <v>成新率</v>
      </c>
      <c r="AA27" s="1797" t="e">
        <f t="shared" si="3"/>
        <v>#N/A</v>
      </c>
      <c r="AB27" s="1797" t="e">
        <f t="shared" si="4"/>
        <v>#N/A</v>
      </c>
      <c r="AC27" s="1797" t="e">
        <f t="shared" si="5"/>
        <v>#N/A</v>
      </c>
    </row>
    <row r="28" spans="1:29" ht="15">
      <c r="A28" s="472"/>
      <c r="B28" s="422" t="s">
        <v>2628</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72"/>
      <c r="Q28" s="1796" t="str">
        <f t="shared" si="11"/>
        <v>物业等级</v>
      </c>
      <c r="R28" s="773" t="s">
        <v>17</v>
      </c>
      <c r="S28" s="774">
        <f t="shared" si="12"/>
        <v>100</v>
      </c>
      <c r="T28" s="773" t="s">
        <v>17</v>
      </c>
      <c r="U28" s="774">
        <f t="shared" si="13"/>
        <v>100</v>
      </c>
      <c r="V28" s="773" t="s">
        <v>17</v>
      </c>
      <c r="W28" s="774">
        <f t="shared" si="14"/>
        <v>100</v>
      </c>
      <c r="X28" s="1799"/>
      <c r="Y28" s="3272"/>
      <c r="Z28" s="1800" t="str">
        <f t="shared" si="15"/>
        <v>物业等级</v>
      </c>
      <c r="AA28" s="1797">
        <f t="shared" si="3"/>
        <v>1</v>
      </c>
      <c r="AB28" s="1797">
        <f t="shared" si="4"/>
        <v>1</v>
      </c>
      <c r="AC28" s="1797">
        <f t="shared" si="5"/>
        <v>1</v>
      </c>
    </row>
    <row r="29" spans="1:29" ht="15">
      <c r="A29" s="472"/>
      <c r="B29" s="422" t="s">
        <v>2649</v>
      </c>
      <c r="C29" s="656"/>
      <c r="D29" s="435">
        <v>100</v>
      </c>
      <c r="E29" s="656"/>
      <c r="F29" s="461">
        <f>SUMIF(84:84,E29,85:85)-SUMIF(84:84,C29,85:85)+100</f>
        <v>100</v>
      </c>
      <c r="G29" s="656"/>
      <c r="H29" s="435">
        <f>SUMIF(84:84,G29,85:85)-SUMIF(84:84,C29,85:85)+100</f>
        <v>100</v>
      </c>
      <c r="I29" s="656"/>
      <c r="J29" s="435">
        <f>SUMIF(84:84,I29,85:85)-SUMIF(84:84,C29,85:85)+100</f>
        <v>100</v>
      </c>
      <c r="K29" s="612"/>
      <c r="L29" s="1135"/>
      <c r="M29" s="1126"/>
      <c r="N29" s="1126"/>
      <c r="O29" s="1134"/>
      <c r="P29" s="3272"/>
      <c r="Q29" s="1796" t="str">
        <f t="shared" si="11"/>
        <v>有无电梯</v>
      </c>
      <c r="R29" s="773" t="s">
        <v>17</v>
      </c>
      <c r="S29" s="774">
        <f t="shared" si="12"/>
        <v>100</v>
      </c>
      <c r="T29" s="773" t="s">
        <v>17</v>
      </c>
      <c r="U29" s="774">
        <f t="shared" si="13"/>
        <v>100</v>
      </c>
      <c r="V29" s="773" t="s">
        <v>17</v>
      </c>
      <c r="W29" s="774">
        <f t="shared" si="14"/>
        <v>100</v>
      </c>
      <c r="X29" s="1799"/>
      <c r="Y29" s="3272"/>
      <c r="Z29" s="1800" t="str">
        <f t="shared" si="15"/>
        <v>有无电梯</v>
      </c>
      <c r="AA29" s="1797">
        <f t="shared" si="3"/>
        <v>1</v>
      </c>
      <c r="AB29" s="1797">
        <f t="shared" si="4"/>
        <v>1</v>
      </c>
      <c r="AC29" s="1797">
        <f t="shared" si="5"/>
        <v>1</v>
      </c>
    </row>
    <row r="30" spans="1:29" ht="15">
      <c r="A30" s="472"/>
      <c r="B30" s="422" t="s">
        <v>2650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72"/>
      <c r="Q30" s="1796" t="str">
        <f t="shared" si="11"/>
        <v>建筑面积</v>
      </c>
      <c r="R30" s="773" t="s">
        <v>17</v>
      </c>
      <c r="S30" s="774" t="e">
        <f t="shared" si="12"/>
        <v>#N/A</v>
      </c>
      <c r="T30" s="773" t="s">
        <v>17</v>
      </c>
      <c r="U30" s="774" t="e">
        <f t="shared" si="13"/>
        <v>#N/A</v>
      </c>
      <c r="V30" s="773" t="s">
        <v>17</v>
      </c>
      <c r="W30" s="774" t="e">
        <f t="shared" si="14"/>
        <v>#N/A</v>
      </c>
      <c r="X30" s="1799"/>
      <c r="Y30" s="3272"/>
      <c r="Z30" s="1800" t="str">
        <f t="shared" si="15"/>
        <v>建筑面积</v>
      </c>
      <c r="AA30" s="1797" t="e">
        <f t="shared" si="3"/>
        <v>#N/A</v>
      </c>
      <c r="AB30" s="1797" t="e">
        <f t="shared" si="4"/>
        <v>#N/A</v>
      </c>
      <c r="AC30" s="1797" t="e">
        <f t="shared" si="5"/>
        <v>#N/A</v>
      </c>
    </row>
    <row r="31" spans="1:29" s="117" customFormat="1" ht="15">
      <c r="A31" s="473"/>
      <c r="B31" s="422" t="s">
        <v>2651</v>
      </c>
      <c r="C31" s="656"/>
      <c r="D31" s="136">
        <v>100</v>
      </c>
      <c r="E31" s="656"/>
      <c r="F31" s="461">
        <f>SUMIF(89:89,E31,90:90)-SUMIF(89:89,C31,90:90)+100</f>
        <v>100</v>
      </c>
      <c r="G31" s="656"/>
      <c r="H31" s="435">
        <f>SUMIF(89:89,G31,90:90)-SUMIF(89:89,C31,90:90)+100</f>
        <v>100</v>
      </c>
      <c r="I31" s="656"/>
      <c r="J31" s="435">
        <f>SUMIF(89:89,I31,90:90)-SUMIF(89:89,C31,90:90)+100</f>
        <v>100</v>
      </c>
      <c r="K31" s="612"/>
      <c r="L31" s="1127"/>
      <c r="M31" s="1128"/>
      <c r="N31" s="1128"/>
      <c r="O31" s="1129"/>
      <c r="P31" s="3272"/>
      <c r="Q31" s="1781" t="str">
        <f t="shared" si="11"/>
        <v>是否封闭</v>
      </c>
      <c r="R31" s="769" t="s">
        <v>17</v>
      </c>
      <c r="S31" s="770">
        <f t="shared" si="12"/>
        <v>100</v>
      </c>
      <c r="T31" s="769" t="s">
        <v>17</v>
      </c>
      <c r="U31" s="770">
        <f t="shared" si="13"/>
        <v>100</v>
      </c>
      <c r="V31" s="769" t="s">
        <v>17</v>
      </c>
      <c r="W31" s="770">
        <f t="shared" si="14"/>
        <v>100</v>
      </c>
      <c r="X31" s="771"/>
      <c r="Y31" s="3272"/>
      <c r="Z31" s="55" t="str">
        <f t="shared" si="15"/>
        <v>是否封闭</v>
      </c>
      <c r="AA31" s="772">
        <f t="shared" si="3"/>
        <v>1</v>
      </c>
      <c r="AB31" s="772">
        <f t="shared" si="4"/>
        <v>1</v>
      </c>
      <c r="AC31" s="772">
        <f t="shared" si="5"/>
        <v>1</v>
      </c>
    </row>
    <row r="32" spans="1:29" ht="15">
      <c r="A32" s="472"/>
      <c r="B32" s="2485">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72" t="s">
        <v>2478</v>
      </c>
      <c r="Q32" s="1796">
        <f t="shared" si="11"/>
        <v>111</v>
      </c>
      <c r="R32" s="773" t="s">
        <v>17</v>
      </c>
      <c r="S32" s="774">
        <f t="shared" si="12"/>
        <v>100</v>
      </c>
      <c r="T32" s="773" t="s">
        <v>17</v>
      </c>
      <c r="U32" s="774">
        <f t="shared" si="13"/>
        <v>100</v>
      </c>
      <c r="V32" s="773" t="s">
        <v>17</v>
      </c>
      <c r="W32" s="774">
        <f t="shared" si="14"/>
        <v>100</v>
      </c>
      <c r="X32" s="1799"/>
      <c r="Y32" s="3272" t="s">
        <v>2478</v>
      </c>
      <c r="Z32" s="1800">
        <f t="shared" si="15"/>
        <v>111</v>
      </c>
      <c r="AA32" s="1797">
        <f t="shared" si="3"/>
        <v>1</v>
      </c>
      <c r="AB32" s="1797">
        <f t="shared" si="4"/>
        <v>1</v>
      </c>
      <c r="AC32" s="1797">
        <f t="shared" si="5"/>
        <v>1</v>
      </c>
    </row>
    <row r="33" spans="1:29" ht="15">
      <c r="A33" s="472"/>
      <c r="B33" s="2485">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72"/>
      <c r="Q33" s="1796">
        <f t="shared" si="11"/>
        <v>111</v>
      </c>
      <c r="R33" s="773" t="s">
        <v>17</v>
      </c>
      <c r="S33" s="774">
        <f t="shared" si="12"/>
        <v>100</v>
      </c>
      <c r="T33" s="773" t="s">
        <v>17</v>
      </c>
      <c r="U33" s="774">
        <f t="shared" si="13"/>
        <v>100</v>
      </c>
      <c r="V33" s="773" t="s">
        <v>17</v>
      </c>
      <c r="W33" s="774">
        <f t="shared" si="14"/>
        <v>100</v>
      </c>
      <c r="X33" s="1799"/>
      <c r="Y33" s="3272"/>
      <c r="Z33" s="1800">
        <f t="shared" si="15"/>
        <v>111</v>
      </c>
      <c r="AA33" s="1797">
        <f t="shared" si="3"/>
        <v>1</v>
      </c>
      <c r="AB33" s="1797">
        <f t="shared" si="4"/>
        <v>1</v>
      </c>
      <c r="AC33" s="1797">
        <f t="shared" si="5"/>
        <v>1</v>
      </c>
    </row>
    <row r="34" spans="1:29" ht="15.75" thickBot="1">
      <c r="A34" s="478"/>
      <c r="B34" s="2487">
        <v>111</v>
      </c>
      <c r="C34" s="437"/>
      <c r="D34" s="438">
        <v>100</v>
      </c>
      <c r="E34" s="2580"/>
      <c r="F34" s="439">
        <f>SUMIF(95:95,E34,96:96)-SUMIF(95:95,C34,96:96)+100</f>
        <v>100</v>
      </c>
      <c r="G34" s="2580"/>
      <c r="H34" s="438">
        <f>SUMIF(95:95,G34,96:96)-SUMIF(95:95,C34,96:96)+100</f>
        <v>100</v>
      </c>
      <c r="I34" s="2580"/>
      <c r="J34" s="438">
        <f>SUMIF(95:95,I34,96:96)-SUMIF(95:95,C34,96:96)+100</f>
        <v>100</v>
      </c>
      <c r="K34" s="613"/>
      <c r="L34" s="1135"/>
      <c r="M34" s="1126"/>
      <c r="N34" s="1126"/>
      <c r="O34" s="1134"/>
      <c r="P34" s="3272"/>
      <c r="Q34" s="1796">
        <f t="shared" si="11"/>
        <v>111</v>
      </c>
      <c r="R34" s="773" t="s">
        <v>17</v>
      </c>
      <c r="S34" s="774">
        <f t="shared" si="12"/>
        <v>100</v>
      </c>
      <c r="T34" s="773" t="s">
        <v>17</v>
      </c>
      <c r="U34" s="774">
        <f t="shared" si="13"/>
        <v>100</v>
      </c>
      <c r="V34" s="773" t="s">
        <v>17</v>
      </c>
      <c r="W34" s="774">
        <f t="shared" si="14"/>
        <v>100</v>
      </c>
      <c r="X34" s="1799"/>
      <c r="Y34" s="3272"/>
      <c r="Z34" s="1800">
        <f t="shared" si="15"/>
        <v>111</v>
      </c>
      <c r="AA34" s="1797">
        <f t="shared" si="3"/>
        <v>1</v>
      </c>
      <c r="AB34" s="1797">
        <f t="shared" si="4"/>
        <v>1</v>
      </c>
      <c r="AC34" s="1797">
        <f t="shared" si="5"/>
        <v>1</v>
      </c>
    </row>
    <row r="35" spans="1:29" ht="15">
      <c r="A35" s="479" t="s">
        <v>2490</v>
      </c>
      <c r="B35" s="480"/>
      <c r="C35" s="1394" t="s">
        <v>1</v>
      </c>
      <c r="D35" s="1395"/>
      <c r="E35" s="1396"/>
      <c r="F35" s="1397"/>
      <c r="G35" s="1398"/>
      <c r="H35" s="1399"/>
      <c r="I35" s="1396"/>
      <c r="J35" s="1399"/>
      <c r="K35" s="782"/>
      <c r="L35" s="1138"/>
      <c r="M35" s="1139"/>
      <c r="N35" s="1126"/>
      <c r="O35" s="1139"/>
      <c r="P35" s="3265" t="str">
        <f>A35</f>
        <v>成交单价（元/平方米）</v>
      </c>
      <c r="Q35" s="3265"/>
      <c r="R35" s="3266">
        <f>E35</f>
        <v>0</v>
      </c>
      <c r="S35" s="3266"/>
      <c r="T35" s="3266">
        <f>G35</f>
        <v>0</v>
      </c>
      <c r="U35" s="3266"/>
      <c r="V35" s="3266">
        <f>I35</f>
        <v>0</v>
      </c>
      <c r="W35" s="3266"/>
      <c r="X35" s="758"/>
      <c r="Y35" s="780"/>
      <c r="Z35" s="758"/>
      <c r="AA35" s="758"/>
      <c r="AB35" s="758"/>
      <c r="AC35" s="758"/>
    </row>
    <row r="36" spans="1:29" ht="15.75" thickBot="1">
      <c r="A36" s="486" t="s">
        <v>2581</v>
      </c>
      <c r="B36" s="487"/>
      <c r="C36" s="1400" t="e">
        <f>R37</f>
        <v>#DIV/0!</v>
      </c>
      <c r="D36" s="1401"/>
      <c r="E36" s="1402" t="e">
        <f>R36</f>
        <v>#DIV/0!</v>
      </c>
      <c r="F36" s="1402"/>
      <c r="G36" s="1400" t="e">
        <f>T36</f>
        <v>#DIV/0!</v>
      </c>
      <c r="H36" s="1401"/>
      <c r="I36" s="1402" t="e">
        <f>V36</f>
        <v>#DIV/0!</v>
      </c>
      <c r="J36" s="1401"/>
      <c r="K36" s="783"/>
      <c r="L36" s="1138"/>
      <c r="M36" s="1139"/>
      <c r="N36" s="1126"/>
      <c r="O36" s="1139"/>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8"/>
      <c r="Y36" s="758"/>
      <c r="Z36" s="758"/>
      <c r="AA36" s="758"/>
      <c r="AB36" s="758"/>
      <c r="AC36" s="758"/>
    </row>
    <row r="37" spans="1:29" ht="15.75" thickBot="1">
      <c r="A37" s="492" t="s">
        <v>2582</v>
      </c>
      <c r="B37" s="493"/>
      <c r="C37" s="1404" t="e">
        <f>R37</f>
        <v>#DIV/0!</v>
      </c>
      <c r="D37" s="1404"/>
      <c r="E37" s="1404"/>
      <c r="F37" s="1404"/>
      <c r="G37" s="1404"/>
      <c r="H37" s="1404"/>
      <c r="I37" s="1404"/>
      <c r="J37" s="1404"/>
      <c r="K37" s="784"/>
      <c r="L37" s="1138"/>
      <c r="M37" s="1139"/>
      <c r="N37" s="1139"/>
      <c r="O37" s="1139"/>
      <c r="P37" s="3262" t="str">
        <f>A37</f>
        <v>估价对象XX用房的比较价值（楼面单价，元/平方米）</v>
      </c>
      <c r="Q37" s="3263"/>
      <c r="R37" s="3264" t="e">
        <f>IF(F1="售价",ROUND(AVERAGE(R36:V36),0),ROUND(AVERAGE(R36:V36),1))</f>
        <v>#DIV/0!</v>
      </c>
      <c r="S37" s="3264"/>
      <c r="T37" s="3264"/>
      <c r="U37" s="3264"/>
      <c r="V37" s="3264"/>
      <c r="W37" s="3264"/>
      <c r="X37" s="758"/>
      <c r="Y37" s="758"/>
      <c r="Z37" s="758"/>
      <c r="AA37" s="758"/>
      <c r="AB37" s="758"/>
      <c r="AC37" s="758"/>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2583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2584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2585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2" t="s">
        <v>2586</v>
      </c>
      <c r="B45" s="758"/>
      <c r="C45" s="763"/>
      <c r="D45" s="763"/>
      <c r="E45" s="763"/>
      <c r="F45" s="764"/>
      <c r="G45" s="764"/>
      <c r="H45" s="763"/>
      <c r="I45" s="763"/>
      <c r="J45" s="763"/>
      <c r="K45" s="765"/>
      <c r="L45" s="766"/>
      <c r="M45" s="763"/>
      <c r="N45" s="763"/>
      <c r="O45" s="763"/>
      <c r="P45" s="503"/>
      <c r="Q45" s="504"/>
    </row>
    <row r="46" spans="1:29" s="508" customFormat="1" ht="15">
      <c r="A46" s="505" t="s">
        <v>2461</v>
      </c>
      <c r="B46" s="506"/>
      <c r="C46" s="1560" t="str">
        <f>YEAR(C7)&amp;"-"&amp;MONTH(C7)</f>
        <v>2018-3</v>
      </c>
      <c r="D46" s="1561">
        <f>EDATE(C46,-1)</f>
        <v>43132</v>
      </c>
      <c r="E46" s="1561">
        <f t="shared" ref="E46:O46" si="16">EDATE(D46,-1)</f>
        <v>43101</v>
      </c>
      <c r="F46" s="1561">
        <f t="shared" si="16"/>
        <v>43070</v>
      </c>
      <c r="G46" s="1561">
        <f t="shared" si="16"/>
        <v>43040</v>
      </c>
      <c r="H46" s="1561">
        <f t="shared" si="16"/>
        <v>43009</v>
      </c>
      <c r="I46" s="1561">
        <f t="shared" si="16"/>
        <v>42979</v>
      </c>
      <c r="J46" s="1561">
        <f t="shared" si="16"/>
        <v>42948</v>
      </c>
      <c r="K46" s="1561">
        <f t="shared" si="16"/>
        <v>42917</v>
      </c>
      <c r="L46" s="1561">
        <f t="shared" si="16"/>
        <v>42887</v>
      </c>
      <c r="M46" s="1561">
        <f t="shared" si="16"/>
        <v>42856</v>
      </c>
      <c r="N46" s="1561">
        <f t="shared" si="16"/>
        <v>42826</v>
      </c>
      <c r="O46" s="1561">
        <f t="shared" si="16"/>
        <v>42795</v>
      </c>
      <c r="P46" s="507"/>
    </row>
    <row r="47" spans="1:29" s="117" customFormat="1" ht="15">
      <c r="A47" s="509"/>
      <c r="B47" s="510"/>
      <c r="C47" s="1559">
        <v>100</v>
      </c>
      <c r="D47" s="512"/>
      <c r="E47" s="512"/>
      <c r="F47" s="512"/>
      <c r="G47" s="512"/>
      <c r="H47" s="512"/>
      <c r="I47" s="512"/>
      <c r="J47" s="512"/>
      <c r="K47" s="512"/>
      <c r="L47" s="512"/>
      <c r="M47" s="513"/>
      <c r="N47" s="512"/>
      <c r="O47" s="514"/>
      <c r="P47" s="504"/>
    </row>
    <row r="48" spans="1:29" s="117" customFormat="1" ht="15.75" thickBot="1">
      <c r="A48" s="515" t="s">
        <v>2497</v>
      </c>
      <c r="B48" s="516"/>
      <c r="C48" s="517"/>
      <c r="D48" s="518"/>
      <c r="E48" s="518"/>
      <c r="F48" s="518"/>
      <c r="G48" s="518"/>
      <c r="H48" s="518"/>
      <c r="I48" s="518"/>
      <c r="J48" s="518"/>
      <c r="K48" s="518"/>
      <c r="L48" s="518"/>
      <c r="M48" s="519"/>
      <c r="N48" s="518"/>
      <c r="O48" s="520"/>
      <c r="P48" s="504"/>
      <c r="Q48" s="504"/>
    </row>
    <row r="49" spans="1:17" s="117" customFormat="1" ht="15">
      <c r="A49" s="521" t="s">
        <v>2463</v>
      </c>
      <c r="B49" s="510"/>
      <c r="C49" s="522" t="s">
        <v>2564</v>
      </c>
      <c r="D49" s="523"/>
      <c r="E49" s="523"/>
      <c r="F49" s="523"/>
      <c r="G49" s="523"/>
      <c r="H49" s="523"/>
      <c r="I49" s="523"/>
      <c r="J49" s="523"/>
      <c r="K49" s="523"/>
      <c r="L49" s="524"/>
      <c r="M49" s="525"/>
      <c r="N49" s="1146"/>
      <c r="O49" s="1146"/>
      <c r="P49" s="526"/>
      <c r="Q49" s="504"/>
    </row>
    <row r="50" spans="1:17" s="117" customFormat="1" ht="15.75" thickBot="1">
      <c r="A50" s="521"/>
      <c r="B50" s="510"/>
      <c r="C50" s="638">
        <v>100</v>
      </c>
      <c r="D50" s="512"/>
      <c r="E50" s="512"/>
      <c r="F50" s="512"/>
      <c r="G50" s="512"/>
      <c r="H50" s="512"/>
      <c r="I50" s="512"/>
      <c r="J50" s="512"/>
      <c r="K50" s="512"/>
      <c r="L50" s="512"/>
      <c r="M50" s="514"/>
      <c r="N50" s="1146"/>
      <c r="O50" s="1146"/>
      <c r="P50" s="504"/>
      <c r="Q50" s="504"/>
    </row>
    <row r="51" spans="1:17">
      <c r="A51" s="527" t="s">
        <v>2500</v>
      </c>
      <c r="B51" s="528" t="s">
        <v>2467</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2470</v>
      </c>
      <c r="C53" s="539" t="s">
        <v>2501</v>
      </c>
      <c r="D53" s="539" t="s">
        <v>2502</v>
      </c>
      <c r="E53" s="539" t="s">
        <v>2503</v>
      </c>
      <c r="F53" s="539" t="s">
        <v>2504</v>
      </c>
      <c r="G53" s="539" t="s">
        <v>2505</v>
      </c>
      <c r="H53" s="539" t="s">
        <v>2506</v>
      </c>
      <c r="I53" s="539" t="s">
        <v>2507</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59">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2472</v>
      </c>
      <c r="B61" s="528" t="s">
        <v>2514</v>
      </c>
      <c r="C61" s="573" t="s">
        <v>2509</v>
      </c>
      <c r="D61" s="573" t="s">
        <v>2510</v>
      </c>
      <c r="E61" s="573" t="s">
        <v>2511</v>
      </c>
      <c r="F61" s="573" t="s">
        <v>2512</v>
      </c>
      <c r="G61" s="573" t="s">
        <v>2513</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2652</v>
      </c>
      <c r="C63" s="578" t="s">
        <v>2509</v>
      </c>
      <c r="D63" s="578" t="s">
        <v>2510</v>
      </c>
      <c r="E63" s="578" t="s">
        <v>2511</v>
      </c>
      <c r="F63" s="578" t="s">
        <v>2512</v>
      </c>
      <c r="G63" s="578" t="s">
        <v>2513</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2601</v>
      </c>
      <c r="C65" s="659" t="s">
        <v>2587</v>
      </c>
      <c r="D65" s="659" t="s">
        <v>2588</v>
      </c>
      <c r="E65" s="659" t="s">
        <v>2589</v>
      </c>
      <c r="F65" s="659" t="s">
        <v>2590</v>
      </c>
      <c r="G65" s="659" t="s">
        <v>2591</v>
      </c>
      <c r="H65" s="539"/>
      <c r="I65" s="539"/>
      <c r="J65" s="539"/>
      <c r="K65" s="539"/>
      <c r="L65" s="539"/>
      <c r="M65" s="1369"/>
      <c r="N65" s="1148"/>
      <c r="O65" s="1148"/>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8"/>
      <c r="O66" s="1148"/>
      <c r="P66" s="45"/>
      <c r="Q66" s="504"/>
    </row>
    <row r="67" spans="1:17" ht="15.75" thickTop="1">
      <c r="A67" s="534"/>
      <c r="B67" s="538" t="s">
        <v>2521</v>
      </c>
      <c r="C67" s="578" t="s">
        <v>2509</v>
      </c>
      <c r="D67" s="578" t="s">
        <v>2510</v>
      </c>
      <c r="E67" s="578" t="s">
        <v>2511</v>
      </c>
      <c r="F67" s="578" t="s">
        <v>2512</v>
      </c>
      <c r="G67" s="578" t="s">
        <v>2513</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2641</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2476</v>
      </c>
      <c r="B77" s="528" t="s">
        <v>2528</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2644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59"/>
      <c r="J80" s="659"/>
      <c r="K80" s="667"/>
      <c r="L80" s="668"/>
      <c r="M80" s="669"/>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2645</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2653</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2654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2655</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5">
        <f>B34</f>
        <v>111</v>
      </c>
      <c r="C95" s="549"/>
      <c r="D95" s="549"/>
      <c r="E95" s="549"/>
      <c r="F95" s="549"/>
      <c r="G95" s="554"/>
      <c r="H95" s="555"/>
      <c r="I95" s="555"/>
      <c r="J95" s="555"/>
      <c r="K95" s="555"/>
      <c r="L95" s="556"/>
      <c r="M95" s="557"/>
      <c r="N95" s="1148"/>
      <c r="O95" s="1148"/>
      <c r="P95" s="636"/>
      <c r="Q95" s="637"/>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2656</v>
      </c>
      <c r="B1" s="395"/>
      <c r="C1" s="396" t="s">
        <v>2657</v>
      </c>
      <c r="D1" s="754"/>
      <c r="E1" s="754"/>
      <c r="F1" s="753" t="s">
        <v>2555</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2240</v>
      </c>
      <c r="B2" s="670" t="e">
        <f>F66</f>
        <v>#DIV/0!</v>
      </c>
      <c r="C2" s="1119"/>
      <c r="D2" s="1119"/>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c r="AD2" s="397"/>
    </row>
    <row r="3" spans="1:30" s="398" customFormat="1" ht="28.5" customHeight="1" thickBot="1">
      <c r="A3" s="247" t="s">
        <v>2242</v>
      </c>
      <c r="B3" s="609" t="e">
        <f>ROUND(IF(D3="",B2*10000/'数据-汇总表'!E3,B2*10000/D3),0)</f>
        <v>#DIV/0!</v>
      </c>
      <c r="C3" s="247" t="s">
        <v>2658</v>
      </c>
      <c r="D3" s="1569"/>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30" ht="15">
      <c r="A4" s="401" t="s">
        <v>2557</v>
      </c>
      <c r="B4" s="402"/>
      <c r="C4" s="3280" t="s">
        <v>2558</v>
      </c>
      <c r="D4" s="3281"/>
      <c r="E4" s="3282" t="s">
        <v>2559</v>
      </c>
      <c r="F4" s="3283"/>
      <c r="G4" s="3280" t="s">
        <v>2560</v>
      </c>
      <c r="H4" s="3281"/>
      <c r="I4" s="3280" t="s">
        <v>2561</v>
      </c>
      <c r="J4" s="3281"/>
      <c r="K4" s="610" t="s">
        <v>2562</v>
      </c>
      <c r="L4" s="1125"/>
      <c r="M4" s="1126"/>
      <c r="N4" s="1126"/>
      <c r="O4" s="1126"/>
      <c r="P4" s="3284" t="s">
        <v>2563</v>
      </c>
      <c r="Q4" s="3285"/>
      <c r="R4" s="3290" t="s">
        <v>2559</v>
      </c>
      <c r="S4" s="3291"/>
      <c r="T4" s="3290" t="s">
        <v>2560</v>
      </c>
      <c r="U4" s="3291"/>
      <c r="V4" s="3296" t="s">
        <v>2561</v>
      </c>
      <c r="W4" s="3296"/>
      <c r="X4" s="1799"/>
      <c r="Y4" s="3290" t="s">
        <v>2563</v>
      </c>
      <c r="Z4" s="3291"/>
      <c r="AA4" s="3277" t="s">
        <v>2559</v>
      </c>
      <c r="AB4" s="3278" t="s">
        <v>2560</v>
      </c>
      <c r="AC4" s="3277" t="s">
        <v>2561</v>
      </c>
    </row>
    <row r="5" spans="1:30" ht="15">
      <c r="A5" s="404"/>
      <c r="B5" s="405"/>
      <c r="C5" s="3304" t="s">
        <v>2455</v>
      </c>
      <c r="D5" s="3300"/>
      <c r="E5" s="3356" t="s">
        <v>2456</v>
      </c>
      <c r="F5" s="3306"/>
      <c r="G5" s="3304" t="s">
        <v>2457</v>
      </c>
      <c r="H5" s="3300"/>
      <c r="I5" s="3304" t="s">
        <v>2458</v>
      </c>
      <c r="J5" s="3300"/>
      <c r="K5" s="610"/>
      <c r="L5" s="1125"/>
      <c r="M5" s="1126"/>
      <c r="N5" s="1126"/>
      <c r="O5" s="1126"/>
      <c r="P5" s="3286"/>
      <c r="Q5" s="3287"/>
      <c r="R5" s="3292"/>
      <c r="S5" s="3293"/>
      <c r="T5" s="3292"/>
      <c r="U5" s="3293"/>
      <c r="V5" s="3296"/>
      <c r="W5" s="3296"/>
      <c r="X5" s="1799"/>
      <c r="Y5" s="3292"/>
      <c r="Z5" s="3293"/>
      <c r="AA5" s="3278"/>
      <c r="AB5" s="3278"/>
      <c r="AC5" s="3278"/>
    </row>
    <row r="6" spans="1:30" ht="15.75" thickBot="1">
      <c r="A6" s="406"/>
      <c r="B6" s="407"/>
      <c r="C6" s="3338" t="s">
        <v>2459</v>
      </c>
      <c r="D6" s="3298"/>
      <c r="E6" s="3339" t="s">
        <v>2459</v>
      </c>
      <c r="F6" s="3340"/>
      <c r="G6" s="3338" t="s">
        <v>2459</v>
      </c>
      <c r="H6" s="3298"/>
      <c r="I6" s="3338" t="s">
        <v>2459</v>
      </c>
      <c r="J6" s="3298"/>
      <c r="K6" s="610" t="s">
        <v>2460</v>
      </c>
      <c r="L6" s="1125"/>
      <c r="M6" s="1126"/>
      <c r="N6" s="1126"/>
      <c r="O6" s="1126"/>
      <c r="P6" s="3288"/>
      <c r="Q6" s="3289"/>
      <c r="R6" s="3292"/>
      <c r="S6" s="3293"/>
      <c r="T6" s="3294"/>
      <c r="U6" s="3295"/>
      <c r="V6" s="3296"/>
      <c r="W6" s="3296"/>
      <c r="X6" s="1799"/>
      <c r="Y6" s="3294"/>
      <c r="Z6" s="3295"/>
      <c r="AA6" s="3279"/>
      <c r="AB6" s="3279"/>
      <c r="AC6" s="3279"/>
    </row>
    <row r="7" spans="1:30" s="117" customFormat="1" ht="15.75" thickBot="1">
      <c r="A7" s="408" t="s">
        <v>2461</v>
      </c>
      <c r="B7" s="409"/>
      <c r="C7" s="410">
        <f>'数据-取费表'!B2</f>
        <v>43161</v>
      </c>
      <c r="D7" s="411">
        <v>100</v>
      </c>
      <c r="E7" s="412">
        <v>42309</v>
      </c>
      <c r="F7" s="413">
        <f>SUMIF(70:70,YEAR(E7)&amp;"-"&amp;INT((MONTH(E7)+2)/3),71:71)</f>
        <v>0</v>
      </c>
      <c r="G7" s="2579">
        <v>42309</v>
      </c>
      <c r="H7" s="411">
        <f>SUMIF(70:70,YEAR(G7)&amp;"-"&amp;INT((MONTH(G7)+2)/3),71:71)</f>
        <v>0</v>
      </c>
      <c r="I7" s="2579">
        <v>42036</v>
      </c>
      <c r="J7" s="411">
        <f>SUMIF(70:70,YEAR(I7)&amp;"-"&amp;INT((MONTH(I7)+2)/3),71:71)</f>
        <v>0</v>
      </c>
      <c r="K7" s="611"/>
      <c r="L7" s="1127"/>
      <c r="M7" s="1128"/>
      <c r="N7" s="1128"/>
      <c r="O7" s="1128"/>
      <c r="P7" s="3301" t="s">
        <v>2462</v>
      </c>
      <c r="Q7" s="3303"/>
      <c r="R7" s="769" t="s">
        <v>17</v>
      </c>
      <c r="S7" s="770">
        <f t="shared" ref="S7:S15" si="0">F7</f>
        <v>0</v>
      </c>
      <c r="T7" s="769" t="s">
        <v>17</v>
      </c>
      <c r="U7" s="770">
        <f t="shared" ref="U7:U15" si="1">H7</f>
        <v>0</v>
      </c>
      <c r="V7" s="769" t="s">
        <v>17</v>
      </c>
      <c r="W7" s="770">
        <f t="shared" ref="W7:W15" si="2">J7</f>
        <v>0</v>
      </c>
      <c r="X7" s="771"/>
      <c r="Y7" s="3301" t="s">
        <v>2462</v>
      </c>
      <c r="Z7" s="3302"/>
      <c r="AA7" s="772" t="e">
        <f>D7/F7</f>
        <v>#DIV/0!</v>
      </c>
      <c r="AB7" s="772" t="e">
        <f>D7/H7</f>
        <v>#DIV/0!</v>
      </c>
      <c r="AC7" s="772" t="e">
        <f>D7/J7</f>
        <v>#DIV/0!</v>
      </c>
    </row>
    <row r="8" spans="1:30" s="117" customFormat="1" ht="15.75" thickBot="1">
      <c r="A8" s="408" t="s">
        <v>2463</v>
      </c>
      <c r="B8" s="409"/>
      <c r="C8" s="414" t="s">
        <v>2464</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301" t="s">
        <v>2465</v>
      </c>
      <c r="Q8" s="3302"/>
      <c r="R8" s="769" t="s">
        <v>17</v>
      </c>
      <c r="S8" s="770">
        <f t="shared" si="0"/>
        <v>0</v>
      </c>
      <c r="T8" s="769" t="s">
        <v>17</v>
      </c>
      <c r="U8" s="770">
        <f t="shared" si="1"/>
        <v>0</v>
      </c>
      <c r="V8" s="769" t="s">
        <v>17</v>
      </c>
      <c r="W8" s="770">
        <f t="shared" si="2"/>
        <v>0</v>
      </c>
      <c r="X8" s="771"/>
      <c r="Y8" s="3301" t="s">
        <v>2465</v>
      </c>
      <c r="Z8" s="3302"/>
      <c r="AA8" s="772" t="e">
        <f t="shared" ref="AA8:AA45" si="3">D8/F8</f>
        <v>#DIV/0!</v>
      </c>
      <c r="AB8" s="772" t="e">
        <f t="shared" ref="AB8:AB45" si="4">D8/H8</f>
        <v>#DIV/0!</v>
      </c>
      <c r="AC8" s="772" t="e">
        <f t="shared" ref="AC8:AC45" si="5">D8/J8</f>
        <v>#DIV/0!</v>
      </c>
    </row>
    <row r="9" spans="1:30" s="117" customFormat="1">
      <c r="A9" s="415" t="s">
        <v>2466</v>
      </c>
      <c r="B9" s="71" t="s">
        <v>2467</v>
      </c>
      <c r="C9" s="2582"/>
      <c r="D9" s="135">
        <v>100</v>
      </c>
      <c r="E9" s="2582"/>
      <c r="F9" s="135">
        <f>SUMIF(75:75,E9,76:76)-SUMIF(75:75,C9,76:76)+100</f>
        <v>100</v>
      </c>
      <c r="G9" s="2582"/>
      <c r="H9" s="135">
        <f>SUMIF(75:75,G9,76:76)-SUMIF(75:75,C9,76:76)+100</f>
        <v>100</v>
      </c>
      <c r="I9" s="2582"/>
      <c r="J9" s="135">
        <f>SUMIF(75:75,I9,76:76)-SUMIF(75:75,C9,76:76)+100</f>
        <v>100</v>
      </c>
      <c r="K9" s="611"/>
      <c r="L9" s="1127"/>
      <c r="M9" s="1128"/>
      <c r="N9" s="1128"/>
      <c r="O9" s="1129"/>
      <c r="P9" s="3265" t="s">
        <v>2468</v>
      </c>
      <c r="Q9" s="1781" t="str">
        <f t="shared" ref="Q9:Q15" si="6">B9</f>
        <v>用途</v>
      </c>
      <c r="R9" s="769" t="s">
        <v>17</v>
      </c>
      <c r="S9" s="770">
        <f t="shared" si="0"/>
        <v>100</v>
      </c>
      <c r="T9" s="769" t="s">
        <v>17</v>
      </c>
      <c r="U9" s="770">
        <f t="shared" si="1"/>
        <v>100</v>
      </c>
      <c r="V9" s="769" t="s">
        <v>17</v>
      </c>
      <c r="W9" s="770">
        <f t="shared" si="2"/>
        <v>100</v>
      </c>
      <c r="X9" s="771"/>
      <c r="Y9" s="3142" t="s">
        <v>2469</v>
      </c>
      <c r="Z9" s="55" t="str">
        <f t="shared" ref="Z9:Z15" si="7">Q9</f>
        <v>用途</v>
      </c>
      <c r="AA9" s="772">
        <f t="shared" si="3"/>
        <v>1</v>
      </c>
      <c r="AB9" s="772">
        <f t="shared" si="4"/>
        <v>1</v>
      </c>
      <c r="AC9" s="772">
        <f t="shared" si="5"/>
        <v>1</v>
      </c>
    </row>
    <row r="10" spans="1:30" s="427" customFormat="1" ht="27">
      <c r="A10" s="421"/>
      <c r="B10" s="422" t="s">
        <v>2470</v>
      </c>
      <c r="C10" s="432"/>
      <c r="D10" s="136">
        <v>100</v>
      </c>
      <c r="E10" s="465"/>
      <c r="F10" s="136">
        <f>ROUND(100/'数据-取费表'!G16,0)</f>
        <v>107</v>
      </c>
      <c r="G10" s="463"/>
      <c r="H10" s="136">
        <f>ROUND(100/'数据-取费表'!G16,0)</f>
        <v>107</v>
      </c>
      <c r="I10" s="463"/>
      <c r="J10" s="136">
        <f>ROUND(100/'数据-取费表'!G16,0)</f>
        <v>107</v>
      </c>
      <c r="K10" s="671"/>
      <c r="L10" s="1130"/>
      <c r="M10" s="1131"/>
      <c r="N10" s="1131"/>
      <c r="O10" s="1132"/>
      <c r="P10" s="3265"/>
      <c r="Q10" s="1781" t="str">
        <f t="shared" si="6"/>
        <v>土地使用年限（年）</v>
      </c>
      <c r="R10" s="769" t="s">
        <v>17</v>
      </c>
      <c r="S10" s="770">
        <f t="shared" si="0"/>
        <v>107</v>
      </c>
      <c r="T10" s="769" t="s">
        <v>17</v>
      </c>
      <c r="U10" s="770">
        <f t="shared" si="1"/>
        <v>107</v>
      </c>
      <c r="V10" s="769" t="s">
        <v>17</v>
      </c>
      <c r="W10" s="770">
        <f t="shared" si="2"/>
        <v>107</v>
      </c>
      <c r="X10" s="771"/>
      <c r="Y10" s="3142"/>
      <c r="Z10" s="55" t="str">
        <f t="shared" si="7"/>
        <v>土地使用年限（年）</v>
      </c>
      <c r="AA10" s="772">
        <f t="shared" si="3"/>
        <v>0.93457943925233644</v>
      </c>
      <c r="AB10" s="772">
        <f t="shared" si="4"/>
        <v>0.93457943925233644</v>
      </c>
      <c r="AC10" s="772">
        <f t="shared" si="5"/>
        <v>0.93457943925233644</v>
      </c>
    </row>
    <row r="11" spans="1:30" ht="15">
      <c r="A11" s="428"/>
      <c r="B11" s="422" t="s">
        <v>2471</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3"/>
      <c r="M11" s="1126"/>
      <c r="N11" s="1126"/>
      <c r="O11" s="1134"/>
      <c r="P11" s="3265"/>
      <c r="Q11" s="1781" t="str">
        <f t="shared" si="6"/>
        <v>容积率</v>
      </c>
      <c r="R11" s="769" t="s">
        <v>17</v>
      </c>
      <c r="S11" s="770" t="e">
        <f t="shared" si="0"/>
        <v>#N/A</v>
      </c>
      <c r="T11" s="769" t="s">
        <v>17</v>
      </c>
      <c r="U11" s="770" t="e">
        <f t="shared" si="1"/>
        <v>#N/A</v>
      </c>
      <c r="V11" s="769" t="s">
        <v>17</v>
      </c>
      <c r="W11" s="770" t="e">
        <f t="shared" si="2"/>
        <v>#N/A</v>
      </c>
      <c r="X11" s="771"/>
      <c r="Y11" s="3142"/>
      <c r="Z11" s="55" t="str">
        <f t="shared" si="7"/>
        <v>容积率</v>
      </c>
      <c r="AA11" s="772" t="e">
        <f t="shared" si="3"/>
        <v>#N/A</v>
      </c>
      <c r="AB11" s="772" t="e">
        <f t="shared" si="4"/>
        <v>#N/A</v>
      </c>
      <c r="AC11" s="772" t="e">
        <f t="shared" si="5"/>
        <v>#N/A</v>
      </c>
    </row>
    <row r="12" spans="1:30" s="117" customFormat="1" ht="15">
      <c r="A12" s="431"/>
      <c r="B12" s="2485" t="s">
        <v>2659</v>
      </c>
      <c r="C12" s="432"/>
      <c r="D12" s="433">
        <v>100</v>
      </c>
      <c r="E12" s="465"/>
      <c r="F12" s="136">
        <f>SUMIF(82:82,E12,83:83)-SUMIF(82:82,C12,83:83)+100</f>
        <v>100</v>
      </c>
      <c r="G12" s="463"/>
      <c r="H12" s="136">
        <f>SUMIF(82:82,G12,83:83)-SUMIF(82:82,C12,83:83)+100</f>
        <v>100</v>
      </c>
      <c r="I12" s="465"/>
      <c r="J12" s="136">
        <f>SUMIF(82:82,I12,83:83)-SUMIF(82:82,C12,83:83)+100</f>
        <v>100</v>
      </c>
      <c r="K12" s="671"/>
      <c r="L12" s="1127"/>
      <c r="M12" s="1128"/>
      <c r="N12" s="1128"/>
      <c r="O12" s="1129"/>
      <c r="P12" s="3265"/>
      <c r="Q12" s="1781" t="str">
        <f t="shared" si="6"/>
        <v>配建</v>
      </c>
      <c r="R12" s="769" t="s">
        <v>17</v>
      </c>
      <c r="S12" s="770">
        <f t="shared" si="0"/>
        <v>100</v>
      </c>
      <c r="T12" s="769" t="s">
        <v>17</v>
      </c>
      <c r="U12" s="770">
        <f t="shared" si="1"/>
        <v>100</v>
      </c>
      <c r="V12" s="769" t="s">
        <v>17</v>
      </c>
      <c r="W12" s="770">
        <f t="shared" si="2"/>
        <v>100</v>
      </c>
      <c r="X12" s="771"/>
      <c r="Y12" s="3142"/>
      <c r="Z12" s="55" t="str">
        <f t="shared" si="7"/>
        <v>配建</v>
      </c>
      <c r="AA12" s="772">
        <f>D12/F12</f>
        <v>1</v>
      </c>
      <c r="AB12" s="772">
        <f>D12/H12</f>
        <v>1</v>
      </c>
      <c r="AC12" s="772">
        <f>D12/J12</f>
        <v>1</v>
      </c>
    </row>
    <row r="13" spans="1:30" ht="15">
      <c r="A13" s="428"/>
      <c r="B13" s="2485">
        <v>111</v>
      </c>
      <c r="C13" s="434"/>
      <c r="D13" s="435">
        <v>100</v>
      </c>
      <c r="E13" s="549"/>
      <c r="F13" s="136">
        <f>SUMIF(84:84,E13,85:85)-SUMIF(84:84,C13,85:85)+100</f>
        <v>100</v>
      </c>
      <c r="G13" s="673"/>
      <c r="H13" s="435">
        <f>SUMIF(84:84,G13,85:85)-SUMIF(84:84,C13,85:85)+100</f>
        <v>100</v>
      </c>
      <c r="I13" s="673"/>
      <c r="J13" s="435">
        <f>SUMIF(84:84,I13,85:85)-SUMIF(84:84,C13,85:85)+100</f>
        <v>100</v>
      </c>
      <c r="K13" s="671"/>
      <c r="L13" s="1135"/>
      <c r="M13" s="1126"/>
      <c r="N13" s="1126"/>
      <c r="O13" s="1134"/>
      <c r="P13" s="3265"/>
      <c r="Q13" s="1781">
        <f t="shared" si="6"/>
        <v>111</v>
      </c>
      <c r="R13" s="769" t="s">
        <v>17</v>
      </c>
      <c r="S13" s="770">
        <f t="shared" si="0"/>
        <v>100</v>
      </c>
      <c r="T13" s="769" t="s">
        <v>17</v>
      </c>
      <c r="U13" s="770">
        <f t="shared" si="1"/>
        <v>100</v>
      </c>
      <c r="V13" s="769" t="s">
        <v>17</v>
      </c>
      <c r="W13" s="770">
        <f t="shared" si="2"/>
        <v>100</v>
      </c>
      <c r="X13" s="771"/>
      <c r="Y13" s="3142"/>
      <c r="Z13" s="55">
        <f t="shared" si="7"/>
        <v>111</v>
      </c>
      <c r="AA13" s="772">
        <f>D13/F13</f>
        <v>1</v>
      </c>
      <c r="AB13" s="772">
        <f>D13/H13</f>
        <v>1</v>
      </c>
      <c r="AC13" s="772">
        <f>D13/J13</f>
        <v>1</v>
      </c>
    </row>
    <row r="14" spans="1:30" ht="15.75" thickBot="1">
      <c r="A14" s="436"/>
      <c r="B14" s="2487">
        <v>111</v>
      </c>
      <c r="C14" s="437"/>
      <c r="D14" s="438">
        <v>100</v>
      </c>
      <c r="E14" s="549"/>
      <c r="F14" s="438">
        <f>SUMIF(86:86,E14,87:87)-SUMIF(86:86,C14,87:87)+100</f>
        <v>100</v>
      </c>
      <c r="G14" s="673"/>
      <c r="H14" s="438">
        <f>SUMIF(86:86,G14,87:87)-SUMIF(86:86,C14,87:87)+100</f>
        <v>100</v>
      </c>
      <c r="I14" s="673"/>
      <c r="J14" s="438">
        <f>SUMIF(86:86,I14,87:87)-SUMIF(86:86,C14,87:87)+100</f>
        <v>100</v>
      </c>
      <c r="K14" s="671"/>
      <c r="L14" s="1135"/>
      <c r="M14" s="1126"/>
      <c r="N14" s="1126"/>
      <c r="O14" s="1134"/>
      <c r="P14" s="3265"/>
      <c r="Q14" s="1781">
        <f t="shared" si="6"/>
        <v>111</v>
      </c>
      <c r="R14" s="769" t="s">
        <v>17</v>
      </c>
      <c r="S14" s="770">
        <f t="shared" si="0"/>
        <v>100</v>
      </c>
      <c r="T14" s="769" t="s">
        <v>17</v>
      </c>
      <c r="U14" s="770">
        <f t="shared" si="1"/>
        <v>100</v>
      </c>
      <c r="V14" s="769" t="s">
        <v>17</v>
      </c>
      <c r="W14" s="770">
        <f t="shared" si="2"/>
        <v>100</v>
      </c>
      <c r="X14" s="771"/>
      <c r="Y14" s="3142"/>
      <c r="Z14" s="55">
        <f t="shared" si="7"/>
        <v>111</v>
      </c>
      <c r="AA14" s="772">
        <f>D14/F14</f>
        <v>1</v>
      </c>
      <c r="AB14" s="772">
        <f>D14/H14</f>
        <v>1</v>
      </c>
      <c r="AC14" s="772">
        <f>D14/J14</f>
        <v>1</v>
      </c>
    </row>
    <row r="15" spans="1:30" ht="15">
      <c r="A15" s="440" t="s">
        <v>2472</v>
      </c>
      <c r="B15" s="69" t="s">
        <v>2006</v>
      </c>
      <c r="C15" s="2488">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5"/>
      <c r="M15" s="1126"/>
      <c r="N15" s="1126"/>
      <c r="O15" s="1134"/>
      <c r="P15" s="3267" t="s">
        <v>2473</v>
      </c>
      <c r="Q15" s="1796" t="str">
        <f t="shared" si="6"/>
        <v>居住社区成熟度</v>
      </c>
      <c r="R15" s="773" t="s">
        <v>17</v>
      </c>
      <c r="S15" s="774">
        <f t="shared" si="0"/>
        <v>100</v>
      </c>
      <c r="T15" s="773" t="s">
        <v>17</v>
      </c>
      <c r="U15" s="774">
        <f t="shared" si="1"/>
        <v>100</v>
      </c>
      <c r="V15" s="773" t="s">
        <v>17</v>
      </c>
      <c r="W15" s="774">
        <f t="shared" si="2"/>
        <v>100</v>
      </c>
      <c r="X15" s="1799"/>
      <c r="Y15" s="3267" t="s">
        <v>2473</v>
      </c>
      <c r="Z15" s="1800" t="str">
        <f t="shared" si="7"/>
        <v>居住社区成熟度</v>
      </c>
      <c r="AA15" s="1797">
        <f t="shared" si="3"/>
        <v>1</v>
      </c>
      <c r="AB15" s="1797">
        <f t="shared" si="4"/>
        <v>1</v>
      </c>
      <c r="AC15" s="1797">
        <f t="shared" si="5"/>
        <v>1</v>
      </c>
    </row>
    <row r="16" spans="1:30" ht="15">
      <c r="A16" s="428"/>
      <c r="B16" s="446"/>
      <c r="C16" s="447"/>
      <c r="D16" s="448"/>
      <c r="E16" s="2490"/>
      <c r="F16" s="448"/>
      <c r="G16" s="2490"/>
      <c r="H16" s="450"/>
      <c r="I16" s="2489"/>
      <c r="J16" s="448"/>
      <c r="K16" s="671"/>
      <c r="L16" s="1135"/>
      <c r="M16" s="1126"/>
      <c r="N16" s="1126"/>
      <c r="O16" s="1134"/>
      <c r="P16" s="3268"/>
      <c r="Q16" s="1796"/>
      <c r="R16" s="773"/>
      <c r="S16" s="774"/>
      <c r="T16" s="773"/>
      <c r="U16" s="774"/>
      <c r="V16" s="773"/>
      <c r="W16" s="774"/>
      <c r="X16" s="1799"/>
      <c r="Y16" s="3268"/>
      <c r="Z16" s="1800"/>
      <c r="AA16" s="1797">
        <v>1</v>
      </c>
      <c r="AB16" s="1797">
        <v>1</v>
      </c>
      <c r="AC16" s="1797">
        <v>1</v>
      </c>
    </row>
    <row r="17" spans="1:29" ht="15">
      <c r="A17" s="428"/>
      <c r="B17" s="451" t="s">
        <v>2565</v>
      </c>
      <c r="C17" s="2547">
        <f>估价对象房地状况!C16</f>
        <v>0</v>
      </c>
      <c r="D17" s="450">
        <v>100</v>
      </c>
      <c r="E17" s="452"/>
      <c r="F17" s="450">
        <f>SUMIF(90:90,E18,91:91)-SUMIF(90:90,C18,91:91)+100</f>
        <v>100</v>
      </c>
      <c r="G17" s="452"/>
      <c r="H17" s="455">
        <f>SUMIF(90:90,G18,91:91)-SUMIF(90:90,C18,91:91)+100</f>
        <v>100</v>
      </c>
      <c r="I17" s="454"/>
      <c r="J17" s="455">
        <f>SUMIF(90:90,I18,91:91)-SUMIF(90:90,C18,91:91)+100</f>
        <v>100</v>
      </c>
      <c r="K17" s="672"/>
      <c r="L17" s="1135"/>
      <c r="M17" s="1126"/>
      <c r="N17" s="1126"/>
      <c r="O17" s="1134"/>
      <c r="P17" s="3268"/>
      <c r="Q17" s="1796" t="str">
        <f>B17</f>
        <v>商业繁华度</v>
      </c>
      <c r="R17" s="773" t="s">
        <v>17</v>
      </c>
      <c r="S17" s="774">
        <f>F17</f>
        <v>100</v>
      </c>
      <c r="T17" s="773" t="s">
        <v>17</v>
      </c>
      <c r="U17" s="774">
        <f>H17</f>
        <v>100</v>
      </c>
      <c r="V17" s="773" t="s">
        <v>17</v>
      </c>
      <c r="W17" s="774">
        <f>J17</f>
        <v>100</v>
      </c>
      <c r="X17" s="1799"/>
      <c r="Y17" s="3268"/>
      <c r="Z17" s="1800" t="str">
        <f>Q17</f>
        <v>商业繁华度</v>
      </c>
      <c r="AA17" s="1797">
        <f t="shared" si="3"/>
        <v>1</v>
      </c>
      <c r="AB17" s="1797">
        <f t="shared" si="4"/>
        <v>1</v>
      </c>
      <c r="AC17" s="1797">
        <f t="shared" si="5"/>
        <v>1</v>
      </c>
    </row>
    <row r="18" spans="1:29" ht="15">
      <c r="A18" s="428"/>
      <c r="B18" s="456"/>
      <c r="C18" s="2493"/>
      <c r="D18" s="450"/>
      <c r="E18" s="2495"/>
      <c r="F18" s="450"/>
      <c r="G18" s="2495"/>
      <c r="H18" s="448"/>
      <c r="I18" s="2494"/>
      <c r="J18" s="448"/>
      <c r="K18" s="671"/>
      <c r="L18" s="1135"/>
      <c r="M18" s="1126"/>
      <c r="N18" s="1126"/>
      <c r="O18" s="1134"/>
      <c r="P18" s="3268"/>
      <c r="Q18" s="1796"/>
      <c r="R18" s="773"/>
      <c r="S18" s="774"/>
      <c r="T18" s="773"/>
      <c r="U18" s="774"/>
      <c r="V18" s="773"/>
      <c r="W18" s="774"/>
      <c r="X18" s="1799"/>
      <c r="Y18" s="3268"/>
      <c r="Z18" s="1800"/>
      <c r="AA18" s="1797">
        <v>1</v>
      </c>
      <c r="AB18" s="1797">
        <v>1</v>
      </c>
      <c r="AC18" s="1797">
        <v>1</v>
      </c>
    </row>
    <row r="19" spans="1:29" ht="15">
      <c r="A19" s="428"/>
      <c r="B19" s="451" t="s">
        <v>2599</v>
      </c>
      <c r="C19" s="2547">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5"/>
      <c r="M19" s="1126"/>
      <c r="N19" s="1126"/>
      <c r="O19" s="1134"/>
      <c r="P19" s="3268"/>
      <c r="Q19" s="1796" t="str">
        <f>B19</f>
        <v>办公集聚程度</v>
      </c>
      <c r="R19" s="773" t="s">
        <v>17</v>
      </c>
      <c r="S19" s="774">
        <f>F19</f>
        <v>100</v>
      </c>
      <c r="T19" s="773" t="s">
        <v>17</v>
      </c>
      <c r="U19" s="774">
        <f>H19</f>
        <v>100</v>
      </c>
      <c r="V19" s="773" t="s">
        <v>17</v>
      </c>
      <c r="W19" s="774">
        <f>J19</f>
        <v>100</v>
      </c>
      <c r="X19" s="1799"/>
      <c r="Y19" s="3268"/>
      <c r="Z19" s="1800" t="str">
        <f>Q19</f>
        <v>办公集聚程度</v>
      </c>
      <c r="AA19" s="1797">
        <f t="shared" si="3"/>
        <v>1</v>
      </c>
      <c r="AB19" s="1797">
        <f t="shared" si="4"/>
        <v>1</v>
      </c>
      <c r="AC19" s="1797">
        <f t="shared" si="5"/>
        <v>1</v>
      </c>
    </row>
    <row r="20" spans="1:29" ht="15">
      <c r="A20" s="428"/>
      <c r="B20" s="456"/>
      <c r="C20" s="447"/>
      <c r="D20" s="448"/>
      <c r="E20" s="2490"/>
      <c r="F20" s="448"/>
      <c r="G20" s="2490"/>
      <c r="H20" s="448"/>
      <c r="I20" s="2489"/>
      <c r="J20" s="448"/>
      <c r="K20" s="671"/>
      <c r="L20" s="1135"/>
      <c r="M20" s="1126"/>
      <c r="N20" s="1126"/>
      <c r="O20" s="1134"/>
      <c r="P20" s="3268"/>
      <c r="Q20" s="1796"/>
      <c r="R20" s="773"/>
      <c r="S20" s="774"/>
      <c r="T20" s="773"/>
      <c r="U20" s="774"/>
      <c r="V20" s="773"/>
      <c r="W20" s="774"/>
      <c r="X20" s="1799"/>
      <c r="Y20" s="3268"/>
      <c r="Z20" s="1800"/>
      <c r="AA20" s="1797">
        <v>1</v>
      </c>
      <c r="AB20" s="1797">
        <v>1</v>
      </c>
      <c r="AC20" s="1797">
        <v>1</v>
      </c>
    </row>
    <row r="21" spans="1:29" ht="15">
      <c r="A21" s="428"/>
      <c r="B21" s="451" t="s">
        <v>2621</v>
      </c>
      <c r="C21" s="2492">
        <f>估价对象房地状况!C18</f>
        <v>0</v>
      </c>
      <c r="D21" s="450">
        <v>100</v>
      </c>
      <c r="E21" s="452"/>
      <c r="F21" s="455">
        <f>SUMIF(94:94,E22,95:95)-SUMIF(94:94,C22,95:95)+100</f>
        <v>100</v>
      </c>
      <c r="G21" s="452"/>
      <c r="H21" s="450">
        <f>SUMIF(94:94,G22,95:95)-SUMIF(94:94,C22,95:95)+100</f>
        <v>100</v>
      </c>
      <c r="I21" s="454"/>
      <c r="J21" s="450">
        <f>SUMIF(94:94,I22,95:95)-SUMIF(94:94,C22,95:95)+100</f>
        <v>100</v>
      </c>
      <c r="K21" s="672"/>
      <c r="L21" s="1135"/>
      <c r="M21" s="1126"/>
      <c r="N21" s="1126"/>
      <c r="O21" s="1134"/>
      <c r="P21" s="3268"/>
      <c r="Q21" s="1796" t="str">
        <f>B21</f>
        <v>交通便捷度</v>
      </c>
      <c r="R21" s="773" t="s">
        <v>17</v>
      </c>
      <c r="S21" s="774">
        <f>F21</f>
        <v>100</v>
      </c>
      <c r="T21" s="773" t="s">
        <v>17</v>
      </c>
      <c r="U21" s="774">
        <f>H21</f>
        <v>100</v>
      </c>
      <c r="V21" s="773" t="s">
        <v>17</v>
      </c>
      <c r="W21" s="774">
        <f>J21</f>
        <v>100</v>
      </c>
      <c r="X21" s="1799"/>
      <c r="Y21" s="3268"/>
      <c r="Z21" s="1800" t="str">
        <f>Q21</f>
        <v>交通便捷度</v>
      </c>
      <c r="AA21" s="1797">
        <f t="shared" si="3"/>
        <v>1</v>
      </c>
      <c r="AB21" s="1797">
        <f t="shared" si="4"/>
        <v>1</v>
      </c>
      <c r="AC21" s="1797">
        <f t="shared" si="5"/>
        <v>1</v>
      </c>
    </row>
    <row r="22" spans="1:29" ht="15">
      <c r="A22" s="428"/>
      <c r="B22" s="1371"/>
      <c r="C22" s="447"/>
      <c r="D22" s="450"/>
      <c r="E22" s="2490"/>
      <c r="F22" s="448"/>
      <c r="G22" s="2490"/>
      <c r="H22" s="448"/>
      <c r="I22" s="2489"/>
      <c r="J22" s="448"/>
      <c r="K22" s="671"/>
      <c r="L22" s="1135"/>
      <c r="M22" s="1126"/>
      <c r="N22" s="1126"/>
      <c r="O22" s="1134"/>
      <c r="P22" s="3268"/>
      <c r="Q22" s="1796"/>
      <c r="R22" s="773"/>
      <c r="S22" s="774"/>
      <c r="T22" s="773"/>
      <c r="U22" s="774"/>
      <c r="V22" s="773"/>
      <c r="W22" s="774"/>
      <c r="X22" s="1799"/>
      <c r="Y22" s="3268"/>
      <c r="Z22" s="1800"/>
      <c r="AA22" s="1797">
        <v>1</v>
      </c>
      <c r="AB22" s="1797">
        <v>1</v>
      </c>
      <c r="AC22" s="1797">
        <v>1</v>
      </c>
    </row>
    <row r="23" spans="1:29" ht="15">
      <c r="A23" s="404"/>
      <c r="B23" s="451" t="s">
        <v>2660</v>
      </c>
      <c r="C23" s="1376">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5"/>
      <c r="M23" s="1126"/>
      <c r="N23" s="1126"/>
      <c r="O23" s="1134"/>
      <c r="P23" s="3268"/>
      <c r="Q23" s="1796" t="str">
        <f t="shared" ref="Q23:Q37" si="8">B23</f>
        <v>区域土地利用方向</v>
      </c>
      <c r="R23" s="773" t="s">
        <v>17</v>
      </c>
      <c r="S23" s="774">
        <f>F23</f>
        <v>100</v>
      </c>
      <c r="T23" s="773" t="s">
        <v>17</v>
      </c>
      <c r="U23" s="774">
        <f>H23</f>
        <v>100</v>
      </c>
      <c r="V23" s="773" t="s">
        <v>17</v>
      </c>
      <c r="W23" s="774">
        <f>J23</f>
        <v>100</v>
      </c>
      <c r="X23" s="1799"/>
      <c r="Y23" s="3268"/>
      <c r="Z23" s="1800" t="str">
        <f>Q23</f>
        <v>区域土地利用方向</v>
      </c>
      <c r="AA23" s="1797">
        <f t="shared" si="3"/>
        <v>1</v>
      </c>
      <c r="AB23" s="1797">
        <f t="shared" si="4"/>
        <v>1</v>
      </c>
      <c r="AC23" s="1797">
        <f t="shared" si="5"/>
        <v>1</v>
      </c>
    </row>
    <row r="24" spans="1:29" ht="15">
      <c r="A24" s="404"/>
      <c r="B24" s="456"/>
      <c r="C24" s="616"/>
      <c r="D24" s="448"/>
      <c r="E24" s="2490"/>
      <c r="F24" s="448"/>
      <c r="G24" s="2489"/>
      <c r="H24" s="448"/>
      <c r="I24" s="2489"/>
      <c r="J24" s="448"/>
      <c r="K24" s="810"/>
      <c r="L24" s="1135"/>
      <c r="M24" s="1126"/>
      <c r="N24" s="1126"/>
      <c r="O24" s="1134"/>
      <c r="P24" s="3268"/>
      <c r="Q24" s="1796"/>
      <c r="R24" s="773"/>
      <c r="S24" s="774"/>
      <c r="T24" s="773"/>
      <c r="U24" s="774"/>
      <c r="V24" s="773"/>
      <c r="W24" s="774"/>
      <c r="X24" s="1799"/>
      <c r="Y24" s="3268"/>
      <c r="Z24" s="1800"/>
      <c r="AA24" s="1797"/>
      <c r="AB24" s="1797"/>
      <c r="AC24" s="1797"/>
    </row>
    <row r="25" spans="1:29" ht="27">
      <c r="A25" s="404"/>
      <c r="B25" s="1371" t="s">
        <v>2661</v>
      </c>
      <c r="C25" s="2547">
        <f>估价对象房地状况!C20</f>
        <v>0</v>
      </c>
      <c r="D25" s="450">
        <v>100</v>
      </c>
      <c r="E25" s="452"/>
      <c r="F25" s="450">
        <f>SUMIF(98:98,E26,99:99)-SUMIF(98:98,C26,99:99)+100</f>
        <v>100</v>
      </c>
      <c r="G25" s="452"/>
      <c r="H25" s="450">
        <f>SUMIF(98:98,G26,99:99)-SUMIF(98:98,C26,99:99)+100</f>
        <v>100</v>
      </c>
      <c r="I25" s="454"/>
      <c r="J25" s="450">
        <f>SUMIF(98:98,I26,99:99)-SUMIF(98:98,C26,99:99)+100</f>
        <v>100</v>
      </c>
      <c r="K25" s="672"/>
      <c r="L25" s="1135"/>
      <c r="M25" s="1126"/>
      <c r="N25" s="1126"/>
      <c r="O25" s="1134"/>
      <c r="P25" s="3268"/>
      <c r="Q25" s="1796" t="str">
        <f t="shared" si="8"/>
        <v>自然及人文环境状况</v>
      </c>
      <c r="R25" s="773" t="s">
        <v>17</v>
      </c>
      <c r="S25" s="774">
        <f>F25</f>
        <v>100</v>
      </c>
      <c r="T25" s="773" t="s">
        <v>17</v>
      </c>
      <c r="U25" s="774">
        <f>H25</f>
        <v>100</v>
      </c>
      <c r="V25" s="773" t="s">
        <v>17</v>
      </c>
      <c r="W25" s="774">
        <f>J25</f>
        <v>100</v>
      </c>
      <c r="X25" s="1799"/>
      <c r="Y25" s="3268"/>
      <c r="Z25" s="1800" t="str">
        <f>Q25</f>
        <v>自然及人文环境状况</v>
      </c>
      <c r="AA25" s="1797">
        <f t="shared" si="3"/>
        <v>1</v>
      </c>
      <c r="AB25" s="1797">
        <f t="shared" si="4"/>
        <v>1</v>
      </c>
      <c r="AC25" s="1797">
        <f t="shared" si="5"/>
        <v>1</v>
      </c>
    </row>
    <row r="26" spans="1:29" ht="15">
      <c r="A26" s="404"/>
      <c r="B26" s="456"/>
      <c r="C26" s="447"/>
      <c r="D26" s="448"/>
      <c r="E26" s="2496"/>
      <c r="F26" s="448"/>
      <c r="G26" s="2496"/>
      <c r="H26" s="448"/>
      <c r="I26" s="447"/>
      <c r="J26" s="448"/>
      <c r="K26" s="671"/>
      <c r="L26" s="1135"/>
      <c r="M26" s="1126"/>
      <c r="N26" s="1126"/>
      <c r="O26" s="1134"/>
      <c r="P26" s="3268"/>
      <c r="Q26" s="1796"/>
      <c r="R26" s="773"/>
      <c r="S26" s="774"/>
      <c r="T26" s="773"/>
      <c r="U26" s="774"/>
      <c r="V26" s="773"/>
      <c r="W26" s="774"/>
      <c r="X26" s="1799"/>
      <c r="Y26" s="3268"/>
      <c r="Z26" s="1800"/>
      <c r="AA26" s="1797">
        <v>1</v>
      </c>
      <c r="AB26" s="1797">
        <v>1</v>
      </c>
      <c r="AC26" s="1797">
        <v>1</v>
      </c>
    </row>
    <row r="27" spans="1:29" s="117" customFormat="1" ht="15">
      <c r="A27" s="648"/>
      <c r="B27" s="1371" t="s">
        <v>2566</v>
      </c>
      <c r="C27" s="2492">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7"/>
      <c r="M27" s="1128"/>
      <c r="N27" s="1128"/>
      <c r="O27" s="1129"/>
      <c r="P27" s="3268"/>
      <c r="Q27" s="1781" t="str">
        <f t="shared" si="8"/>
        <v>公共配套设施</v>
      </c>
      <c r="R27" s="769" t="s">
        <v>17</v>
      </c>
      <c r="S27" s="770">
        <f>F27</f>
        <v>100</v>
      </c>
      <c r="T27" s="769" t="s">
        <v>17</v>
      </c>
      <c r="U27" s="770">
        <f>H27</f>
        <v>100</v>
      </c>
      <c r="V27" s="769" t="s">
        <v>17</v>
      </c>
      <c r="W27" s="770">
        <f>J27</f>
        <v>100</v>
      </c>
      <c r="X27" s="771"/>
      <c r="Y27" s="3268"/>
      <c r="Z27" s="55" t="str">
        <f>Q27</f>
        <v>公共配套设施</v>
      </c>
      <c r="AA27" s="1797">
        <f>D27/F27</f>
        <v>1</v>
      </c>
      <c r="AB27" s="1797">
        <f>D27/H27</f>
        <v>1</v>
      </c>
      <c r="AC27" s="1797">
        <f>D27/J27</f>
        <v>1</v>
      </c>
    </row>
    <row r="28" spans="1:29" s="117" customFormat="1" ht="15">
      <c r="A28" s="648"/>
      <c r="B28" s="456"/>
      <c r="C28" s="2583"/>
      <c r="D28" s="448"/>
      <c r="E28" s="2496"/>
      <c r="F28" s="448"/>
      <c r="G28" s="2496"/>
      <c r="H28" s="448"/>
      <c r="I28" s="447"/>
      <c r="J28" s="448"/>
      <c r="K28" s="671"/>
      <c r="L28" s="1127"/>
      <c r="M28" s="1128"/>
      <c r="N28" s="1128"/>
      <c r="O28" s="1129"/>
      <c r="P28" s="3268"/>
      <c r="Q28" s="1781"/>
      <c r="R28" s="769"/>
      <c r="S28" s="770"/>
      <c r="T28" s="769"/>
      <c r="U28" s="770"/>
      <c r="V28" s="769"/>
      <c r="W28" s="770"/>
      <c r="X28" s="771"/>
      <c r="Y28" s="3268"/>
      <c r="Z28" s="55"/>
      <c r="AA28" s="1797">
        <v>1</v>
      </c>
      <c r="AB28" s="1797">
        <v>1</v>
      </c>
      <c r="AC28" s="1797">
        <v>1</v>
      </c>
    </row>
    <row r="29" spans="1:29" s="117" customFormat="1" ht="15">
      <c r="A29" s="648"/>
      <c r="B29" s="1371" t="s">
        <v>2567</v>
      </c>
      <c r="C29" s="249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7"/>
      <c r="M29" s="1128"/>
      <c r="N29" s="1128"/>
      <c r="O29" s="1129"/>
      <c r="P29" s="3268"/>
      <c r="Q29" s="1781" t="str">
        <f t="shared" ref="Q29" si="9">B29</f>
        <v>基础设施水平</v>
      </c>
      <c r="R29" s="769" t="s">
        <v>17</v>
      </c>
      <c r="S29" s="770">
        <f>F29</f>
        <v>100</v>
      </c>
      <c r="T29" s="769" t="s">
        <v>17</v>
      </c>
      <c r="U29" s="770">
        <f>H29</f>
        <v>100</v>
      </c>
      <c r="V29" s="769" t="s">
        <v>17</v>
      </c>
      <c r="W29" s="770">
        <f>J29</f>
        <v>100</v>
      </c>
      <c r="X29" s="771"/>
      <c r="Y29" s="3268"/>
      <c r="Z29" s="55" t="str">
        <f>Q29</f>
        <v>基础设施水平</v>
      </c>
      <c r="AA29" s="1797">
        <f>D29/F29</f>
        <v>1</v>
      </c>
      <c r="AB29" s="1797">
        <f>D29/H29</f>
        <v>1</v>
      </c>
      <c r="AC29" s="1797">
        <f>D29/J29</f>
        <v>1</v>
      </c>
    </row>
    <row r="30" spans="1:29" s="117" customFormat="1" ht="15">
      <c r="A30" s="648"/>
      <c r="B30" s="456"/>
      <c r="C30" s="2583"/>
      <c r="D30" s="448"/>
      <c r="E30" s="2584"/>
      <c r="F30" s="448"/>
      <c r="G30" s="2584"/>
      <c r="H30" s="448"/>
      <c r="I30" s="2584"/>
      <c r="J30" s="448"/>
      <c r="K30" s="671"/>
      <c r="L30" s="1127"/>
      <c r="M30" s="1128"/>
      <c r="N30" s="1128"/>
      <c r="O30" s="1129"/>
      <c r="P30" s="3268"/>
      <c r="Q30" s="1781"/>
      <c r="R30" s="769"/>
      <c r="S30" s="770"/>
      <c r="T30" s="769"/>
      <c r="U30" s="770"/>
      <c r="V30" s="769"/>
      <c r="W30" s="770"/>
      <c r="X30" s="771"/>
      <c r="Y30" s="3268"/>
      <c r="Z30" s="55"/>
      <c r="AA30" s="1797">
        <v>1</v>
      </c>
      <c r="AB30" s="1797">
        <v>1</v>
      </c>
      <c r="AC30" s="1797">
        <v>1</v>
      </c>
    </row>
    <row r="31" spans="1:29" ht="15">
      <c r="A31" s="428"/>
      <c r="B31" s="456" t="s">
        <v>2568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5"/>
      <c r="M31" s="1126"/>
      <c r="N31" s="1126"/>
      <c r="O31" s="1134"/>
      <c r="P31" s="3268"/>
      <c r="Q31" s="1796" t="str">
        <f t="shared" si="8"/>
        <v>临街状况</v>
      </c>
      <c r="R31" s="773" t="s">
        <v>17</v>
      </c>
      <c r="S31" s="774">
        <f t="shared" ref="S31:S45" si="10">F31</f>
        <v>100</v>
      </c>
      <c r="T31" s="773" t="s">
        <v>17</v>
      </c>
      <c r="U31" s="774">
        <f t="shared" ref="U31:U45" si="11">H31</f>
        <v>100</v>
      </c>
      <c r="V31" s="773" t="s">
        <v>17</v>
      </c>
      <c r="W31" s="774">
        <f t="shared" ref="W31:W45" si="12">J31</f>
        <v>100</v>
      </c>
      <c r="X31" s="1799"/>
      <c r="Y31" s="3268"/>
      <c r="Z31" s="1800" t="str">
        <f t="shared" ref="Z31:Z45" si="13">Q31</f>
        <v>临街状况</v>
      </c>
      <c r="AA31" s="1797">
        <f t="shared" si="3"/>
        <v>1</v>
      </c>
      <c r="AB31" s="1797">
        <f t="shared" si="4"/>
        <v>1</v>
      </c>
      <c r="AC31" s="1797">
        <f t="shared" si="5"/>
        <v>1</v>
      </c>
    </row>
    <row r="32" spans="1:29" ht="27">
      <c r="A32" s="428"/>
      <c r="B32" s="1371" t="s">
        <v>2603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5"/>
      <c r="M32" s="1126"/>
      <c r="N32" s="1126"/>
      <c r="O32" s="1134"/>
      <c r="P32" s="3268"/>
      <c r="Q32" s="1796" t="str">
        <f t="shared" si="8"/>
        <v>毗邻道路的类型与等级</v>
      </c>
      <c r="R32" s="773" t="s">
        <v>17</v>
      </c>
      <c r="S32" s="774">
        <f t="shared" si="10"/>
        <v>100</v>
      </c>
      <c r="T32" s="773" t="s">
        <v>17</v>
      </c>
      <c r="U32" s="774">
        <f t="shared" si="11"/>
        <v>100</v>
      </c>
      <c r="V32" s="773" t="s">
        <v>17</v>
      </c>
      <c r="W32" s="774">
        <f t="shared" si="12"/>
        <v>100</v>
      </c>
      <c r="X32" s="1799"/>
      <c r="Y32" s="3268"/>
      <c r="Z32" s="1800" t="str">
        <f t="shared" si="13"/>
        <v>毗邻道路的类型与等级</v>
      </c>
      <c r="AA32" s="1797">
        <f t="shared" si="3"/>
        <v>1</v>
      </c>
      <c r="AB32" s="1797">
        <f t="shared" si="4"/>
        <v>1</v>
      </c>
      <c r="AC32" s="1797">
        <f t="shared" si="5"/>
        <v>1</v>
      </c>
    </row>
    <row r="33" spans="1:29" ht="15">
      <c r="A33" s="428"/>
      <c r="B33" s="456"/>
      <c r="C33" s="447"/>
      <c r="D33" s="448"/>
      <c r="E33" s="2496"/>
      <c r="F33" s="448"/>
      <c r="G33" s="2496"/>
      <c r="H33" s="448"/>
      <c r="I33" s="447"/>
      <c r="J33" s="448"/>
      <c r="K33" s="613"/>
      <c r="L33" s="1135"/>
      <c r="M33" s="1126"/>
      <c r="N33" s="1126"/>
      <c r="O33" s="1134"/>
      <c r="P33" s="3268"/>
      <c r="Q33" s="1796"/>
      <c r="R33" s="773"/>
      <c r="S33" s="774"/>
      <c r="T33" s="773"/>
      <c r="U33" s="774"/>
      <c r="V33" s="773"/>
      <c r="W33" s="774"/>
      <c r="X33" s="1799"/>
      <c r="Y33" s="3268"/>
      <c r="Z33" s="1800"/>
      <c r="AA33" s="1797">
        <v>1</v>
      </c>
      <c r="AB33" s="1797">
        <v>1</v>
      </c>
      <c r="AC33" s="1797">
        <v>1</v>
      </c>
    </row>
    <row r="34" spans="1:29" ht="15">
      <c r="A34" s="428"/>
      <c r="B34" s="422" t="s">
        <v>2662</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5"/>
      <c r="M34" s="1126"/>
      <c r="N34" s="1126"/>
      <c r="O34" s="1134"/>
      <c r="P34" s="3268"/>
      <c r="Q34" s="1796" t="str">
        <f t="shared" si="8"/>
        <v>土地级别</v>
      </c>
      <c r="R34" s="773" t="s">
        <v>17</v>
      </c>
      <c r="S34" s="774">
        <f t="shared" si="10"/>
        <v>100</v>
      </c>
      <c r="T34" s="773" t="s">
        <v>17</v>
      </c>
      <c r="U34" s="774">
        <f t="shared" si="11"/>
        <v>100</v>
      </c>
      <c r="V34" s="773" t="s">
        <v>17</v>
      </c>
      <c r="W34" s="774">
        <f t="shared" si="12"/>
        <v>100</v>
      </c>
      <c r="X34" s="1799"/>
      <c r="Y34" s="3268"/>
      <c r="Z34" s="1800" t="str">
        <f t="shared" si="13"/>
        <v>土地级别</v>
      </c>
      <c r="AA34" s="1797">
        <f t="shared" si="3"/>
        <v>1</v>
      </c>
      <c r="AB34" s="1797">
        <f t="shared" si="4"/>
        <v>1</v>
      </c>
      <c r="AC34" s="1797">
        <f t="shared" si="5"/>
        <v>1</v>
      </c>
    </row>
    <row r="35" spans="1:29" ht="15">
      <c r="A35" s="404"/>
      <c r="B35" s="1373">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5"/>
      <c r="M35" s="1126"/>
      <c r="N35" s="1126"/>
      <c r="O35" s="1134"/>
      <c r="P35" s="3268"/>
      <c r="Q35" s="1796">
        <f t="shared" si="8"/>
        <v>111</v>
      </c>
      <c r="R35" s="773" t="s">
        <v>17</v>
      </c>
      <c r="S35" s="774">
        <f t="shared" si="10"/>
        <v>100</v>
      </c>
      <c r="T35" s="773" t="s">
        <v>17</v>
      </c>
      <c r="U35" s="774">
        <f t="shared" si="11"/>
        <v>100</v>
      </c>
      <c r="V35" s="773" t="s">
        <v>17</v>
      </c>
      <c r="W35" s="774">
        <f t="shared" si="12"/>
        <v>100</v>
      </c>
      <c r="X35" s="1799"/>
      <c r="Y35" s="3268"/>
      <c r="Z35" s="1800">
        <f t="shared" si="13"/>
        <v>111</v>
      </c>
      <c r="AA35" s="1797">
        <f t="shared" si="3"/>
        <v>1</v>
      </c>
      <c r="AB35" s="1797">
        <f t="shared" si="4"/>
        <v>1</v>
      </c>
      <c r="AC35" s="1797">
        <f t="shared" si="5"/>
        <v>1</v>
      </c>
    </row>
    <row r="36" spans="1:29" ht="15">
      <c r="A36" s="674"/>
      <c r="B36" s="1374">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5"/>
      <c r="M36" s="1126"/>
      <c r="N36" s="1126"/>
      <c r="O36" s="1134"/>
      <c r="P36" s="3357" t="s">
        <v>2478</v>
      </c>
      <c r="Q36" s="1796">
        <f t="shared" si="8"/>
        <v>111</v>
      </c>
      <c r="R36" s="773" t="s">
        <v>17</v>
      </c>
      <c r="S36" s="774">
        <f t="shared" si="10"/>
        <v>100</v>
      </c>
      <c r="T36" s="773" t="s">
        <v>17</v>
      </c>
      <c r="U36" s="774">
        <f t="shared" si="11"/>
        <v>100</v>
      </c>
      <c r="V36" s="773" t="s">
        <v>17</v>
      </c>
      <c r="W36" s="774">
        <f t="shared" si="12"/>
        <v>100</v>
      </c>
      <c r="X36" s="1799"/>
      <c r="Y36" s="3272" t="s">
        <v>2478</v>
      </c>
      <c r="Z36" s="1800">
        <f t="shared" si="13"/>
        <v>111</v>
      </c>
      <c r="AA36" s="1797">
        <f t="shared" si="3"/>
        <v>1</v>
      </c>
      <c r="AB36" s="1797">
        <f t="shared" si="4"/>
        <v>1</v>
      </c>
      <c r="AC36" s="1797">
        <f t="shared" si="5"/>
        <v>1</v>
      </c>
    </row>
    <row r="37" spans="1:29" s="471" customFormat="1" ht="15.75" thickBot="1">
      <c r="A37" s="675"/>
      <c r="B37" s="1375">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3"/>
      <c r="M37" s="1136"/>
      <c r="N37" s="1136"/>
      <c r="O37" s="1137"/>
      <c r="P37" s="3272"/>
      <c r="Q37" s="1796">
        <f t="shared" si="8"/>
        <v>111</v>
      </c>
      <c r="R37" s="776" t="s">
        <v>17</v>
      </c>
      <c r="S37" s="777">
        <f t="shared" si="10"/>
        <v>100</v>
      </c>
      <c r="T37" s="776" t="s">
        <v>17</v>
      </c>
      <c r="U37" s="777">
        <f t="shared" si="11"/>
        <v>100</v>
      </c>
      <c r="V37" s="776" t="s">
        <v>17</v>
      </c>
      <c r="W37" s="777">
        <f t="shared" si="12"/>
        <v>100</v>
      </c>
      <c r="X37" s="778"/>
      <c r="Y37" s="3272"/>
      <c r="Z37" s="779">
        <f t="shared" si="13"/>
        <v>111</v>
      </c>
      <c r="AA37" s="1797">
        <f t="shared" si="3"/>
        <v>1</v>
      </c>
      <c r="AB37" s="1797">
        <f t="shared" si="4"/>
        <v>1</v>
      </c>
      <c r="AC37" s="1797">
        <f t="shared" si="5"/>
        <v>1</v>
      </c>
    </row>
    <row r="38" spans="1:29" ht="15">
      <c r="A38" s="472" t="s">
        <v>2476</v>
      </c>
      <c r="B38" s="456" t="s">
        <v>2663</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5"/>
      <c r="M38" s="1126"/>
      <c r="N38" s="1126"/>
      <c r="O38" s="1134"/>
      <c r="P38" s="3272"/>
      <c r="Q38" s="1796" t="str">
        <f>B38</f>
        <v>宗地面积</v>
      </c>
      <c r="R38" s="773" t="s">
        <v>17</v>
      </c>
      <c r="S38" s="774" t="e">
        <f t="shared" si="10"/>
        <v>#N/A</v>
      </c>
      <c r="T38" s="773" t="s">
        <v>17</v>
      </c>
      <c r="U38" s="774" t="e">
        <f t="shared" si="11"/>
        <v>#N/A</v>
      </c>
      <c r="V38" s="773" t="s">
        <v>17</v>
      </c>
      <c r="W38" s="774" t="e">
        <f t="shared" si="12"/>
        <v>#N/A</v>
      </c>
      <c r="X38" s="1799"/>
      <c r="Y38" s="3272"/>
      <c r="Z38" s="1800" t="str">
        <f t="shared" si="13"/>
        <v>宗地面积</v>
      </c>
      <c r="AA38" s="1797" t="e">
        <f t="shared" si="3"/>
        <v>#N/A</v>
      </c>
      <c r="AB38" s="1797" t="e">
        <f t="shared" si="4"/>
        <v>#N/A</v>
      </c>
      <c r="AC38" s="1797" t="e">
        <f t="shared" si="5"/>
        <v>#N/A</v>
      </c>
    </row>
    <row r="39" spans="1:29" ht="15">
      <c r="A39" s="472"/>
      <c r="B39" s="422" t="s">
        <v>2664</v>
      </c>
      <c r="C39" s="2498"/>
      <c r="D39" s="435">
        <v>100</v>
      </c>
      <c r="E39" s="2498"/>
      <c r="F39" s="435">
        <f>SUMIF(119:119,E39,120:120)-SUMIF(119:119,C39,120:120)+100</f>
        <v>100</v>
      </c>
      <c r="G39" s="2498"/>
      <c r="H39" s="435">
        <f>SUMIF(119:119,G39,120:120)-SUMIF(119:119,C39,120:120)+100</f>
        <v>100</v>
      </c>
      <c r="I39" s="2498"/>
      <c r="J39" s="435">
        <f>SUMIF(119:119,I39,120:120)-SUMIF(119:119,C39,120:120)+100</f>
        <v>100</v>
      </c>
      <c r="K39" s="612"/>
      <c r="L39" s="1135"/>
      <c r="M39" s="1126"/>
      <c r="N39" s="1126"/>
      <c r="O39" s="1134"/>
      <c r="P39" s="3272"/>
      <c r="Q39" s="1796" t="str">
        <f t="shared" ref="Q39:Q45" si="14">B39</f>
        <v>宗地形状</v>
      </c>
      <c r="R39" s="773" t="s">
        <v>17</v>
      </c>
      <c r="S39" s="774">
        <f t="shared" si="10"/>
        <v>100</v>
      </c>
      <c r="T39" s="773" t="s">
        <v>17</v>
      </c>
      <c r="U39" s="774">
        <f t="shared" si="11"/>
        <v>100</v>
      </c>
      <c r="V39" s="773" t="s">
        <v>17</v>
      </c>
      <c r="W39" s="774">
        <f t="shared" si="12"/>
        <v>100</v>
      </c>
      <c r="X39" s="1799"/>
      <c r="Y39" s="3272"/>
      <c r="Z39" s="1800" t="str">
        <f t="shared" si="13"/>
        <v>宗地形状</v>
      </c>
      <c r="AA39" s="1797">
        <f t="shared" si="3"/>
        <v>1</v>
      </c>
      <c r="AB39" s="1797">
        <f t="shared" si="4"/>
        <v>1</v>
      </c>
      <c r="AC39" s="1797">
        <f t="shared" si="5"/>
        <v>1</v>
      </c>
    </row>
    <row r="40" spans="1:29" ht="15">
      <c r="A40" s="472"/>
      <c r="B40" s="422" t="s">
        <v>2665</v>
      </c>
      <c r="C40" s="2498"/>
      <c r="D40" s="435">
        <v>100</v>
      </c>
      <c r="E40" s="2498"/>
      <c r="F40" s="435">
        <f>SUMIF(121:121,E40,122:122)-SUMIF(121:121,C40,122:122)+100</f>
        <v>100</v>
      </c>
      <c r="G40" s="2498"/>
      <c r="H40" s="435">
        <f>SUMIF(121:121,G40,122:122)-SUMIF(121:121,C40,122:122)+100</f>
        <v>100</v>
      </c>
      <c r="I40" s="2498"/>
      <c r="J40" s="435">
        <f>SUMIF(121:121,I40,122:122)-SUMIF(121:121,C40,122:122)+100</f>
        <v>100</v>
      </c>
      <c r="K40" s="612"/>
      <c r="L40" s="1135"/>
      <c r="M40" s="1126"/>
      <c r="N40" s="1126"/>
      <c r="O40" s="1134"/>
      <c r="P40" s="3272"/>
      <c r="Q40" s="1796" t="str">
        <f t="shared" si="14"/>
        <v>临街宽度及深度</v>
      </c>
      <c r="R40" s="773" t="s">
        <v>17</v>
      </c>
      <c r="S40" s="774">
        <f t="shared" si="10"/>
        <v>100</v>
      </c>
      <c r="T40" s="773" t="s">
        <v>17</v>
      </c>
      <c r="U40" s="774">
        <f t="shared" si="11"/>
        <v>100</v>
      </c>
      <c r="V40" s="773" t="s">
        <v>17</v>
      </c>
      <c r="W40" s="774">
        <f t="shared" si="12"/>
        <v>100</v>
      </c>
      <c r="X40" s="1799"/>
      <c r="Y40" s="3272"/>
      <c r="Z40" s="1800" t="str">
        <f t="shared" si="13"/>
        <v>临街宽度及深度</v>
      </c>
      <c r="AA40" s="1797">
        <f t="shared" si="3"/>
        <v>1</v>
      </c>
      <c r="AB40" s="1797">
        <f t="shared" si="4"/>
        <v>1</v>
      </c>
      <c r="AC40" s="1797">
        <f t="shared" si="5"/>
        <v>1</v>
      </c>
    </row>
    <row r="41" spans="1:29" s="117" customFormat="1" ht="15">
      <c r="A41" s="473"/>
      <c r="B41" s="422" t="s">
        <v>2666</v>
      </c>
      <c r="C41" s="2585"/>
      <c r="D41" s="136">
        <v>100</v>
      </c>
      <c r="E41" s="2585"/>
      <c r="F41" s="435">
        <f>SUMIF(123:123,E41,124:124)-SUMIF(123:123,C41,124:124)+100</f>
        <v>100</v>
      </c>
      <c r="G41" s="2585"/>
      <c r="H41" s="435">
        <f>SUMIF(123:123,G41,124:124)-SUMIF(123:123,C41,124:124)+100</f>
        <v>100</v>
      </c>
      <c r="I41" s="2585"/>
      <c r="J41" s="435">
        <f>SUMIF(123:123,I41,124:124)-SUMIF(123:123,C41,124:124)+100</f>
        <v>100</v>
      </c>
      <c r="K41" s="612"/>
      <c r="L41" s="1127"/>
      <c r="M41" s="1128"/>
      <c r="N41" s="1128"/>
      <c r="O41" s="1129"/>
      <c r="P41" s="3272"/>
      <c r="Q41" s="1796" t="str">
        <f t="shared" si="14"/>
        <v>宗地开发程度</v>
      </c>
      <c r="R41" s="769" t="s">
        <v>17</v>
      </c>
      <c r="S41" s="770">
        <f t="shared" si="10"/>
        <v>100</v>
      </c>
      <c r="T41" s="769" t="s">
        <v>17</v>
      </c>
      <c r="U41" s="770">
        <f t="shared" si="11"/>
        <v>100</v>
      </c>
      <c r="V41" s="769" t="s">
        <v>17</v>
      </c>
      <c r="W41" s="770">
        <f t="shared" si="12"/>
        <v>100</v>
      </c>
      <c r="X41" s="771"/>
      <c r="Y41" s="3272"/>
      <c r="Z41" s="55" t="str">
        <f t="shared" si="13"/>
        <v>宗地开发程度</v>
      </c>
      <c r="AA41" s="772">
        <f t="shared" si="3"/>
        <v>1</v>
      </c>
      <c r="AB41" s="772">
        <f t="shared" si="4"/>
        <v>1</v>
      </c>
      <c r="AC41" s="772">
        <f t="shared" si="5"/>
        <v>1</v>
      </c>
    </row>
    <row r="42" spans="1:29" ht="15">
      <c r="A42" s="472"/>
      <c r="B42" s="422" t="s">
        <v>2667</v>
      </c>
      <c r="C42" s="2498"/>
      <c r="D42" s="435">
        <v>100</v>
      </c>
      <c r="E42" s="2498"/>
      <c r="F42" s="435">
        <f>SUMIF(125:125,E42,126:126)-SUMIF(125:125,C42,126:126)+100</f>
        <v>100</v>
      </c>
      <c r="G42" s="2498"/>
      <c r="H42" s="435">
        <f>SUMIF(125:125,G42,126:126)-SUMIF(125:125,C42,126:126)+100</f>
        <v>100</v>
      </c>
      <c r="I42" s="2498"/>
      <c r="J42" s="435">
        <f>SUMIF(125:125,I42,126:126)-SUMIF(125:125,C42,126:126)+100</f>
        <v>100</v>
      </c>
      <c r="K42" s="612"/>
      <c r="L42" s="1135"/>
      <c r="M42" s="1126"/>
      <c r="N42" s="1126"/>
      <c r="O42" s="1134"/>
      <c r="P42" s="3272" t="s">
        <v>2478</v>
      </c>
      <c r="Q42" s="1796" t="str">
        <f t="shared" si="14"/>
        <v>工程地质条件</v>
      </c>
      <c r="R42" s="773" t="s">
        <v>17</v>
      </c>
      <c r="S42" s="774">
        <f t="shared" si="10"/>
        <v>100</v>
      </c>
      <c r="T42" s="773" t="s">
        <v>17</v>
      </c>
      <c r="U42" s="774">
        <f t="shared" si="11"/>
        <v>100</v>
      </c>
      <c r="V42" s="773" t="s">
        <v>17</v>
      </c>
      <c r="W42" s="774">
        <f t="shared" si="12"/>
        <v>100</v>
      </c>
      <c r="X42" s="1799"/>
      <c r="Y42" s="3272" t="s">
        <v>2478</v>
      </c>
      <c r="Z42" s="1800" t="str">
        <f t="shared" si="13"/>
        <v>工程地质条件</v>
      </c>
      <c r="AA42" s="1797">
        <f t="shared" si="3"/>
        <v>1</v>
      </c>
      <c r="AB42" s="1797">
        <f t="shared" si="4"/>
        <v>1</v>
      </c>
      <c r="AC42" s="1797">
        <f t="shared" si="5"/>
        <v>1</v>
      </c>
    </row>
    <row r="43" spans="1:29" ht="15">
      <c r="A43" s="472"/>
      <c r="B43" s="1374">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5"/>
      <c r="M43" s="1126"/>
      <c r="N43" s="1126"/>
      <c r="O43" s="1134"/>
      <c r="P43" s="3272"/>
      <c r="Q43" s="1796">
        <f t="shared" si="14"/>
        <v>111</v>
      </c>
      <c r="R43" s="773" t="s">
        <v>17</v>
      </c>
      <c r="S43" s="774">
        <f t="shared" si="10"/>
        <v>100</v>
      </c>
      <c r="T43" s="773" t="s">
        <v>17</v>
      </c>
      <c r="U43" s="774">
        <f t="shared" si="11"/>
        <v>100</v>
      </c>
      <c r="V43" s="773" t="s">
        <v>17</v>
      </c>
      <c r="W43" s="774">
        <f t="shared" si="12"/>
        <v>100</v>
      </c>
      <c r="X43" s="1799"/>
      <c r="Y43" s="3272"/>
      <c r="Z43" s="1800">
        <f t="shared" si="13"/>
        <v>111</v>
      </c>
      <c r="AA43" s="1797">
        <f t="shared" si="3"/>
        <v>1</v>
      </c>
      <c r="AB43" s="1797">
        <f t="shared" si="4"/>
        <v>1</v>
      </c>
      <c r="AC43" s="1797">
        <f t="shared" si="5"/>
        <v>1</v>
      </c>
    </row>
    <row r="44" spans="1:29" ht="15">
      <c r="A44" s="472"/>
      <c r="B44" s="1374">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5"/>
      <c r="M44" s="1126"/>
      <c r="N44" s="1126"/>
      <c r="O44" s="1134"/>
      <c r="P44" s="3272"/>
      <c r="Q44" s="1796">
        <f t="shared" si="14"/>
        <v>111</v>
      </c>
      <c r="R44" s="773" t="s">
        <v>17</v>
      </c>
      <c r="S44" s="774">
        <f t="shared" si="10"/>
        <v>100</v>
      </c>
      <c r="T44" s="773" t="s">
        <v>17</v>
      </c>
      <c r="U44" s="774">
        <f t="shared" si="11"/>
        <v>100</v>
      </c>
      <c r="V44" s="773" t="s">
        <v>17</v>
      </c>
      <c r="W44" s="774">
        <f t="shared" si="12"/>
        <v>100</v>
      </c>
      <c r="X44" s="1799"/>
      <c r="Y44" s="3272"/>
      <c r="Z44" s="1800">
        <f t="shared" si="13"/>
        <v>111</v>
      </c>
      <c r="AA44" s="1797">
        <f t="shared" si="3"/>
        <v>1</v>
      </c>
      <c r="AB44" s="1797">
        <f t="shared" si="4"/>
        <v>1</v>
      </c>
      <c r="AC44" s="1797">
        <f t="shared" si="5"/>
        <v>1</v>
      </c>
    </row>
    <row r="45" spans="1:29" s="471" customFormat="1" ht="15.75" thickBot="1">
      <c r="A45" s="468"/>
      <c r="B45" s="1374">
        <v>111</v>
      </c>
      <c r="C45" s="2586"/>
      <c r="D45" s="679">
        <v>100</v>
      </c>
      <c r="E45" s="673"/>
      <c r="F45" s="438">
        <f>SUMIF(131:131,E45,132:132)-SUMIF(131:131,C45,132:132)+100</f>
        <v>100</v>
      </c>
      <c r="G45" s="673"/>
      <c r="H45" s="438">
        <f>SUMIF(131:131,G45,132:132)-SUMIF(131:131,C45,132:132)+100</f>
        <v>100</v>
      </c>
      <c r="I45" s="673"/>
      <c r="J45" s="438">
        <f>SUMIF(131:131,I45,132:132)-SUMIF(131:131,C45,132:132)+100</f>
        <v>100</v>
      </c>
      <c r="K45" s="680"/>
      <c r="L45" s="1133"/>
      <c r="M45" s="1136"/>
      <c r="N45" s="1136"/>
      <c r="O45" s="1137"/>
      <c r="P45" s="3272"/>
      <c r="Q45" s="1796">
        <f t="shared" si="14"/>
        <v>111</v>
      </c>
      <c r="R45" s="776" t="s">
        <v>17</v>
      </c>
      <c r="S45" s="777">
        <f t="shared" si="10"/>
        <v>100</v>
      </c>
      <c r="T45" s="776" t="s">
        <v>17</v>
      </c>
      <c r="U45" s="777">
        <f t="shared" si="11"/>
        <v>100</v>
      </c>
      <c r="V45" s="776" t="s">
        <v>17</v>
      </c>
      <c r="W45" s="777">
        <f t="shared" si="12"/>
        <v>100</v>
      </c>
      <c r="X45" s="778"/>
      <c r="Y45" s="3272"/>
      <c r="Z45" s="779">
        <f t="shared" si="13"/>
        <v>111</v>
      </c>
      <c r="AA45" s="1797">
        <f t="shared" si="3"/>
        <v>1</v>
      </c>
      <c r="AB45" s="1797">
        <f t="shared" si="4"/>
        <v>1</v>
      </c>
      <c r="AC45" s="1797">
        <f t="shared" si="5"/>
        <v>1</v>
      </c>
    </row>
    <row r="46" spans="1:29" ht="15">
      <c r="A46" s="479" t="s">
        <v>2632</v>
      </c>
      <c r="B46" s="2587" t="s">
        <v>2668</v>
      </c>
      <c r="C46" s="681" t="s">
        <v>1</v>
      </c>
      <c r="D46" s="481"/>
      <c r="E46" s="482"/>
      <c r="F46" s="483"/>
      <c r="G46" s="484"/>
      <c r="H46" s="485"/>
      <c r="I46" s="482"/>
      <c r="J46" s="485"/>
      <c r="K46" s="782"/>
      <c r="L46" s="1138"/>
      <c r="M46" s="1139"/>
      <c r="N46" s="1126"/>
      <c r="O46" s="1139"/>
      <c r="P46" s="3265" t="str">
        <f>A46</f>
        <v>成交单价</v>
      </c>
      <c r="Q46" s="3265"/>
      <c r="R46" s="3296">
        <f>E46</f>
        <v>0</v>
      </c>
      <c r="S46" s="3296"/>
      <c r="T46" s="3296">
        <f>G46</f>
        <v>0</v>
      </c>
      <c r="U46" s="3296"/>
      <c r="V46" s="3296">
        <f>I46</f>
        <v>0</v>
      </c>
      <c r="W46" s="3296"/>
      <c r="X46" s="758"/>
      <c r="Y46" s="780"/>
      <c r="Z46" s="758"/>
      <c r="AA46" s="758"/>
      <c r="AB46" s="758"/>
      <c r="AC46" s="758"/>
    </row>
    <row r="47" spans="1:29" ht="15.75" thickBot="1">
      <c r="A47" s="486" t="s">
        <v>2581</v>
      </c>
      <c r="B47" s="682"/>
      <c r="C47" s="490" t="e">
        <f>R48</f>
        <v>#DIV/0!</v>
      </c>
      <c r="D47" s="489"/>
      <c r="E47" s="490" t="e">
        <f>R47</f>
        <v>#DIV/0!</v>
      </c>
      <c r="F47" s="491"/>
      <c r="G47" s="488" t="e">
        <f>T47</f>
        <v>#DIV/0!</v>
      </c>
      <c r="H47" s="489"/>
      <c r="I47" s="490" t="e">
        <f>V47</f>
        <v>#DIV/0!</v>
      </c>
      <c r="J47" s="489"/>
      <c r="K47" s="783"/>
      <c r="L47" s="1138"/>
      <c r="M47" s="1139"/>
      <c r="N47" s="1139"/>
      <c r="O47" s="1139"/>
      <c r="P47" s="3265" t="str">
        <f>A47</f>
        <v>比较价值（元/平方米）</v>
      </c>
      <c r="Q47" s="3265"/>
      <c r="R47" s="3358" t="e">
        <f>ROUND(PRODUCT(R46,AA7:AA45),0)</f>
        <v>#DIV/0!</v>
      </c>
      <c r="S47" s="3358"/>
      <c r="T47" s="3358" t="e">
        <f>ROUND(PRODUCT(T46,AB7:AB45),0)</f>
        <v>#DIV/0!</v>
      </c>
      <c r="U47" s="3358"/>
      <c r="V47" s="3358" t="e">
        <f>ROUND(PRODUCT(V46,AC7:AC45),0)</f>
        <v>#DIV/0!</v>
      </c>
      <c r="W47" s="3358"/>
      <c r="X47" s="758"/>
      <c r="Y47" s="758"/>
      <c r="Z47" s="758"/>
      <c r="AA47" s="758"/>
      <c r="AB47" s="758"/>
      <c r="AC47" s="758"/>
    </row>
    <row r="48" spans="1:29" ht="15.75" thickBot="1">
      <c r="A48" s="492" t="s">
        <v>2669</v>
      </c>
      <c r="B48" s="493"/>
      <c r="C48" s="494" t="e">
        <f>R48</f>
        <v>#DIV/0!</v>
      </c>
      <c r="D48" s="494"/>
      <c r="E48" s="494"/>
      <c r="F48" s="494"/>
      <c r="G48" s="494"/>
      <c r="H48" s="494"/>
      <c r="I48" s="494"/>
      <c r="J48" s="494"/>
      <c r="K48" s="784"/>
      <c r="L48" s="1138"/>
      <c r="M48" s="1139"/>
      <c r="N48" s="1139"/>
      <c r="O48" s="1139"/>
      <c r="P48" s="3262" t="str">
        <f>A48</f>
        <v>估价对象XX用房的比较价值（楼面单价，元/平方米）</v>
      </c>
      <c r="Q48" s="3263"/>
      <c r="R48" s="3359" t="e">
        <f>ROUND(AVERAGE(R47:V47),0)</f>
        <v>#DIV/0!</v>
      </c>
      <c r="S48" s="3359"/>
      <c r="T48" s="3359"/>
      <c r="U48" s="3359"/>
      <c r="V48" s="3359"/>
      <c r="W48" s="3359"/>
      <c r="X48" s="758"/>
      <c r="Y48" s="758"/>
      <c r="Z48" s="758"/>
      <c r="AA48" s="758"/>
      <c r="AB48" s="758"/>
      <c r="AC48" s="758"/>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2583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2584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2585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1"/>
      <c r="D54" s="759"/>
      <c r="E54" s="759"/>
      <c r="F54" s="759"/>
      <c r="G54" s="759"/>
      <c r="H54" s="759"/>
      <c r="I54" s="759"/>
      <c r="J54" s="759"/>
      <c r="K54" s="1143"/>
      <c r="L54" s="1144"/>
      <c r="M54" s="1140"/>
      <c r="N54" s="1140"/>
      <c r="O54" s="1140"/>
    </row>
    <row r="55" spans="1:15" ht="27" customHeight="1">
      <c r="A55" s="683" t="s">
        <v>2670</v>
      </c>
      <c r="B55" s="684" t="s">
        <v>2671</v>
      </c>
      <c r="C55" s="2588" t="s">
        <v>2672</v>
      </c>
      <c r="D55" s="2589" t="s">
        <v>2673</v>
      </c>
      <c r="E55" s="685" t="s">
        <v>2674</v>
      </c>
      <c r="F55" s="1102" t="s">
        <v>2675</v>
      </c>
      <c r="G55" s="3280" t="s">
        <v>2676</v>
      </c>
      <c r="H55" s="3360"/>
      <c r="I55" s="144" t="s">
        <v>2677</v>
      </c>
      <c r="J55" s="2590">
        <f>项目基本情况!F35</f>
        <v>0</v>
      </c>
      <c r="K55" s="2591" t="s">
        <v>2678</v>
      </c>
      <c r="L55" s="1101"/>
      <c r="M55" s="1139"/>
      <c r="N55" s="1139"/>
      <c r="O55" s="1139"/>
    </row>
    <row r="56" spans="1:15" s="691" customFormat="1">
      <c r="A56" s="687" t="s">
        <v>2679</v>
      </c>
      <c r="B56" s="688" t="e">
        <f>C48</f>
        <v>#DIV/0!</v>
      </c>
      <c r="C56" s="689">
        <v>1</v>
      </c>
      <c r="D56" s="1158">
        <v>1</v>
      </c>
      <c r="E56" s="689">
        <f>'数据-汇总表'!E8+'数据-汇总表'!E9</f>
        <v>26965.789999999994</v>
      </c>
      <c r="F56" s="1098" t="e">
        <f t="shared" ref="F56:F65" si="15">ROUND(B56*E56/10000,0)</f>
        <v>#DIV/0!</v>
      </c>
      <c r="G56" s="3276"/>
      <c r="H56" s="3265"/>
      <c r="I56" s="1103">
        <v>1</v>
      </c>
      <c r="J56" s="1106">
        <v>1</v>
      </c>
      <c r="K56" s="1140"/>
      <c r="L56" s="942"/>
      <c r="M56" s="942"/>
      <c r="N56" s="942"/>
      <c r="O56" s="942"/>
    </row>
    <row r="57" spans="1:15" s="691" customFormat="1">
      <c r="A57" s="692" t="s">
        <v>2680</v>
      </c>
      <c r="B57" s="262" t="e">
        <f>ROUND($C$48*C57*D57,0)</f>
        <v>#DIV/0!</v>
      </c>
      <c r="C57" s="200">
        <f t="shared" ref="C57:C65" si="16">IF($C$55="北京市系数",I57,J57)</f>
        <v>0.7</v>
      </c>
      <c r="D57" s="1159">
        <v>0.25</v>
      </c>
      <c r="E57" s="693"/>
      <c r="F57" s="1098" t="e">
        <f t="shared" si="15"/>
        <v>#DIV/0!</v>
      </c>
      <c r="G57" s="3361" t="s">
        <v>2681</v>
      </c>
      <c r="H57" s="1099" t="str">
        <f>项目基本情况!B37</f>
        <v>三级</v>
      </c>
      <c r="I57" s="1103">
        <f>SUMIF(修正!A45:A56,H57,修正!B45:B56)</f>
        <v>0.7</v>
      </c>
      <c r="J57" s="1107"/>
      <c r="K57" s="1139"/>
      <c r="L57" s="942"/>
      <c r="M57" s="942"/>
      <c r="N57" s="942"/>
      <c r="O57" s="942"/>
    </row>
    <row r="58" spans="1:15" s="691" customFormat="1">
      <c r="A58" s="692" t="s">
        <v>2682</v>
      </c>
      <c r="B58" s="262" t="e">
        <f t="shared" ref="B58:B65" si="17">ROUND($C$48*C58*D58,0)</f>
        <v>#DIV/0!</v>
      </c>
      <c r="C58" s="200">
        <f t="shared" si="16"/>
        <v>0.4</v>
      </c>
      <c r="D58" s="1159">
        <v>0.25</v>
      </c>
      <c r="E58" s="693"/>
      <c r="F58" s="1098" t="e">
        <f t="shared" si="15"/>
        <v>#DIV/0!</v>
      </c>
      <c r="G58" s="3361"/>
      <c r="H58" s="1099" t="str">
        <f>项目基本情况!B37</f>
        <v>三级</v>
      </c>
      <c r="I58" s="1103">
        <f>SUMIF(修正!A45:A56,H58,修正!C45:C56)</f>
        <v>0.4</v>
      </c>
      <c r="J58" s="1107"/>
      <c r="K58" s="1140"/>
      <c r="L58" s="942"/>
      <c r="M58" s="942"/>
      <c r="N58" s="942"/>
      <c r="O58" s="942"/>
    </row>
    <row r="59" spans="1:15" s="691" customFormat="1">
      <c r="A59" s="692" t="s">
        <v>2683</v>
      </c>
      <c r="B59" s="262" t="e">
        <f t="shared" si="17"/>
        <v>#DIV/0!</v>
      </c>
      <c r="C59" s="200">
        <f t="shared" si="16"/>
        <v>0.28000000000000003</v>
      </c>
      <c r="D59" s="1159">
        <v>0.25</v>
      </c>
      <c r="E59" s="693"/>
      <c r="F59" s="1098" t="e">
        <f t="shared" si="15"/>
        <v>#DIV/0!</v>
      </c>
      <c r="G59" s="3361"/>
      <c r="H59" s="1099" t="str">
        <f>项目基本情况!B37</f>
        <v>三级</v>
      </c>
      <c r="I59" s="1103">
        <f>SUMIF(修正!A45:A56,H59,修正!D45:D56)</f>
        <v>0.28000000000000003</v>
      </c>
      <c r="J59" s="1107"/>
      <c r="K59" s="1139"/>
      <c r="L59" s="942"/>
      <c r="M59" s="942"/>
      <c r="N59" s="942"/>
      <c r="O59" s="942"/>
    </row>
    <row r="60" spans="1:15" s="691" customFormat="1">
      <c r="A60" s="692" t="s">
        <v>2684</v>
      </c>
      <c r="B60" s="262" t="e">
        <f t="shared" si="17"/>
        <v>#DIV/0!</v>
      </c>
      <c r="C60" s="200">
        <f t="shared" si="16"/>
        <v>0.25</v>
      </c>
      <c r="D60" s="1159">
        <v>0.25</v>
      </c>
      <c r="E60" s="693"/>
      <c r="F60" s="1098" t="e">
        <f t="shared" si="15"/>
        <v>#DIV/0!</v>
      </c>
      <c r="G60" s="3361"/>
      <c r="H60" s="1099" t="str">
        <f>项目基本情况!B37</f>
        <v>三级</v>
      </c>
      <c r="I60" s="1103">
        <f>SUMIF(修正!A45:A56,H60,修正!E45:E56)</f>
        <v>0.25</v>
      </c>
      <c r="J60" s="1107"/>
      <c r="K60" s="1140"/>
      <c r="L60" s="942"/>
      <c r="M60" s="942"/>
      <c r="N60" s="942"/>
      <c r="O60" s="942"/>
    </row>
    <row r="61" spans="1:15" s="691" customFormat="1">
      <c r="A61" s="692" t="s">
        <v>2685</v>
      </c>
      <c r="B61" s="262" t="e">
        <f t="shared" si="17"/>
        <v>#DIV/0!</v>
      </c>
      <c r="C61" s="200">
        <f t="shared" si="16"/>
        <v>0</v>
      </c>
      <c r="D61" s="1159">
        <v>0.25</v>
      </c>
      <c r="E61" s="261">
        <f>'数据-汇总表'!E11</f>
        <v>0</v>
      </c>
      <c r="F61" s="1098" t="e">
        <f t="shared" si="15"/>
        <v>#DIV/0!</v>
      </c>
      <c r="G61" s="2592" t="s">
        <v>2686</v>
      </c>
      <c r="H61" s="1099">
        <f>项目基本情况!C37</f>
        <v>0</v>
      </c>
      <c r="I61" s="1103">
        <f>SUMIF(修正!A45:A56,H61,修正!F45:F56)</f>
        <v>0</v>
      </c>
      <c r="J61" s="1107"/>
      <c r="K61" s="1139"/>
      <c r="L61" s="942"/>
      <c r="M61" s="942"/>
      <c r="N61" s="942"/>
      <c r="O61" s="942"/>
    </row>
    <row r="62" spans="1:15" s="691" customFormat="1">
      <c r="A62" s="692" t="s">
        <v>2687</v>
      </c>
      <c r="B62" s="262" t="e">
        <f t="shared" si="17"/>
        <v>#DIV/0!</v>
      </c>
      <c r="C62" s="200">
        <f t="shared" si="16"/>
        <v>0</v>
      </c>
      <c r="D62" s="1159">
        <v>0.25</v>
      </c>
      <c r="E62" s="261">
        <f>'数据-汇总表'!E12</f>
        <v>0</v>
      </c>
      <c r="F62" s="1098" t="e">
        <f t="shared" si="15"/>
        <v>#DIV/0!</v>
      </c>
      <c r="G62" s="1104" t="s">
        <v>2688</v>
      </c>
      <c r="H62" s="1099">
        <f>IF(G62="商业",项目基本情况!B37,IF(G62="办公",项目基本情况!C37,IF(G62="住宅",项目基本情况!D37,项目基本情况!E37)))</f>
        <v>0</v>
      </c>
      <c r="I62" s="1103">
        <f>SUMIF(修正!A45:A56,H62,修正!G45:G56)</f>
        <v>0</v>
      </c>
      <c r="J62" s="1107"/>
      <c r="K62" s="1140"/>
      <c r="L62" s="942"/>
      <c r="M62" s="942"/>
      <c r="N62" s="942"/>
      <c r="O62" s="942"/>
    </row>
    <row r="63" spans="1:15" s="691" customFormat="1">
      <c r="A63" s="692" t="s">
        <v>2689</v>
      </c>
      <c r="B63" s="262" t="e">
        <f t="shared" si="17"/>
        <v>#DIV/0!</v>
      </c>
      <c r="C63" s="200">
        <f t="shared" si="16"/>
        <v>0.2</v>
      </c>
      <c r="D63" s="1159">
        <v>0.25</v>
      </c>
      <c r="E63" s="261">
        <f>'数据-汇总表'!E13</f>
        <v>0</v>
      </c>
      <c r="F63" s="1098" t="e">
        <f t="shared" si="15"/>
        <v>#DIV/0!</v>
      </c>
      <c r="G63" s="1104" t="s">
        <v>2690</v>
      </c>
      <c r="H63" s="1099" t="str">
        <f>IF(G63="商业",项目基本情况!B37,IF(G63="办公",项目基本情况!C37,IF(G63="住宅",项目基本情况!D37,项目基本情况!E37)))</f>
        <v>三级</v>
      </c>
      <c r="I63" s="1103">
        <f>SUMIF(修正!A45:A56,H63,修正!H45:H56)</f>
        <v>0.2</v>
      </c>
      <c r="J63" s="1107"/>
      <c r="K63" s="1139"/>
      <c r="L63" s="942"/>
      <c r="M63" s="942"/>
      <c r="N63" s="942"/>
      <c r="O63" s="942"/>
    </row>
    <row r="64" spans="1:15" s="691" customFormat="1">
      <c r="A64" s="692" t="s">
        <v>2691</v>
      </c>
      <c r="B64" s="262" t="e">
        <f t="shared" si="17"/>
        <v>#DIV/0!</v>
      </c>
      <c r="C64" s="200">
        <f t="shared" si="16"/>
        <v>0.2</v>
      </c>
      <c r="D64" s="1159">
        <v>0.25</v>
      </c>
      <c r="E64" s="261">
        <f>'数据-汇总表'!E14</f>
        <v>0</v>
      </c>
      <c r="F64" s="1098" t="e">
        <f t="shared" si="15"/>
        <v>#DIV/0!</v>
      </c>
      <c r="G64" s="2592" t="s">
        <v>2681</v>
      </c>
      <c r="H64" s="1099" t="str">
        <f>项目基本情况!B37</f>
        <v>三级</v>
      </c>
      <c r="I64" s="1103">
        <f>SUMIF(修正!A45:A56,H64,修正!H45:H56)</f>
        <v>0.2</v>
      </c>
      <c r="J64" s="1107"/>
      <c r="K64" s="1140"/>
      <c r="L64" s="942"/>
      <c r="M64" s="942"/>
      <c r="N64" s="942"/>
      <c r="O64" s="942"/>
    </row>
    <row r="65" spans="1:17" s="691" customFormat="1" ht="15" thickBot="1">
      <c r="A65" s="692" t="s">
        <v>2692</v>
      </c>
      <c r="B65" s="262" t="e">
        <f t="shared" si="17"/>
        <v>#DIV/0!</v>
      </c>
      <c r="C65" s="200">
        <f t="shared" si="16"/>
        <v>0</v>
      </c>
      <c r="D65" s="1159">
        <v>0.25</v>
      </c>
      <c r="E65" s="261">
        <f>'数据-汇总表'!E15</f>
        <v>0</v>
      </c>
      <c r="F65" s="1098" t="e">
        <f t="shared" si="15"/>
        <v>#DIV/0!</v>
      </c>
      <c r="G65" s="2593" t="s">
        <v>2686</v>
      </c>
      <c r="H65" s="1109">
        <f>项目基本情况!C37</f>
        <v>0</v>
      </c>
      <c r="I65" s="1105">
        <f>SUMIF(修正!A45:A56,H65,修正!H45:H56)</f>
        <v>0</v>
      </c>
      <c r="J65" s="1108"/>
      <c r="K65" s="1139"/>
      <c r="L65" s="942"/>
      <c r="M65" s="942"/>
      <c r="N65" s="942"/>
      <c r="O65" s="942"/>
    </row>
    <row r="66" spans="1:17" s="691" customFormat="1" ht="13.5" thickBot="1">
      <c r="A66" s="694" t="s">
        <v>2693</v>
      </c>
      <c r="B66" s="695" t="s">
        <v>28</v>
      </c>
      <c r="C66" s="695" t="s">
        <v>29</v>
      </c>
      <c r="D66" s="695" t="s">
        <v>1029</v>
      </c>
      <c r="E66" s="695">
        <f>IF(B46="楼面地价",SUM(E56:E65),'数据-汇总表'!D3)</f>
        <v>26965.789999999994</v>
      </c>
      <c r="F66" s="696" t="e">
        <f>IF(B46="楼面地价",SUM(F56:F65),ROUND(C48*E66/10000,0))</f>
        <v>#DIV/0!</v>
      </c>
      <c r="G66" s="786"/>
      <c r="H66" s="786"/>
      <c r="I66" s="786"/>
      <c r="J66" s="786"/>
      <c r="K66" s="1153"/>
      <c r="L66" s="942"/>
      <c r="M66" s="942"/>
      <c r="N66" s="942"/>
      <c r="O66" s="942"/>
    </row>
    <row r="67" spans="1:17">
      <c r="A67" s="758"/>
      <c r="B67" s="760"/>
      <c r="C67" s="761"/>
      <c r="D67" s="758"/>
      <c r="E67" s="758"/>
      <c r="F67" s="758"/>
      <c r="G67" s="758"/>
      <c r="H67" s="758"/>
      <c r="I67" s="758"/>
      <c r="J67" s="1139"/>
      <c r="K67" s="1100"/>
      <c r="L67" s="1101"/>
      <c r="M67" s="1139"/>
      <c r="N67" s="1139"/>
      <c r="O67" s="1139"/>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2586</v>
      </c>
      <c r="B69" s="758"/>
      <c r="C69" s="763"/>
      <c r="D69" s="763"/>
      <c r="E69" s="763"/>
      <c r="F69" s="764"/>
      <c r="G69" s="764"/>
      <c r="H69" s="763"/>
      <c r="I69" s="763"/>
      <c r="J69" s="1154"/>
      <c r="K69" s="1155"/>
      <c r="L69" s="1156"/>
      <c r="M69" s="1154"/>
      <c r="N69" s="1154"/>
      <c r="O69" s="1154"/>
      <c r="P69" s="503"/>
      <c r="Q69" s="504"/>
    </row>
    <row r="70" spans="1:17" s="508" customFormat="1" ht="15">
      <c r="A70" s="2594" t="s">
        <v>2694</v>
      </c>
      <c r="B70" s="1346"/>
      <c r="C70" s="1558" t="str">
        <f>YEAR(C68)&amp;"-"&amp;ROUNDUP(MONTH(C68)/3,0)</f>
        <v>2018-1</v>
      </c>
      <c r="D70" s="1558" t="str">
        <f>YEAR(D68)&amp;"-"&amp;ROUNDUP(MONTH(D68)/3,0)</f>
        <v>2017-4</v>
      </c>
      <c r="E70" s="1558" t="str">
        <f t="shared" ref="E70:O70" si="19">YEAR(E68)&amp;"-"&amp;ROUNDUP(MONTH(E68)/3,0)</f>
        <v>2017-3</v>
      </c>
      <c r="F70" s="1558" t="str">
        <f t="shared" si="19"/>
        <v>2017-2</v>
      </c>
      <c r="G70" s="1558" t="str">
        <f t="shared" si="19"/>
        <v>2017-1</v>
      </c>
      <c r="H70" s="1558" t="str">
        <f t="shared" si="19"/>
        <v>2016-4</v>
      </c>
      <c r="I70" s="1558" t="str">
        <f t="shared" si="19"/>
        <v>2016-3</v>
      </c>
      <c r="J70" s="1558" t="str">
        <f t="shared" si="19"/>
        <v>2016-2</v>
      </c>
      <c r="K70" s="1558" t="str">
        <f t="shared" si="19"/>
        <v>2016-1</v>
      </c>
      <c r="L70" s="1558" t="str">
        <f t="shared" si="19"/>
        <v>2015-4</v>
      </c>
      <c r="M70" s="1558" t="str">
        <f t="shared" si="19"/>
        <v>2015-3</v>
      </c>
      <c r="N70" s="1558" t="str">
        <f t="shared" si="19"/>
        <v>2015-2</v>
      </c>
      <c r="O70" s="1558" t="str">
        <f t="shared" si="19"/>
        <v>2015-1</v>
      </c>
      <c r="P70" s="507"/>
    </row>
    <row r="71" spans="1:17" s="117" customFormat="1" ht="30" customHeight="1">
      <c r="A71" s="2595" t="s">
        <v>2695</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53"/>
      <c r="N71" s="595"/>
      <c r="O71" s="1554"/>
      <c r="P71" s="504"/>
    </row>
    <row r="72" spans="1:17" s="117" customFormat="1" ht="15.75" thickBot="1">
      <c r="A72" s="515" t="s">
        <v>2497</v>
      </c>
      <c r="B72" s="516"/>
      <c r="C72" s="517"/>
      <c r="D72" s="518"/>
      <c r="E72" s="518"/>
      <c r="F72" s="518"/>
      <c r="G72" s="518"/>
      <c r="H72" s="518"/>
      <c r="I72" s="518"/>
      <c r="J72" s="518"/>
      <c r="K72" s="518"/>
      <c r="L72" s="518"/>
      <c r="M72" s="519"/>
      <c r="N72" s="518"/>
      <c r="O72" s="1157"/>
      <c r="P72" s="504"/>
      <c r="Q72" s="504"/>
    </row>
    <row r="73" spans="1:17" s="117" customFormat="1" ht="15">
      <c r="A73" s="521" t="s">
        <v>2463</v>
      </c>
      <c r="B73" s="510"/>
      <c r="C73" s="522" t="s">
        <v>2564</v>
      </c>
      <c r="D73" s="523"/>
      <c r="E73" s="523"/>
      <c r="F73" s="523"/>
      <c r="G73" s="523"/>
      <c r="H73" s="523"/>
      <c r="I73" s="523"/>
      <c r="J73" s="523"/>
      <c r="K73" s="523"/>
      <c r="L73" s="524"/>
      <c r="M73" s="525"/>
      <c r="N73" s="1146"/>
      <c r="O73" s="1146"/>
      <c r="P73" s="526"/>
      <c r="Q73" s="504"/>
    </row>
    <row r="74" spans="1:17" s="117" customFormat="1" ht="15.75" thickBot="1">
      <c r="A74" s="521"/>
      <c r="B74" s="510"/>
      <c r="C74" s="638">
        <v>100</v>
      </c>
      <c r="D74" s="512"/>
      <c r="E74" s="512"/>
      <c r="F74" s="512"/>
      <c r="G74" s="512"/>
      <c r="H74" s="512"/>
      <c r="I74" s="512"/>
      <c r="J74" s="512"/>
      <c r="K74" s="512"/>
      <c r="L74" s="512"/>
      <c r="M74" s="514"/>
      <c r="N74" s="1146"/>
      <c r="O74" s="1146"/>
      <c r="P74" s="504"/>
      <c r="Q74" s="504"/>
    </row>
    <row r="75" spans="1:17">
      <c r="A75" s="527" t="s">
        <v>2500</v>
      </c>
      <c r="B75" s="528" t="s">
        <v>2467</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2470</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2471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2472</v>
      </c>
      <c r="B88" s="528" t="s">
        <v>2508</v>
      </c>
      <c r="C88" s="573" t="s">
        <v>2509</v>
      </c>
      <c r="D88" s="573" t="s">
        <v>2510</v>
      </c>
      <c r="E88" s="573" t="s">
        <v>2511</v>
      </c>
      <c r="F88" s="573" t="s">
        <v>2512</v>
      </c>
      <c r="G88" s="573" t="s">
        <v>2513</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2696</v>
      </c>
      <c r="C90" s="578" t="s">
        <v>2509</v>
      </c>
      <c r="D90" s="578" t="s">
        <v>2510</v>
      </c>
      <c r="E90" s="578" t="s">
        <v>2511</v>
      </c>
      <c r="F90" s="578" t="s">
        <v>2512</v>
      </c>
      <c r="G90" s="578" t="s">
        <v>2513</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2609</v>
      </c>
      <c r="C92" s="578" t="s">
        <v>2509</v>
      </c>
      <c r="D92" s="578" t="s">
        <v>2510</v>
      </c>
      <c r="E92" s="578" t="s">
        <v>2511</v>
      </c>
      <c r="F92" s="578" t="s">
        <v>2512</v>
      </c>
      <c r="G92" s="578" t="s">
        <v>2513</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2514</v>
      </c>
      <c r="C94" s="578" t="s">
        <v>2509</v>
      </c>
      <c r="D94" s="578" t="s">
        <v>2510</v>
      </c>
      <c r="E94" s="578" t="s">
        <v>2511</v>
      </c>
      <c r="F94" s="578" t="s">
        <v>2512</v>
      </c>
      <c r="G94" s="578" t="s">
        <v>2513</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2697</v>
      </c>
      <c r="C96" s="578" t="s">
        <v>2509</v>
      </c>
      <c r="D96" s="578" t="s">
        <v>2510</v>
      </c>
      <c r="E96" s="578" t="s">
        <v>2511</v>
      </c>
      <c r="F96" s="578" t="s">
        <v>2512</v>
      </c>
      <c r="G96" s="578" t="s">
        <v>2513</v>
      </c>
      <c r="H96" s="578"/>
      <c r="I96" s="578"/>
      <c r="J96" s="578"/>
      <c r="K96" s="578"/>
      <c r="L96" s="697"/>
      <c r="M96" s="621"/>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2698</v>
      </c>
      <c r="C98" s="573" t="s">
        <v>2509</v>
      </c>
      <c r="D98" s="573" t="s">
        <v>2510</v>
      </c>
      <c r="E98" s="573" t="s">
        <v>2511</v>
      </c>
      <c r="F98" s="573" t="s">
        <v>2512</v>
      </c>
      <c r="G98" s="573" t="s">
        <v>2513</v>
      </c>
      <c r="H98" s="578"/>
      <c r="I98" s="578"/>
      <c r="J98" s="578"/>
      <c r="K98" s="578"/>
      <c r="L98" s="578"/>
      <c r="M98" s="621"/>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2566</v>
      </c>
      <c r="C100" s="573" t="s">
        <v>2509</v>
      </c>
      <c r="D100" s="573" t="s">
        <v>2510</v>
      </c>
      <c r="E100" s="573" t="s">
        <v>2511</v>
      </c>
      <c r="F100" s="573" t="s">
        <v>2512</v>
      </c>
      <c r="G100" s="573" t="s">
        <v>2513</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2567</v>
      </c>
      <c r="C102" s="659" t="s">
        <v>2587</v>
      </c>
      <c r="D102" s="659" t="s">
        <v>2588</v>
      </c>
      <c r="E102" s="659" t="s">
        <v>2589</v>
      </c>
      <c r="F102" s="659" t="s">
        <v>2590</v>
      </c>
      <c r="G102" s="659" t="s">
        <v>2591</v>
      </c>
      <c r="H102" s="600"/>
      <c r="I102" s="600"/>
      <c r="J102" s="600"/>
      <c r="K102" s="600"/>
      <c r="L102" s="600"/>
      <c r="M102" s="1372"/>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2"/>
      <c r="N103" s="1149"/>
      <c r="O103" s="1149"/>
      <c r="P103" s="558"/>
      <c r="Q103" s="559"/>
    </row>
    <row r="104" spans="1:17" ht="15.75" thickTop="1">
      <c r="A104" s="534"/>
      <c r="B104" s="538" t="str">
        <f>B31</f>
        <v>临街状况</v>
      </c>
      <c r="C104" s="539" t="s">
        <v>2699</v>
      </c>
      <c r="D104" s="539" t="s">
        <v>2700</v>
      </c>
      <c r="E104" s="539" t="s">
        <v>2701</v>
      </c>
      <c r="F104" s="539" t="s">
        <v>2702</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2603</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2662</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4"/>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6"/>
      <c r="E115" s="676"/>
      <c r="F115" s="676"/>
      <c r="G115" s="676"/>
      <c r="H115" s="676"/>
      <c r="I115" s="676"/>
      <c r="J115" s="676"/>
      <c r="K115" s="676"/>
      <c r="L115" s="676"/>
      <c r="M115" s="698"/>
      <c r="N115" s="1148"/>
      <c r="O115" s="1148"/>
      <c r="P115" s="558"/>
      <c r="Q115" s="559"/>
    </row>
    <row r="116" spans="1:17">
      <c r="A116" s="527" t="s">
        <v>2476</v>
      </c>
      <c r="B116" s="528" t="s">
        <v>2703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2704</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2705</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2706</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2707</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699"/>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2656</v>
      </c>
      <c r="B1" s="395"/>
      <c r="C1" s="396" t="s">
        <v>2708</v>
      </c>
      <c r="D1" s="754"/>
      <c r="E1" s="754"/>
      <c r="F1" s="753" t="s">
        <v>2555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2240</v>
      </c>
      <c r="B2" s="670" t="e">
        <f>F61</f>
        <v>#DIV/0!</v>
      </c>
      <c r="C2" s="1120"/>
      <c r="D2" s="1120"/>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8" customFormat="1" ht="28.5" customHeight="1" thickBot="1">
      <c r="A3" s="247" t="s">
        <v>2242</v>
      </c>
      <c r="B3" s="609" t="e">
        <f>ROUND(IF(D3="",B2*10000/'数据-汇总表'!E3,B2*10000/D3),0)</f>
        <v>#DIV/0!</v>
      </c>
      <c r="C3" s="247" t="s">
        <v>2658</v>
      </c>
      <c r="D3" s="1569"/>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1" t="s">
        <v>2557</v>
      </c>
      <c r="B4" s="402"/>
      <c r="C4" s="3280" t="s">
        <v>2558</v>
      </c>
      <c r="D4" s="3281"/>
      <c r="E4" s="3282" t="s">
        <v>2559</v>
      </c>
      <c r="F4" s="3283"/>
      <c r="G4" s="3280" t="s">
        <v>2560</v>
      </c>
      <c r="H4" s="3281"/>
      <c r="I4" s="3280" t="s">
        <v>2561</v>
      </c>
      <c r="J4" s="3281"/>
      <c r="K4" s="610" t="s">
        <v>2562</v>
      </c>
      <c r="L4" s="1125"/>
      <c r="M4" s="1126"/>
      <c r="N4" s="1126"/>
      <c r="O4" s="1126"/>
      <c r="P4" s="3284" t="s">
        <v>2563</v>
      </c>
      <c r="Q4" s="3285"/>
      <c r="R4" s="3290" t="s">
        <v>2559</v>
      </c>
      <c r="S4" s="3291"/>
      <c r="T4" s="3290" t="s">
        <v>2560</v>
      </c>
      <c r="U4" s="3291"/>
      <c r="V4" s="3296" t="s">
        <v>2561</v>
      </c>
      <c r="W4" s="3296"/>
      <c r="X4" s="1799"/>
      <c r="Y4" s="3290" t="s">
        <v>2563</v>
      </c>
      <c r="Z4" s="3291"/>
      <c r="AA4" s="3277" t="s">
        <v>2559</v>
      </c>
      <c r="AB4" s="3278" t="s">
        <v>2560</v>
      </c>
      <c r="AC4" s="3277" t="s">
        <v>2561</v>
      </c>
    </row>
    <row r="5" spans="1:29" ht="15">
      <c r="A5" s="404"/>
      <c r="B5" s="405"/>
      <c r="C5" s="3304" t="s">
        <v>2455</v>
      </c>
      <c r="D5" s="3300"/>
      <c r="E5" s="3356" t="s">
        <v>2456</v>
      </c>
      <c r="F5" s="3306"/>
      <c r="G5" s="3304" t="s">
        <v>2457</v>
      </c>
      <c r="H5" s="3300"/>
      <c r="I5" s="3304" t="s">
        <v>2458</v>
      </c>
      <c r="J5" s="3300"/>
      <c r="K5" s="610"/>
      <c r="L5" s="1125"/>
      <c r="M5" s="1126"/>
      <c r="N5" s="1126"/>
      <c r="O5" s="1126"/>
      <c r="P5" s="3286"/>
      <c r="Q5" s="3287"/>
      <c r="R5" s="3292"/>
      <c r="S5" s="3293"/>
      <c r="T5" s="3292"/>
      <c r="U5" s="3293"/>
      <c r="V5" s="3296"/>
      <c r="W5" s="3296"/>
      <c r="X5" s="1799"/>
      <c r="Y5" s="3292"/>
      <c r="Z5" s="3293"/>
      <c r="AA5" s="3278"/>
      <c r="AB5" s="3278"/>
      <c r="AC5" s="3278"/>
    </row>
    <row r="6" spans="1:29" ht="15.75" thickBot="1">
      <c r="A6" s="406"/>
      <c r="B6" s="407"/>
      <c r="C6" s="3362" t="s">
        <v>2709</v>
      </c>
      <c r="D6" s="3363"/>
      <c r="E6" s="3364" t="s">
        <v>2709</v>
      </c>
      <c r="F6" s="3365"/>
      <c r="G6" s="3362" t="s">
        <v>2709</v>
      </c>
      <c r="H6" s="3363"/>
      <c r="I6" s="3362" t="s">
        <v>2709</v>
      </c>
      <c r="J6" s="3363"/>
      <c r="K6" s="610" t="s">
        <v>2460</v>
      </c>
      <c r="L6" s="1125"/>
      <c r="M6" s="1126"/>
      <c r="N6" s="1126"/>
      <c r="O6" s="1126"/>
      <c r="P6" s="3288"/>
      <c r="Q6" s="3289"/>
      <c r="R6" s="3292"/>
      <c r="S6" s="3293"/>
      <c r="T6" s="3294"/>
      <c r="U6" s="3295"/>
      <c r="V6" s="3296"/>
      <c r="W6" s="3296"/>
      <c r="X6" s="1799"/>
      <c r="Y6" s="3294"/>
      <c r="Z6" s="3295"/>
      <c r="AA6" s="3279"/>
      <c r="AB6" s="3279"/>
      <c r="AC6" s="3279"/>
    </row>
    <row r="7" spans="1:29" s="117" customFormat="1" ht="15.75" thickBot="1">
      <c r="A7" s="408" t="s">
        <v>2461</v>
      </c>
      <c r="B7" s="409"/>
      <c r="C7" s="410">
        <f>'数据-取费表'!B2</f>
        <v>43161</v>
      </c>
      <c r="D7" s="411">
        <v>100</v>
      </c>
      <c r="E7" s="412"/>
      <c r="F7" s="413">
        <f>SUMIF(65:65,YEAR(E7)&amp;"-"&amp;INT((MONTH(E7)+2)/3),66:66)</f>
        <v>0</v>
      </c>
      <c r="G7" s="2579"/>
      <c r="H7" s="411">
        <f>SUMIF(65:65,YEAR(G7)&amp;"-"&amp;INT((MONTH(G7)+2)/3),66:66)</f>
        <v>0</v>
      </c>
      <c r="I7" s="2579"/>
      <c r="J7" s="411">
        <f>SUMIF(65:65,YEAR(I7)&amp;"-"&amp;INT((MONTH(I7)+2)/3),66:66)</f>
        <v>0</v>
      </c>
      <c r="K7" s="611"/>
      <c r="L7" s="1127"/>
      <c r="M7" s="1128"/>
      <c r="N7" s="1128"/>
      <c r="O7" s="1128"/>
      <c r="P7" s="3301" t="s">
        <v>2462</v>
      </c>
      <c r="Q7" s="3303"/>
      <c r="R7" s="769" t="s">
        <v>17</v>
      </c>
      <c r="S7" s="770">
        <f t="shared" ref="S7:S15" si="0">F7</f>
        <v>0</v>
      </c>
      <c r="T7" s="769" t="s">
        <v>17</v>
      </c>
      <c r="U7" s="770">
        <f t="shared" ref="U7:U15" si="1">H7</f>
        <v>0</v>
      </c>
      <c r="V7" s="769" t="s">
        <v>17</v>
      </c>
      <c r="W7" s="770">
        <f t="shared" ref="W7:W15" si="2">J7</f>
        <v>0</v>
      </c>
      <c r="X7" s="771"/>
      <c r="Y7" s="3301" t="s">
        <v>2462</v>
      </c>
      <c r="Z7" s="3302"/>
      <c r="AA7" s="772" t="e">
        <f>D7/F7</f>
        <v>#DIV/0!</v>
      </c>
      <c r="AB7" s="772" t="e">
        <f>D7/H7</f>
        <v>#DIV/0!</v>
      </c>
      <c r="AC7" s="772" t="e">
        <f>D7/J7</f>
        <v>#DIV/0!</v>
      </c>
    </row>
    <row r="8" spans="1:29" s="117" customFormat="1" ht="15.75" thickBot="1">
      <c r="A8" s="408" t="s">
        <v>2463</v>
      </c>
      <c r="B8" s="409"/>
      <c r="C8" s="414" t="s">
        <v>2464</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301" t="s">
        <v>2465</v>
      </c>
      <c r="Q8" s="3302"/>
      <c r="R8" s="769" t="s">
        <v>17</v>
      </c>
      <c r="S8" s="770">
        <f t="shared" si="0"/>
        <v>0</v>
      </c>
      <c r="T8" s="769" t="s">
        <v>17</v>
      </c>
      <c r="U8" s="770">
        <f t="shared" si="1"/>
        <v>0</v>
      </c>
      <c r="V8" s="769" t="s">
        <v>17</v>
      </c>
      <c r="W8" s="770">
        <f t="shared" si="2"/>
        <v>0</v>
      </c>
      <c r="X8" s="771"/>
      <c r="Y8" s="3301" t="s">
        <v>2465</v>
      </c>
      <c r="Z8" s="3302"/>
      <c r="AA8" s="772" t="e">
        <f t="shared" ref="AA8:AA40" si="3">D8/F8</f>
        <v>#DIV/0!</v>
      </c>
      <c r="AB8" s="772" t="e">
        <f t="shared" ref="AB8:AB40" si="4">D8/H8</f>
        <v>#DIV/0!</v>
      </c>
      <c r="AC8" s="772" t="e">
        <f t="shared" ref="AC8:AC40" si="5">D8/J8</f>
        <v>#DIV/0!</v>
      </c>
    </row>
    <row r="9" spans="1:29" s="117" customFormat="1">
      <c r="A9" s="415" t="s">
        <v>2466</v>
      </c>
      <c r="B9" s="71" t="s">
        <v>2467</v>
      </c>
      <c r="C9" s="2582"/>
      <c r="D9" s="135">
        <v>100</v>
      </c>
      <c r="E9" s="2582"/>
      <c r="F9" s="135">
        <f>SUMIF(70:70,E9,71:71)-SUMIF(70:70,C9,71:71)+100</f>
        <v>100</v>
      </c>
      <c r="G9" s="2582"/>
      <c r="H9" s="135">
        <f>SUMIF(70:70,G9,71:71)-SUMIF(70:70,C9,71:71)+100</f>
        <v>100</v>
      </c>
      <c r="I9" s="2582"/>
      <c r="J9" s="135">
        <f>SUMIF(70:70,I9,71:71)-SUMIF(70:70,C9,71:71)+100</f>
        <v>100</v>
      </c>
      <c r="K9" s="611"/>
      <c r="L9" s="1127"/>
      <c r="M9" s="1128"/>
      <c r="N9" s="1128"/>
      <c r="O9" s="1129"/>
      <c r="P9" s="3265" t="s">
        <v>2468</v>
      </c>
      <c r="Q9" s="1781" t="str">
        <f t="shared" ref="Q9:Q15" si="6">B9</f>
        <v>用途</v>
      </c>
      <c r="R9" s="769" t="s">
        <v>17</v>
      </c>
      <c r="S9" s="770">
        <f t="shared" si="0"/>
        <v>100</v>
      </c>
      <c r="T9" s="769" t="s">
        <v>17</v>
      </c>
      <c r="U9" s="770">
        <f t="shared" si="1"/>
        <v>100</v>
      </c>
      <c r="V9" s="769" t="s">
        <v>17</v>
      </c>
      <c r="W9" s="770">
        <f t="shared" si="2"/>
        <v>100</v>
      </c>
      <c r="X9" s="771"/>
      <c r="Y9" s="3142" t="s">
        <v>2469</v>
      </c>
      <c r="Z9" s="55" t="str">
        <f t="shared" ref="Z9:Z15" si="7">Q9</f>
        <v>用途</v>
      </c>
      <c r="AA9" s="772">
        <f t="shared" si="3"/>
        <v>1</v>
      </c>
      <c r="AB9" s="772">
        <f t="shared" si="4"/>
        <v>1</v>
      </c>
      <c r="AC9" s="772">
        <f t="shared" si="5"/>
        <v>1</v>
      </c>
    </row>
    <row r="10" spans="1:29" s="427" customFormat="1" ht="27">
      <c r="A10" s="421"/>
      <c r="B10" s="422" t="s">
        <v>2470</v>
      </c>
      <c r="C10" s="432"/>
      <c r="D10" s="136">
        <v>100</v>
      </c>
      <c r="E10" s="432"/>
      <c r="F10" s="136">
        <f>ROUND(100/'数据-取费表'!G16,0)</f>
        <v>107</v>
      </c>
      <c r="G10" s="432"/>
      <c r="H10" s="136">
        <f>ROUND(100/'数据-取费表'!G16,0)</f>
        <v>107</v>
      </c>
      <c r="I10" s="432"/>
      <c r="J10" s="136">
        <f>ROUND(100/'数据-取费表'!G16,0)</f>
        <v>107</v>
      </c>
      <c r="K10" s="671"/>
      <c r="L10" s="1130"/>
      <c r="M10" s="1131"/>
      <c r="N10" s="1131"/>
      <c r="O10" s="1132"/>
      <c r="P10" s="3265"/>
      <c r="Q10" s="1781" t="str">
        <f t="shared" si="6"/>
        <v>土地使用年限（年）</v>
      </c>
      <c r="R10" s="769" t="s">
        <v>17</v>
      </c>
      <c r="S10" s="770">
        <f t="shared" si="0"/>
        <v>107</v>
      </c>
      <c r="T10" s="769" t="s">
        <v>17</v>
      </c>
      <c r="U10" s="770">
        <f t="shared" si="1"/>
        <v>107</v>
      </c>
      <c r="V10" s="769" t="s">
        <v>17</v>
      </c>
      <c r="W10" s="770">
        <f t="shared" si="2"/>
        <v>107</v>
      </c>
      <c r="X10" s="771"/>
      <c r="Y10" s="3142"/>
      <c r="Z10" s="55" t="str">
        <f t="shared" si="7"/>
        <v>土地使用年限（年）</v>
      </c>
      <c r="AA10" s="772">
        <f t="shared" si="3"/>
        <v>0.93457943925233644</v>
      </c>
      <c r="AB10" s="772">
        <f t="shared" si="4"/>
        <v>0.93457943925233644</v>
      </c>
      <c r="AC10" s="772">
        <f t="shared" si="5"/>
        <v>0.93457943925233644</v>
      </c>
    </row>
    <row r="11" spans="1:29" ht="15">
      <c r="A11" s="428"/>
      <c r="B11" s="422" t="s">
        <v>2471</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3"/>
      <c r="M11" s="1126"/>
      <c r="N11" s="1126"/>
      <c r="O11" s="1134"/>
      <c r="P11" s="3265"/>
      <c r="Q11" s="1781" t="str">
        <f t="shared" si="6"/>
        <v>容积率</v>
      </c>
      <c r="R11" s="769" t="s">
        <v>17</v>
      </c>
      <c r="S11" s="770" t="e">
        <f t="shared" si="0"/>
        <v>#N/A</v>
      </c>
      <c r="T11" s="769" t="s">
        <v>17</v>
      </c>
      <c r="U11" s="770" t="e">
        <f t="shared" si="1"/>
        <v>#N/A</v>
      </c>
      <c r="V11" s="769" t="s">
        <v>17</v>
      </c>
      <c r="W11" s="770" t="e">
        <f t="shared" si="2"/>
        <v>#N/A</v>
      </c>
      <c r="X11" s="771"/>
      <c r="Y11" s="3142"/>
      <c r="Z11" s="55" t="str">
        <f t="shared" si="7"/>
        <v>容积率</v>
      </c>
      <c r="AA11" s="772" t="e">
        <f t="shared" si="3"/>
        <v>#N/A</v>
      </c>
      <c r="AB11" s="772" t="e">
        <f t="shared" si="4"/>
        <v>#N/A</v>
      </c>
      <c r="AC11" s="772" t="e">
        <f t="shared" si="5"/>
        <v>#N/A</v>
      </c>
    </row>
    <row r="12" spans="1:29" s="117" customFormat="1" ht="15">
      <c r="A12" s="431"/>
      <c r="B12" s="2485">
        <v>111</v>
      </c>
      <c r="C12" s="432"/>
      <c r="D12" s="433">
        <v>100</v>
      </c>
      <c r="E12" s="549"/>
      <c r="F12" s="136">
        <f>SUMIF(77:77,E12,78:78)-SUMIF(77:77,C12,78:78)+100</f>
        <v>100</v>
      </c>
      <c r="G12" s="673"/>
      <c r="H12" s="136">
        <f>SUMIF(77:77,G12,78:78)-SUMIF(77:77,C12,78:78)+100</f>
        <v>100</v>
      </c>
      <c r="I12" s="549"/>
      <c r="J12" s="136">
        <f>SUMIF(77:77,I12,78:78)-SUMIF(77:77,C12,78:78)+100</f>
        <v>100</v>
      </c>
      <c r="K12" s="671"/>
      <c r="L12" s="1127"/>
      <c r="M12" s="1128"/>
      <c r="N12" s="1128"/>
      <c r="O12" s="1129"/>
      <c r="P12" s="3265"/>
      <c r="Q12" s="1781">
        <f t="shared" si="6"/>
        <v>111</v>
      </c>
      <c r="R12" s="769" t="s">
        <v>17</v>
      </c>
      <c r="S12" s="770">
        <f t="shared" si="0"/>
        <v>100</v>
      </c>
      <c r="T12" s="769" t="s">
        <v>17</v>
      </c>
      <c r="U12" s="770">
        <f t="shared" si="1"/>
        <v>100</v>
      </c>
      <c r="V12" s="769" t="s">
        <v>17</v>
      </c>
      <c r="W12" s="770">
        <f t="shared" si="2"/>
        <v>100</v>
      </c>
      <c r="X12" s="771"/>
      <c r="Y12" s="3142"/>
      <c r="Z12" s="55">
        <f t="shared" si="7"/>
        <v>111</v>
      </c>
      <c r="AA12" s="772">
        <f>D12/F12</f>
        <v>1</v>
      </c>
      <c r="AB12" s="772">
        <f>D12/H12</f>
        <v>1</v>
      </c>
      <c r="AC12" s="772">
        <f>D12/J12</f>
        <v>1</v>
      </c>
    </row>
    <row r="13" spans="1:29" ht="15">
      <c r="A13" s="428"/>
      <c r="B13" s="2485">
        <v>111</v>
      </c>
      <c r="C13" s="434"/>
      <c r="D13" s="435">
        <v>100</v>
      </c>
      <c r="E13" s="549"/>
      <c r="F13" s="136">
        <f>SUMIF(79:79,E13,80:80)-SUMIF(79:79,C13,80:80)+100</f>
        <v>100</v>
      </c>
      <c r="G13" s="673"/>
      <c r="H13" s="435">
        <f>SUMIF(79:79,G13,80:80)-SUMIF(79:79,C13,80:80)+100</f>
        <v>100</v>
      </c>
      <c r="I13" s="549"/>
      <c r="J13" s="435">
        <f>SUMIF(79:79,I13,80:80)-SUMIF(79:79,C13,80:80)+100</f>
        <v>100</v>
      </c>
      <c r="K13" s="671"/>
      <c r="L13" s="1135"/>
      <c r="M13" s="1126"/>
      <c r="N13" s="1126"/>
      <c r="O13" s="1134"/>
      <c r="P13" s="3265"/>
      <c r="Q13" s="1781">
        <f t="shared" si="6"/>
        <v>111</v>
      </c>
      <c r="R13" s="769" t="s">
        <v>17</v>
      </c>
      <c r="S13" s="770">
        <f t="shared" si="0"/>
        <v>100</v>
      </c>
      <c r="T13" s="769" t="s">
        <v>17</v>
      </c>
      <c r="U13" s="770">
        <f t="shared" si="1"/>
        <v>100</v>
      </c>
      <c r="V13" s="769" t="s">
        <v>17</v>
      </c>
      <c r="W13" s="770">
        <f t="shared" si="2"/>
        <v>100</v>
      </c>
      <c r="X13" s="771"/>
      <c r="Y13" s="3142"/>
      <c r="Z13" s="55">
        <f t="shared" si="7"/>
        <v>111</v>
      </c>
      <c r="AA13" s="772">
        <f t="shared" si="3"/>
        <v>1</v>
      </c>
      <c r="AB13" s="772">
        <f t="shared" si="4"/>
        <v>1</v>
      </c>
      <c r="AC13" s="772">
        <f t="shared" si="5"/>
        <v>1</v>
      </c>
    </row>
    <row r="14" spans="1:29" ht="15.75" thickBot="1">
      <c r="A14" s="436"/>
      <c r="B14" s="2487">
        <v>111</v>
      </c>
      <c r="C14" s="437"/>
      <c r="D14" s="438">
        <v>100</v>
      </c>
      <c r="E14" s="549"/>
      <c r="F14" s="438">
        <f>SUMIF(81:81,E14,82:82)-SUMIF(81:81,C14,82:82)+100</f>
        <v>100</v>
      </c>
      <c r="G14" s="673"/>
      <c r="H14" s="438">
        <f>SUMIF(81:81,G14,82:82)-SUMIF(81:81,C14,82:82)+100</f>
        <v>100</v>
      </c>
      <c r="I14" s="549"/>
      <c r="J14" s="438">
        <f>SUMIF(81:81,I14,82:82)-SUMIF(81:81,C14,82:82)+100</f>
        <v>100</v>
      </c>
      <c r="K14" s="671"/>
      <c r="L14" s="1135"/>
      <c r="M14" s="1126"/>
      <c r="N14" s="1126"/>
      <c r="O14" s="1134"/>
      <c r="P14" s="3265"/>
      <c r="Q14" s="1781">
        <f t="shared" si="6"/>
        <v>111</v>
      </c>
      <c r="R14" s="769" t="s">
        <v>17</v>
      </c>
      <c r="S14" s="770">
        <f t="shared" si="0"/>
        <v>100</v>
      </c>
      <c r="T14" s="769" t="s">
        <v>17</v>
      </c>
      <c r="U14" s="770">
        <f t="shared" si="1"/>
        <v>100</v>
      </c>
      <c r="V14" s="769" t="s">
        <v>17</v>
      </c>
      <c r="W14" s="770">
        <f t="shared" si="2"/>
        <v>100</v>
      </c>
      <c r="X14" s="771"/>
      <c r="Y14" s="3142"/>
      <c r="Z14" s="55">
        <f t="shared" si="7"/>
        <v>111</v>
      </c>
      <c r="AA14" s="772">
        <f t="shared" si="3"/>
        <v>1</v>
      </c>
      <c r="AB14" s="772">
        <f t="shared" si="4"/>
        <v>1</v>
      </c>
      <c r="AC14" s="772">
        <f t="shared" si="5"/>
        <v>1</v>
      </c>
    </row>
    <row r="15" spans="1:29" ht="15">
      <c r="A15" s="440" t="s">
        <v>2472</v>
      </c>
      <c r="B15" s="628" t="s">
        <v>2710</v>
      </c>
      <c r="C15" s="2576">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5"/>
      <c r="M15" s="1126"/>
      <c r="N15" s="1126"/>
      <c r="O15" s="1134"/>
      <c r="P15" s="3267" t="s">
        <v>2473</v>
      </c>
      <c r="Q15" s="1796" t="str">
        <f t="shared" si="6"/>
        <v>产业集聚程度</v>
      </c>
      <c r="R15" s="773" t="s">
        <v>17</v>
      </c>
      <c r="S15" s="774">
        <f t="shared" si="0"/>
        <v>100</v>
      </c>
      <c r="T15" s="773" t="s">
        <v>17</v>
      </c>
      <c r="U15" s="774">
        <f t="shared" si="1"/>
        <v>100</v>
      </c>
      <c r="V15" s="773" t="s">
        <v>17</v>
      </c>
      <c r="W15" s="774">
        <f t="shared" si="2"/>
        <v>100</v>
      </c>
      <c r="X15" s="1799"/>
      <c r="Y15" s="3267" t="s">
        <v>2473</v>
      </c>
      <c r="Z15" s="1800" t="str">
        <f t="shared" si="7"/>
        <v>产业集聚程度</v>
      </c>
      <c r="AA15" s="1797">
        <f t="shared" si="3"/>
        <v>1</v>
      </c>
      <c r="AB15" s="1797">
        <f t="shared" si="4"/>
        <v>1</v>
      </c>
      <c r="AC15" s="1797">
        <f t="shared" si="5"/>
        <v>1</v>
      </c>
    </row>
    <row r="16" spans="1:29" ht="15">
      <c r="A16" s="428"/>
      <c r="B16" s="629"/>
      <c r="C16" s="447"/>
      <c r="D16" s="448"/>
      <c r="E16" s="2496"/>
      <c r="F16" s="448"/>
      <c r="G16" s="2496"/>
      <c r="H16" s="450"/>
      <c r="I16" s="2496"/>
      <c r="J16" s="448"/>
      <c r="K16" s="671"/>
      <c r="L16" s="1135"/>
      <c r="M16" s="1126"/>
      <c r="N16" s="1126"/>
      <c r="O16" s="1134"/>
      <c r="P16" s="3268"/>
      <c r="Q16" s="1796"/>
      <c r="R16" s="773"/>
      <c r="S16" s="774"/>
      <c r="T16" s="773"/>
      <c r="U16" s="774"/>
      <c r="V16" s="773"/>
      <c r="W16" s="774"/>
      <c r="X16" s="1799"/>
      <c r="Y16" s="3268"/>
      <c r="Z16" s="1800"/>
      <c r="AA16" s="1797">
        <v>1</v>
      </c>
      <c r="AB16" s="1797">
        <v>1</v>
      </c>
      <c r="AC16" s="1797">
        <v>1</v>
      </c>
    </row>
    <row r="17" spans="1:29" ht="15">
      <c r="A17" s="428"/>
      <c r="B17" s="630" t="s">
        <v>2621</v>
      </c>
      <c r="C17" s="2492">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5"/>
      <c r="M17" s="1126"/>
      <c r="N17" s="1126"/>
      <c r="O17" s="1134"/>
      <c r="P17" s="3268"/>
      <c r="Q17" s="1796" t="str">
        <f>B17</f>
        <v>交通便捷度</v>
      </c>
      <c r="R17" s="773" t="s">
        <v>17</v>
      </c>
      <c r="S17" s="774">
        <f>F17</f>
        <v>100</v>
      </c>
      <c r="T17" s="773" t="s">
        <v>17</v>
      </c>
      <c r="U17" s="774">
        <f>H17</f>
        <v>100</v>
      </c>
      <c r="V17" s="773" t="s">
        <v>17</v>
      </c>
      <c r="W17" s="774">
        <f>J17</f>
        <v>100</v>
      </c>
      <c r="X17" s="1799"/>
      <c r="Y17" s="3268"/>
      <c r="Z17" s="1800" t="str">
        <f>Q17</f>
        <v>交通便捷度</v>
      </c>
      <c r="AA17" s="1797">
        <f t="shared" si="3"/>
        <v>1</v>
      </c>
      <c r="AB17" s="1797">
        <f t="shared" si="4"/>
        <v>1</v>
      </c>
      <c r="AC17" s="1797">
        <f t="shared" si="5"/>
        <v>1</v>
      </c>
    </row>
    <row r="18" spans="1:29" ht="15">
      <c r="A18" s="428"/>
      <c r="B18" s="631"/>
      <c r="C18" s="447"/>
      <c r="D18" s="448"/>
      <c r="E18" s="2490"/>
      <c r="F18" s="448"/>
      <c r="G18" s="2490"/>
      <c r="H18" s="448"/>
      <c r="I18" s="2489"/>
      <c r="J18" s="448"/>
      <c r="K18" s="671"/>
      <c r="L18" s="1135"/>
      <c r="M18" s="1126"/>
      <c r="N18" s="1126"/>
      <c r="O18" s="1134"/>
      <c r="P18" s="3268"/>
      <c r="Q18" s="1796"/>
      <c r="R18" s="773"/>
      <c r="S18" s="774"/>
      <c r="T18" s="773"/>
      <c r="U18" s="774"/>
      <c r="V18" s="773"/>
      <c r="W18" s="774"/>
      <c r="X18" s="1799"/>
      <c r="Y18" s="3268"/>
      <c r="Z18" s="1800"/>
      <c r="AA18" s="1797">
        <v>1</v>
      </c>
      <c r="AB18" s="1797">
        <v>1</v>
      </c>
      <c r="AC18" s="1797">
        <v>1</v>
      </c>
    </row>
    <row r="19" spans="1:29" ht="15">
      <c r="A19" s="428"/>
      <c r="B19" s="630" t="s">
        <v>2660</v>
      </c>
      <c r="C19" s="249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5"/>
      <c r="M19" s="1126"/>
      <c r="N19" s="1126"/>
      <c r="O19" s="1134"/>
      <c r="P19" s="3268"/>
      <c r="Q19" s="1796" t="str">
        <f t="shared" ref="Q19:Q33" si="8">B19</f>
        <v>区域土地利用方向</v>
      </c>
      <c r="R19" s="773" t="s">
        <v>17</v>
      </c>
      <c r="S19" s="774">
        <f>F19</f>
        <v>100</v>
      </c>
      <c r="T19" s="773" t="s">
        <v>17</v>
      </c>
      <c r="U19" s="774">
        <f>H19</f>
        <v>100</v>
      </c>
      <c r="V19" s="773" t="s">
        <v>17</v>
      </c>
      <c r="W19" s="774">
        <f>J19</f>
        <v>100</v>
      </c>
      <c r="X19" s="1799"/>
      <c r="Y19" s="3268"/>
      <c r="Z19" s="1800" t="str">
        <f>Q19</f>
        <v>区域土地利用方向</v>
      </c>
      <c r="AA19" s="1797">
        <f t="shared" si="3"/>
        <v>1</v>
      </c>
      <c r="AB19" s="1797">
        <f t="shared" si="4"/>
        <v>1</v>
      </c>
      <c r="AC19" s="1797">
        <f t="shared" si="5"/>
        <v>1</v>
      </c>
    </row>
    <row r="20" spans="1:29" ht="15">
      <c r="A20" s="404"/>
      <c r="B20" s="631"/>
      <c r="C20" s="447"/>
      <c r="D20" s="448"/>
      <c r="E20" s="2490"/>
      <c r="F20" s="448"/>
      <c r="G20" s="2490"/>
      <c r="H20" s="448"/>
      <c r="I20" s="2490"/>
      <c r="J20" s="448"/>
      <c r="K20" s="810"/>
      <c r="L20" s="1135"/>
      <c r="M20" s="1126"/>
      <c r="N20" s="1126"/>
      <c r="O20" s="1134"/>
      <c r="P20" s="3268"/>
      <c r="Q20" s="1796"/>
      <c r="R20" s="773"/>
      <c r="S20" s="774"/>
      <c r="T20" s="773"/>
      <c r="U20" s="774"/>
      <c r="V20" s="773"/>
      <c r="W20" s="774"/>
      <c r="X20" s="1799"/>
      <c r="Y20" s="3268"/>
      <c r="Z20" s="1800"/>
      <c r="AA20" s="1797"/>
      <c r="AB20" s="1797"/>
      <c r="AC20" s="1797"/>
    </row>
    <row r="21" spans="1:29" ht="15">
      <c r="A21" s="404"/>
      <c r="B21" s="630" t="s">
        <v>2711</v>
      </c>
      <c r="C21" s="2492">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5"/>
      <c r="M21" s="1126"/>
      <c r="N21" s="1126"/>
      <c r="O21" s="1134"/>
      <c r="P21" s="3268"/>
      <c r="Q21" s="1796" t="str">
        <f t="shared" si="8"/>
        <v>环境状况</v>
      </c>
      <c r="R21" s="773" t="s">
        <v>17</v>
      </c>
      <c r="S21" s="774">
        <f>F21</f>
        <v>100</v>
      </c>
      <c r="T21" s="773" t="s">
        <v>17</v>
      </c>
      <c r="U21" s="774">
        <f>H21</f>
        <v>100</v>
      </c>
      <c r="V21" s="773" t="s">
        <v>17</v>
      </c>
      <c r="W21" s="774">
        <f>J21</f>
        <v>100</v>
      </c>
      <c r="X21" s="1799"/>
      <c r="Y21" s="3268"/>
      <c r="Z21" s="1800" t="str">
        <f>Q21</f>
        <v>环境状况</v>
      </c>
      <c r="AA21" s="1797">
        <f t="shared" si="3"/>
        <v>1</v>
      </c>
      <c r="AB21" s="1797">
        <f t="shared" si="4"/>
        <v>1</v>
      </c>
      <c r="AC21" s="1797">
        <f t="shared" si="5"/>
        <v>1</v>
      </c>
    </row>
    <row r="22" spans="1:29" ht="15">
      <c r="A22" s="404"/>
      <c r="B22" s="631"/>
      <c r="C22" s="447"/>
      <c r="D22" s="448"/>
      <c r="E22" s="2496"/>
      <c r="F22" s="448"/>
      <c r="G22" s="2496"/>
      <c r="H22" s="448"/>
      <c r="I22" s="447"/>
      <c r="J22" s="448"/>
      <c r="K22" s="671"/>
      <c r="L22" s="1135"/>
      <c r="M22" s="1126"/>
      <c r="N22" s="1126"/>
      <c r="O22" s="1134"/>
      <c r="P22" s="3268"/>
      <c r="Q22" s="1796"/>
      <c r="R22" s="773"/>
      <c r="S22" s="774"/>
      <c r="T22" s="773"/>
      <c r="U22" s="774"/>
      <c r="V22" s="773"/>
      <c r="W22" s="774"/>
      <c r="X22" s="1799"/>
      <c r="Y22" s="3268"/>
      <c r="Z22" s="1800"/>
      <c r="AA22" s="1797">
        <v>1</v>
      </c>
      <c r="AB22" s="1797">
        <v>1</v>
      </c>
      <c r="AC22" s="1797">
        <v>1</v>
      </c>
    </row>
    <row r="23" spans="1:29" s="117" customFormat="1" ht="15">
      <c r="A23" s="648"/>
      <c r="B23" s="632" t="s">
        <v>2566</v>
      </c>
      <c r="C23" s="2492">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7"/>
      <c r="M23" s="1128"/>
      <c r="N23" s="1128"/>
      <c r="O23" s="1129"/>
      <c r="P23" s="3268"/>
      <c r="Q23" s="1781" t="str">
        <f t="shared" si="8"/>
        <v>公共配套设施</v>
      </c>
      <c r="R23" s="769" t="s">
        <v>17</v>
      </c>
      <c r="S23" s="770">
        <f>F23</f>
        <v>100</v>
      </c>
      <c r="T23" s="769" t="s">
        <v>17</v>
      </c>
      <c r="U23" s="770">
        <f>H23</f>
        <v>100</v>
      </c>
      <c r="V23" s="769" t="s">
        <v>17</v>
      </c>
      <c r="W23" s="770">
        <f>J23</f>
        <v>100</v>
      </c>
      <c r="X23" s="771"/>
      <c r="Y23" s="3268"/>
      <c r="Z23" s="55" t="str">
        <f>Q23</f>
        <v>公共配套设施</v>
      </c>
      <c r="AA23" s="1797">
        <f>D23/F23</f>
        <v>1</v>
      </c>
      <c r="AB23" s="1797">
        <f>D23/H23</f>
        <v>1</v>
      </c>
      <c r="AC23" s="1797">
        <f>D23/J23</f>
        <v>1</v>
      </c>
    </row>
    <row r="24" spans="1:29" s="117" customFormat="1" ht="15">
      <c r="A24" s="648"/>
      <c r="B24" s="631"/>
      <c r="C24" s="2583"/>
      <c r="D24" s="448"/>
      <c r="E24" s="2496"/>
      <c r="F24" s="448"/>
      <c r="G24" s="2496"/>
      <c r="H24" s="448"/>
      <c r="I24" s="447"/>
      <c r="J24" s="448"/>
      <c r="K24" s="671"/>
      <c r="L24" s="1127"/>
      <c r="M24" s="1128"/>
      <c r="N24" s="1128"/>
      <c r="O24" s="1129"/>
      <c r="P24" s="3268"/>
      <c r="Q24" s="1781"/>
      <c r="R24" s="769"/>
      <c r="S24" s="770"/>
      <c r="T24" s="769"/>
      <c r="U24" s="770"/>
      <c r="V24" s="769"/>
      <c r="W24" s="770"/>
      <c r="X24" s="771"/>
      <c r="Y24" s="3268"/>
      <c r="Z24" s="55"/>
      <c r="AA24" s="772">
        <v>1</v>
      </c>
      <c r="AB24" s="772">
        <v>1</v>
      </c>
      <c r="AC24" s="772">
        <v>1</v>
      </c>
    </row>
    <row r="25" spans="1:29" s="117" customFormat="1" ht="15">
      <c r="A25" s="648"/>
      <c r="B25" s="632" t="s">
        <v>2567</v>
      </c>
      <c r="C25" s="2492">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7"/>
      <c r="M25" s="1128"/>
      <c r="N25" s="1128"/>
      <c r="O25" s="1129"/>
      <c r="P25" s="3268"/>
      <c r="Q25" s="1781" t="str">
        <f t="shared" ref="Q25" si="9">B25</f>
        <v>基础设施水平</v>
      </c>
      <c r="R25" s="769" t="s">
        <v>17</v>
      </c>
      <c r="S25" s="770">
        <f>F25</f>
        <v>100</v>
      </c>
      <c r="T25" s="769" t="s">
        <v>17</v>
      </c>
      <c r="U25" s="770">
        <f>H25</f>
        <v>100</v>
      </c>
      <c r="V25" s="769" t="s">
        <v>17</v>
      </c>
      <c r="W25" s="770">
        <f>J25</f>
        <v>100</v>
      </c>
      <c r="X25" s="771"/>
      <c r="Y25" s="3268"/>
      <c r="Z25" s="55" t="str">
        <f>Q25</f>
        <v>基础设施水平</v>
      </c>
      <c r="AA25" s="1797">
        <f>D25/F25</f>
        <v>1</v>
      </c>
      <c r="AB25" s="1797">
        <f>D25/H25</f>
        <v>1</v>
      </c>
      <c r="AC25" s="1797">
        <f>D25/J25</f>
        <v>1</v>
      </c>
    </row>
    <row r="26" spans="1:29" s="117" customFormat="1" ht="15">
      <c r="A26" s="648"/>
      <c r="B26" s="631"/>
      <c r="C26" s="2583"/>
      <c r="D26" s="448"/>
      <c r="E26" s="2584"/>
      <c r="F26" s="448"/>
      <c r="G26" s="2584"/>
      <c r="H26" s="448"/>
      <c r="I26" s="2584"/>
      <c r="J26" s="448"/>
      <c r="K26" s="671"/>
      <c r="L26" s="1127"/>
      <c r="M26" s="1128"/>
      <c r="N26" s="1128"/>
      <c r="O26" s="1129"/>
      <c r="P26" s="3268"/>
      <c r="Q26" s="1781"/>
      <c r="R26" s="769"/>
      <c r="S26" s="770"/>
      <c r="T26" s="769"/>
      <c r="U26" s="770"/>
      <c r="V26" s="769"/>
      <c r="W26" s="770"/>
      <c r="X26" s="771"/>
      <c r="Y26" s="3268"/>
      <c r="Z26" s="55"/>
      <c r="AA26" s="772">
        <v>1</v>
      </c>
      <c r="AB26" s="772">
        <v>1</v>
      </c>
      <c r="AC26" s="772">
        <v>1</v>
      </c>
    </row>
    <row r="27" spans="1:29" ht="15">
      <c r="A27" s="428"/>
      <c r="B27" s="631" t="s">
        <v>2568</v>
      </c>
      <c r="C27" s="616"/>
      <c r="D27" s="435">
        <v>100</v>
      </c>
      <c r="E27" s="633"/>
      <c r="F27" s="435">
        <f>SUMIF(95:95,E27,96:96)-SUMIF(95:95,C27,96:96)+100</f>
        <v>100</v>
      </c>
      <c r="G27" s="633"/>
      <c r="H27" s="435">
        <f>SUMIF(95:95,G27,96:96)-SUMIF(95:95,C27,96:96)+100</f>
        <v>100</v>
      </c>
      <c r="I27" s="633"/>
      <c r="J27" s="435">
        <f>SUMIF(95:95,I27,96:96)-SUMIF(95:95,C27,96:96)+100</f>
        <v>100</v>
      </c>
      <c r="K27" s="672"/>
      <c r="L27" s="1135"/>
      <c r="M27" s="1126"/>
      <c r="N27" s="1126"/>
      <c r="O27" s="1134"/>
      <c r="P27" s="3268"/>
      <c r="Q27" s="1796" t="str">
        <f t="shared" si="8"/>
        <v>临街状况</v>
      </c>
      <c r="R27" s="773" t="s">
        <v>17</v>
      </c>
      <c r="S27" s="774">
        <f t="shared" ref="S27:S40" si="10">F27</f>
        <v>100</v>
      </c>
      <c r="T27" s="773" t="s">
        <v>17</v>
      </c>
      <c r="U27" s="774">
        <f t="shared" ref="U27:U40" si="11">H27</f>
        <v>100</v>
      </c>
      <c r="V27" s="773" t="s">
        <v>17</v>
      </c>
      <c r="W27" s="774">
        <f t="shared" ref="W27:W40" si="12">J27</f>
        <v>100</v>
      </c>
      <c r="X27" s="1799"/>
      <c r="Y27" s="3268"/>
      <c r="Z27" s="1800" t="str">
        <f t="shared" ref="Z27:Z40" si="13">Q27</f>
        <v>临街状况</v>
      </c>
      <c r="AA27" s="1797">
        <f t="shared" si="3"/>
        <v>1</v>
      </c>
      <c r="AB27" s="1797">
        <f t="shared" si="4"/>
        <v>1</v>
      </c>
      <c r="AC27" s="1797">
        <f t="shared" si="5"/>
        <v>1</v>
      </c>
    </row>
    <row r="28" spans="1:29" ht="27">
      <c r="A28" s="428"/>
      <c r="B28" s="632" t="s">
        <v>2603</v>
      </c>
      <c r="C28" s="2596">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5"/>
      <c r="M28" s="1126"/>
      <c r="N28" s="1126"/>
      <c r="O28" s="1134"/>
      <c r="P28" s="3268"/>
      <c r="Q28" s="1796" t="str">
        <f t="shared" si="8"/>
        <v>毗邻道路的类型与等级</v>
      </c>
      <c r="R28" s="773" t="s">
        <v>17</v>
      </c>
      <c r="S28" s="774">
        <f t="shared" si="10"/>
        <v>100</v>
      </c>
      <c r="T28" s="773" t="s">
        <v>17</v>
      </c>
      <c r="U28" s="774">
        <f t="shared" si="11"/>
        <v>100</v>
      </c>
      <c r="V28" s="773" t="s">
        <v>17</v>
      </c>
      <c r="W28" s="774">
        <f t="shared" si="12"/>
        <v>100</v>
      </c>
      <c r="X28" s="1799"/>
      <c r="Y28" s="3268"/>
      <c r="Z28" s="1800" t="str">
        <f t="shared" si="13"/>
        <v>毗邻道路的类型与等级</v>
      </c>
      <c r="AA28" s="1797">
        <f t="shared" si="3"/>
        <v>1</v>
      </c>
      <c r="AB28" s="1797">
        <f t="shared" si="4"/>
        <v>1</v>
      </c>
      <c r="AC28" s="1797">
        <f t="shared" si="5"/>
        <v>1</v>
      </c>
    </row>
    <row r="29" spans="1:29" ht="15">
      <c r="A29" s="428"/>
      <c r="B29" s="631"/>
      <c r="C29" s="447"/>
      <c r="D29" s="448"/>
      <c r="E29" s="2496"/>
      <c r="F29" s="448"/>
      <c r="G29" s="2496"/>
      <c r="H29" s="448"/>
      <c r="I29" s="2496"/>
      <c r="J29" s="448"/>
      <c r="K29" s="613"/>
      <c r="L29" s="1135"/>
      <c r="M29" s="1126"/>
      <c r="N29" s="1126"/>
      <c r="O29" s="1134"/>
      <c r="P29" s="3268"/>
      <c r="Q29" s="1796"/>
      <c r="R29" s="773"/>
      <c r="S29" s="774"/>
      <c r="T29" s="773"/>
      <c r="U29" s="774"/>
      <c r="V29" s="773"/>
      <c r="W29" s="774"/>
      <c r="X29" s="1799"/>
      <c r="Y29" s="3268"/>
      <c r="Z29" s="1800"/>
      <c r="AA29" s="1797">
        <v>1</v>
      </c>
      <c r="AB29" s="1797">
        <v>1</v>
      </c>
      <c r="AC29" s="1797">
        <v>1</v>
      </c>
    </row>
    <row r="30" spans="1:29" ht="15">
      <c r="A30" s="428"/>
      <c r="B30" s="653" t="s">
        <v>2662</v>
      </c>
      <c r="C30" s="1376">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5"/>
      <c r="M30" s="1126"/>
      <c r="N30" s="1126"/>
      <c r="O30" s="1134"/>
      <c r="P30" s="3268"/>
      <c r="Q30" s="1796" t="str">
        <f t="shared" si="8"/>
        <v>土地级别</v>
      </c>
      <c r="R30" s="773" t="s">
        <v>17</v>
      </c>
      <c r="S30" s="774">
        <f t="shared" si="10"/>
        <v>100</v>
      </c>
      <c r="T30" s="773" t="s">
        <v>17</v>
      </c>
      <c r="U30" s="774">
        <f t="shared" si="11"/>
        <v>100</v>
      </c>
      <c r="V30" s="773" t="s">
        <v>17</v>
      </c>
      <c r="W30" s="774">
        <f t="shared" si="12"/>
        <v>100</v>
      </c>
      <c r="X30" s="1799"/>
      <c r="Y30" s="3268"/>
      <c r="Z30" s="1800" t="str">
        <f t="shared" si="13"/>
        <v>土地级别</v>
      </c>
      <c r="AA30" s="1797">
        <f t="shared" si="3"/>
        <v>1</v>
      </c>
      <c r="AB30" s="1797">
        <f t="shared" si="4"/>
        <v>1</v>
      </c>
      <c r="AC30" s="1797">
        <f t="shared" si="5"/>
        <v>1</v>
      </c>
    </row>
    <row r="31" spans="1:29" ht="15">
      <c r="A31" s="404"/>
      <c r="B31" s="2561">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68"/>
      <c r="Q31" s="1796">
        <f t="shared" si="8"/>
        <v>111</v>
      </c>
      <c r="R31" s="773" t="s">
        <v>17</v>
      </c>
      <c r="S31" s="774">
        <f t="shared" si="10"/>
        <v>100</v>
      </c>
      <c r="T31" s="773" t="s">
        <v>17</v>
      </c>
      <c r="U31" s="774">
        <f t="shared" si="11"/>
        <v>100</v>
      </c>
      <c r="V31" s="773" t="s">
        <v>17</v>
      </c>
      <c r="W31" s="774">
        <f t="shared" si="12"/>
        <v>100</v>
      </c>
      <c r="X31" s="1799"/>
      <c r="Y31" s="3268"/>
      <c r="Z31" s="1800">
        <f t="shared" si="13"/>
        <v>111</v>
      </c>
      <c r="AA31" s="1797">
        <f t="shared" si="3"/>
        <v>1</v>
      </c>
      <c r="AB31" s="1797">
        <f t="shared" si="4"/>
        <v>1</v>
      </c>
      <c r="AC31" s="1797">
        <f t="shared" si="5"/>
        <v>1</v>
      </c>
    </row>
    <row r="32" spans="1:29" ht="15">
      <c r="A32" s="674"/>
      <c r="B32" s="2597">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5"/>
      <c r="M32" s="1126"/>
      <c r="N32" s="1126"/>
      <c r="O32" s="1134"/>
      <c r="P32" s="3357" t="s">
        <v>2478</v>
      </c>
      <c r="Q32" s="1796">
        <f t="shared" si="8"/>
        <v>111</v>
      </c>
      <c r="R32" s="773" t="s">
        <v>17</v>
      </c>
      <c r="S32" s="774">
        <f t="shared" si="10"/>
        <v>100</v>
      </c>
      <c r="T32" s="773" t="s">
        <v>17</v>
      </c>
      <c r="U32" s="774">
        <f t="shared" si="11"/>
        <v>100</v>
      </c>
      <c r="V32" s="773" t="s">
        <v>17</v>
      </c>
      <c r="W32" s="774">
        <f t="shared" si="12"/>
        <v>100</v>
      </c>
      <c r="X32" s="1799"/>
      <c r="Y32" s="3272" t="s">
        <v>2478</v>
      </c>
      <c r="Z32" s="1800">
        <f t="shared" si="13"/>
        <v>111</v>
      </c>
      <c r="AA32" s="1797">
        <f t="shared" si="3"/>
        <v>1</v>
      </c>
      <c r="AB32" s="1797">
        <f t="shared" si="4"/>
        <v>1</v>
      </c>
      <c r="AC32" s="1797">
        <f t="shared" si="5"/>
        <v>1</v>
      </c>
    </row>
    <row r="33" spans="1:29" s="471" customFormat="1" ht="15.75" thickBot="1">
      <c r="A33" s="675"/>
      <c r="B33" s="2598">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3"/>
      <c r="M33" s="1136"/>
      <c r="N33" s="1136"/>
      <c r="O33" s="1137"/>
      <c r="P33" s="3272"/>
      <c r="Q33" s="1796">
        <f t="shared" si="8"/>
        <v>111</v>
      </c>
      <c r="R33" s="776" t="s">
        <v>17</v>
      </c>
      <c r="S33" s="777">
        <f t="shared" si="10"/>
        <v>100</v>
      </c>
      <c r="T33" s="776" t="s">
        <v>17</v>
      </c>
      <c r="U33" s="777">
        <f t="shared" si="11"/>
        <v>100</v>
      </c>
      <c r="V33" s="776" t="s">
        <v>17</v>
      </c>
      <c r="W33" s="777">
        <f t="shared" si="12"/>
        <v>100</v>
      </c>
      <c r="X33" s="778"/>
      <c r="Y33" s="3272"/>
      <c r="Z33" s="779">
        <f t="shared" si="13"/>
        <v>111</v>
      </c>
      <c r="AA33" s="1797">
        <f t="shared" si="3"/>
        <v>1</v>
      </c>
      <c r="AB33" s="1797">
        <f t="shared" si="4"/>
        <v>1</v>
      </c>
      <c r="AC33" s="1797">
        <f t="shared" si="5"/>
        <v>1</v>
      </c>
    </row>
    <row r="34" spans="1:29" ht="15">
      <c r="A34" s="440" t="s">
        <v>2476</v>
      </c>
      <c r="B34" s="456" t="s">
        <v>2663</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5"/>
      <c r="M34" s="1126"/>
      <c r="N34" s="1126"/>
      <c r="O34" s="1134"/>
      <c r="P34" s="3272"/>
      <c r="Q34" s="1796" t="str">
        <f>B34</f>
        <v>宗地面积</v>
      </c>
      <c r="R34" s="773" t="s">
        <v>17</v>
      </c>
      <c r="S34" s="774" t="e">
        <f t="shared" si="10"/>
        <v>#N/A</v>
      </c>
      <c r="T34" s="773" t="s">
        <v>17</v>
      </c>
      <c r="U34" s="774" t="e">
        <f t="shared" si="11"/>
        <v>#N/A</v>
      </c>
      <c r="V34" s="773" t="s">
        <v>17</v>
      </c>
      <c r="W34" s="774" t="e">
        <f t="shared" si="12"/>
        <v>#N/A</v>
      </c>
      <c r="X34" s="1799"/>
      <c r="Y34" s="3272"/>
      <c r="Z34" s="1800" t="str">
        <f t="shared" si="13"/>
        <v>宗地面积</v>
      </c>
      <c r="AA34" s="1797" t="e">
        <f t="shared" si="3"/>
        <v>#N/A</v>
      </c>
      <c r="AB34" s="1797" t="e">
        <f t="shared" si="4"/>
        <v>#N/A</v>
      </c>
      <c r="AC34" s="1797" t="e">
        <f t="shared" si="5"/>
        <v>#N/A</v>
      </c>
    </row>
    <row r="35" spans="1:29" ht="15">
      <c r="A35" s="472"/>
      <c r="B35" s="422" t="s">
        <v>2664</v>
      </c>
      <c r="C35" s="2498"/>
      <c r="D35" s="435">
        <v>100</v>
      </c>
      <c r="E35" s="2498"/>
      <c r="F35" s="435">
        <f>SUMIF(110:110,E35,111:111)-SUMIF(110:110,C35,111:111)+100</f>
        <v>100</v>
      </c>
      <c r="G35" s="2498"/>
      <c r="H35" s="435">
        <f>SUMIF(110:110,G35,111:111)-SUMIF(110:110,C35,111:111)+100</f>
        <v>100</v>
      </c>
      <c r="I35" s="2498"/>
      <c r="J35" s="435">
        <f>SUMIF(110:110,I35,111:111)-SUMIF(110:110,C35,111:111)+100</f>
        <v>100</v>
      </c>
      <c r="K35" s="612"/>
      <c r="L35" s="1135"/>
      <c r="M35" s="1126"/>
      <c r="N35" s="1126"/>
      <c r="O35" s="1134"/>
      <c r="P35" s="3272"/>
      <c r="Q35" s="1796" t="str">
        <f t="shared" ref="Q35:Q40" si="14">B35</f>
        <v>宗地形状</v>
      </c>
      <c r="R35" s="773" t="s">
        <v>17</v>
      </c>
      <c r="S35" s="774">
        <f t="shared" si="10"/>
        <v>100</v>
      </c>
      <c r="T35" s="773" t="s">
        <v>17</v>
      </c>
      <c r="U35" s="774">
        <f t="shared" si="11"/>
        <v>100</v>
      </c>
      <c r="V35" s="773" t="s">
        <v>17</v>
      </c>
      <c r="W35" s="774">
        <f t="shared" si="12"/>
        <v>100</v>
      </c>
      <c r="X35" s="1799"/>
      <c r="Y35" s="3272"/>
      <c r="Z35" s="1800" t="str">
        <f t="shared" si="13"/>
        <v>宗地形状</v>
      </c>
      <c r="AA35" s="1797">
        <f t="shared" si="3"/>
        <v>1</v>
      </c>
      <c r="AB35" s="1797">
        <f t="shared" si="4"/>
        <v>1</v>
      </c>
      <c r="AC35" s="1797">
        <f t="shared" si="5"/>
        <v>1</v>
      </c>
    </row>
    <row r="36" spans="1:29" s="117" customFormat="1" ht="15">
      <c r="A36" s="473"/>
      <c r="B36" s="422" t="s">
        <v>2666</v>
      </c>
      <c r="C36" s="2585"/>
      <c r="D36" s="136">
        <v>100</v>
      </c>
      <c r="E36" s="2585"/>
      <c r="F36" s="435">
        <f>SUMIF(112:112,E36,113:113)-SUMIF(112:112,C36,113:113)+100</f>
        <v>100</v>
      </c>
      <c r="G36" s="2585"/>
      <c r="H36" s="435">
        <f>SUMIF(112:112,G36,113:113)-SUMIF(112:112,C36,113:113)+100</f>
        <v>100</v>
      </c>
      <c r="I36" s="2585"/>
      <c r="J36" s="435">
        <f>SUMIF(112:112,I36,113:113)-SUMIF(112:112,C36,113:113)+100</f>
        <v>100</v>
      </c>
      <c r="K36" s="612"/>
      <c r="L36" s="1127"/>
      <c r="M36" s="1128"/>
      <c r="N36" s="1128"/>
      <c r="O36" s="1129"/>
      <c r="P36" s="3272"/>
      <c r="Q36" s="1796" t="str">
        <f t="shared" si="14"/>
        <v>宗地开发程度</v>
      </c>
      <c r="R36" s="769" t="s">
        <v>17</v>
      </c>
      <c r="S36" s="770">
        <f t="shared" si="10"/>
        <v>100</v>
      </c>
      <c r="T36" s="769" t="s">
        <v>17</v>
      </c>
      <c r="U36" s="770">
        <f t="shared" si="11"/>
        <v>100</v>
      </c>
      <c r="V36" s="769" t="s">
        <v>17</v>
      </c>
      <c r="W36" s="770">
        <f t="shared" si="12"/>
        <v>100</v>
      </c>
      <c r="X36" s="771"/>
      <c r="Y36" s="3272"/>
      <c r="Z36" s="55" t="str">
        <f t="shared" si="13"/>
        <v>宗地开发程度</v>
      </c>
      <c r="AA36" s="772">
        <f t="shared" si="3"/>
        <v>1</v>
      </c>
      <c r="AB36" s="772">
        <f t="shared" si="4"/>
        <v>1</v>
      </c>
      <c r="AC36" s="772">
        <f t="shared" si="5"/>
        <v>1</v>
      </c>
    </row>
    <row r="37" spans="1:29" ht="15">
      <c r="A37" s="472"/>
      <c r="B37" s="422" t="s">
        <v>2667</v>
      </c>
      <c r="C37" s="2498"/>
      <c r="D37" s="435">
        <v>100</v>
      </c>
      <c r="E37" s="2498"/>
      <c r="F37" s="435">
        <f>SUMIF(114:114,E37,115:115)-SUMIF(114:114,C37,115:115)+100</f>
        <v>100</v>
      </c>
      <c r="G37" s="2498"/>
      <c r="H37" s="435">
        <f>SUMIF(114:114,G37,115:115)-SUMIF(114:114,C37,115:115)+100</f>
        <v>100</v>
      </c>
      <c r="I37" s="2498"/>
      <c r="J37" s="435">
        <f>SUMIF(114:114,I37,115:115)-SUMIF(114:114,C37,115:115)+100</f>
        <v>100</v>
      </c>
      <c r="K37" s="612"/>
      <c r="L37" s="1135"/>
      <c r="M37" s="1126"/>
      <c r="N37" s="1126"/>
      <c r="O37" s="1134"/>
      <c r="P37" s="3272" t="s">
        <v>2478</v>
      </c>
      <c r="Q37" s="1796" t="str">
        <f t="shared" si="14"/>
        <v>工程地质条件</v>
      </c>
      <c r="R37" s="773" t="s">
        <v>17</v>
      </c>
      <c r="S37" s="774">
        <f t="shared" si="10"/>
        <v>100</v>
      </c>
      <c r="T37" s="773" t="s">
        <v>17</v>
      </c>
      <c r="U37" s="774">
        <f t="shared" si="11"/>
        <v>100</v>
      </c>
      <c r="V37" s="773" t="s">
        <v>17</v>
      </c>
      <c r="W37" s="774">
        <f t="shared" si="12"/>
        <v>100</v>
      </c>
      <c r="X37" s="1799"/>
      <c r="Y37" s="3272" t="s">
        <v>2478</v>
      </c>
      <c r="Z37" s="1800" t="str">
        <f t="shared" si="13"/>
        <v>工程地质条件</v>
      </c>
      <c r="AA37" s="1797">
        <f t="shared" si="3"/>
        <v>1</v>
      </c>
      <c r="AB37" s="1797">
        <f t="shared" si="4"/>
        <v>1</v>
      </c>
      <c r="AC37" s="1797">
        <f t="shared" si="5"/>
        <v>1</v>
      </c>
    </row>
    <row r="38" spans="1:29" ht="15">
      <c r="A38" s="472"/>
      <c r="B38" s="1374">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5"/>
      <c r="M38" s="1126"/>
      <c r="N38" s="1126"/>
      <c r="O38" s="1134"/>
      <c r="P38" s="3272"/>
      <c r="Q38" s="1796">
        <f t="shared" si="14"/>
        <v>111</v>
      </c>
      <c r="R38" s="773" t="s">
        <v>17</v>
      </c>
      <c r="S38" s="774">
        <f t="shared" si="10"/>
        <v>100</v>
      </c>
      <c r="T38" s="773" t="s">
        <v>17</v>
      </c>
      <c r="U38" s="774">
        <f t="shared" si="11"/>
        <v>100</v>
      </c>
      <c r="V38" s="773" t="s">
        <v>17</v>
      </c>
      <c r="W38" s="774">
        <f t="shared" si="12"/>
        <v>100</v>
      </c>
      <c r="X38" s="1799"/>
      <c r="Y38" s="3272"/>
      <c r="Z38" s="1800">
        <f t="shared" si="13"/>
        <v>111</v>
      </c>
      <c r="AA38" s="1797">
        <f t="shared" si="3"/>
        <v>1</v>
      </c>
      <c r="AB38" s="1797">
        <f t="shared" si="4"/>
        <v>1</v>
      </c>
      <c r="AC38" s="1797">
        <f t="shared" si="5"/>
        <v>1</v>
      </c>
    </row>
    <row r="39" spans="1:29" ht="15">
      <c r="A39" s="472"/>
      <c r="B39" s="1374">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5"/>
      <c r="M39" s="1126"/>
      <c r="N39" s="1126"/>
      <c r="O39" s="1134"/>
      <c r="P39" s="3272"/>
      <c r="Q39" s="1796">
        <f t="shared" si="14"/>
        <v>111</v>
      </c>
      <c r="R39" s="773" t="s">
        <v>17</v>
      </c>
      <c r="S39" s="774">
        <f t="shared" si="10"/>
        <v>100</v>
      </c>
      <c r="T39" s="773" t="s">
        <v>17</v>
      </c>
      <c r="U39" s="774">
        <f t="shared" si="11"/>
        <v>100</v>
      </c>
      <c r="V39" s="773" t="s">
        <v>17</v>
      </c>
      <c r="W39" s="774">
        <f t="shared" si="12"/>
        <v>100</v>
      </c>
      <c r="X39" s="1799"/>
      <c r="Y39" s="3272"/>
      <c r="Z39" s="1800">
        <f t="shared" si="13"/>
        <v>111</v>
      </c>
      <c r="AA39" s="1797">
        <f t="shared" si="3"/>
        <v>1</v>
      </c>
      <c r="AB39" s="1797">
        <f t="shared" si="4"/>
        <v>1</v>
      </c>
      <c r="AC39" s="1797">
        <f t="shared" si="5"/>
        <v>1</v>
      </c>
    </row>
    <row r="40" spans="1:29" s="471" customFormat="1" ht="15.75" thickBot="1">
      <c r="A40" s="468"/>
      <c r="B40" s="1374">
        <v>111</v>
      </c>
      <c r="C40" s="2586"/>
      <c r="D40" s="137">
        <v>100</v>
      </c>
      <c r="E40" s="673"/>
      <c r="F40" s="438">
        <f>SUMIF(120:120,E40,121:121)-SUMIF(120:120,C40,121:121)+100</f>
        <v>100</v>
      </c>
      <c r="G40" s="673"/>
      <c r="H40" s="438">
        <f>SUMIF(120:120,G40,121:121)-SUMIF(120:120,C40,121:121)+100</f>
        <v>100</v>
      </c>
      <c r="I40" s="549"/>
      <c r="J40" s="438">
        <f>SUMIF(120:120,I40,121:121)-SUMIF(120:120,C40,121:121)+100</f>
        <v>100</v>
      </c>
      <c r="K40" s="680"/>
      <c r="L40" s="1133"/>
      <c r="M40" s="1136"/>
      <c r="N40" s="1136"/>
      <c r="O40" s="1137"/>
      <c r="P40" s="3272"/>
      <c r="Q40" s="1796">
        <f t="shared" si="14"/>
        <v>111</v>
      </c>
      <c r="R40" s="776" t="s">
        <v>17</v>
      </c>
      <c r="S40" s="777">
        <f t="shared" si="10"/>
        <v>100</v>
      </c>
      <c r="T40" s="776" t="s">
        <v>17</v>
      </c>
      <c r="U40" s="777">
        <f t="shared" si="11"/>
        <v>100</v>
      </c>
      <c r="V40" s="776" t="s">
        <v>17</v>
      </c>
      <c r="W40" s="777">
        <f t="shared" si="12"/>
        <v>100</v>
      </c>
      <c r="X40" s="778"/>
      <c r="Y40" s="3272"/>
      <c r="Z40" s="779">
        <f t="shared" si="13"/>
        <v>111</v>
      </c>
      <c r="AA40" s="1797">
        <f t="shared" si="3"/>
        <v>1</v>
      </c>
      <c r="AB40" s="1797">
        <f t="shared" si="4"/>
        <v>1</v>
      </c>
      <c r="AC40" s="1797">
        <f t="shared" si="5"/>
        <v>1</v>
      </c>
    </row>
    <row r="41" spans="1:29" ht="15">
      <c r="A41" s="479" t="s">
        <v>2632</v>
      </c>
      <c r="B41" s="2587" t="s">
        <v>2712</v>
      </c>
      <c r="C41" s="681" t="s">
        <v>1</v>
      </c>
      <c r="D41" s="481"/>
      <c r="E41" s="482"/>
      <c r="F41" s="483"/>
      <c r="G41" s="484"/>
      <c r="H41" s="485"/>
      <c r="I41" s="482"/>
      <c r="J41" s="485"/>
      <c r="K41" s="782"/>
      <c r="L41" s="1138"/>
      <c r="M41" s="1126"/>
      <c r="N41" s="1126"/>
      <c r="O41" s="1139"/>
      <c r="P41" s="3265" t="str">
        <f>A41</f>
        <v>成交单价</v>
      </c>
      <c r="Q41" s="3265"/>
      <c r="R41" s="3296">
        <f>E41</f>
        <v>0</v>
      </c>
      <c r="S41" s="3296"/>
      <c r="T41" s="3296">
        <f>G41</f>
        <v>0</v>
      </c>
      <c r="U41" s="3296"/>
      <c r="V41" s="3296">
        <f>I41</f>
        <v>0</v>
      </c>
      <c r="W41" s="3296"/>
      <c r="X41" s="758"/>
      <c r="Y41" s="780"/>
      <c r="Z41" s="758"/>
      <c r="AA41" s="758"/>
      <c r="AB41" s="758"/>
      <c r="AC41" s="758"/>
    </row>
    <row r="42" spans="1:29" ht="15.75" thickBot="1">
      <c r="A42" s="486" t="s">
        <v>2581</v>
      </c>
      <c r="B42" s="682"/>
      <c r="C42" s="490" t="e">
        <f>R43</f>
        <v>#DIV/0!</v>
      </c>
      <c r="D42" s="489"/>
      <c r="E42" s="490" t="e">
        <f>R42</f>
        <v>#DIV/0!</v>
      </c>
      <c r="F42" s="491"/>
      <c r="G42" s="488" t="e">
        <f>T42</f>
        <v>#DIV/0!</v>
      </c>
      <c r="H42" s="489"/>
      <c r="I42" s="490" t="e">
        <f>V42</f>
        <v>#DIV/0!</v>
      </c>
      <c r="J42" s="489"/>
      <c r="K42" s="783"/>
      <c r="L42" s="1138"/>
      <c r="M42" s="1126"/>
      <c r="N42" s="1126"/>
      <c r="O42" s="1139"/>
      <c r="P42" s="3265" t="str">
        <f>A42</f>
        <v>比较价值（元/平方米）</v>
      </c>
      <c r="Q42" s="3265"/>
      <c r="R42" s="3358" t="e">
        <f>ROUND(PRODUCT(R41,AA7:AA40),0)</f>
        <v>#DIV/0!</v>
      </c>
      <c r="S42" s="3358"/>
      <c r="T42" s="3358" t="e">
        <f>ROUND(PRODUCT(T41,AB7:AB40),0)</f>
        <v>#DIV/0!</v>
      </c>
      <c r="U42" s="3358"/>
      <c r="V42" s="3358" t="e">
        <f>ROUND(PRODUCT(V41,AC7:AC40),0)</f>
        <v>#DIV/0!</v>
      </c>
      <c r="W42" s="3358"/>
      <c r="X42" s="758"/>
      <c r="Y42" s="758"/>
      <c r="Z42" s="758"/>
      <c r="AA42" s="758"/>
      <c r="AB42" s="758"/>
      <c r="AC42" s="758"/>
    </row>
    <row r="43" spans="1:29" ht="15.75" thickBot="1">
      <c r="A43" s="492" t="s">
        <v>2582</v>
      </c>
      <c r="B43" s="493"/>
      <c r="C43" s="494" t="e">
        <f>R43</f>
        <v>#DIV/0!</v>
      </c>
      <c r="D43" s="494"/>
      <c r="E43" s="494"/>
      <c r="F43" s="494"/>
      <c r="G43" s="494"/>
      <c r="H43" s="494"/>
      <c r="I43" s="494"/>
      <c r="J43" s="494"/>
      <c r="K43" s="784"/>
      <c r="L43" s="1138"/>
      <c r="M43" s="1126"/>
      <c r="N43" s="1126"/>
      <c r="O43" s="1139"/>
      <c r="P43" s="3262" t="str">
        <f>A43</f>
        <v>估价对象XX用房的比较价值（楼面单价，元/平方米）</v>
      </c>
      <c r="Q43" s="3263"/>
      <c r="R43" s="3359" t="e">
        <f>ROUND(AVERAGE(R42:V42),0)</f>
        <v>#DIV/0!</v>
      </c>
      <c r="S43" s="3359"/>
      <c r="T43" s="3359"/>
      <c r="U43" s="3359"/>
      <c r="V43" s="3359"/>
      <c r="W43" s="3359"/>
      <c r="X43" s="758"/>
      <c r="Y43" s="758"/>
      <c r="Z43" s="758"/>
      <c r="AA43" s="758"/>
      <c r="AB43" s="758"/>
      <c r="AC43" s="758"/>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2583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2584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2585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1"/>
      <c r="D49" s="759"/>
      <c r="E49" s="759"/>
      <c r="F49" s="759"/>
      <c r="G49" s="759"/>
      <c r="H49" s="759"/>
      <c r="I49" s="759"/>
      <c r="J49" s="759"/>
      <c r="K49" s="1143"/>
      <c r="L49" s="1144"/>
      <c r="M49" s="1140"/>
      <c r="N49" s="1140"/>
      <c r="O49" s="1140"/>
    </row>
    <row r="50" spans="1:17" ht="27">
      <c r="A50" s="683" t="s">
        <v>2670</v>
      </c>
      <c r="B50" s="684" t="s">
        <v>2671</v>
      </c>
      <c r="C50" s="2588" t="s">
        <v>2672</v>
      </c>
      <c r="D50" s="2589" t="s">
        <v>2673</v>
      </c>
      <c r="E50" s="685" t="s">
        <v>2674</v>
      </c>
      <c r="F50" s="686" t="s">
        <v>2675</v>
      </c>
      <c r="G50" s="3280" t="s">
        <v>2676</v>
      </c>
      <c r="H50" s="3360"/>
      <c r="I50" s="1800" t="s">
        <v>2713</v>
      </c>
      <c r="J50" s="1800">
        <f>项目基本情况!F35</f>
        <v>0</v>
      </c>
      <c r="K50" s="2591" t="s">
        <v>2678</v>
      </c>
      <c r="L50" s="1101"/>
      <c r="M50" s="1139"/>
      <c r="N50" s="1139"/>
      <c r="O50" s="1139"/>
    </row>
    <row r="51" spans="1:17" s="691" customFormat="1">
      <c r="A51" s="687" t="s">
        <v>2679</v>
      </c>
      <c r="B51" s="688" t="e">
        <f>C43</f>
        <v>#DIV/0!</v>
      </c>
      <c r="C51" s="689">
        <v>1</v>
      </c>
      <c r="D51" s="1158">
        <v>1</v>
      </c>
      <c r="E51" s="689">
        <f>'数据-汇总表'!E8+'数据-汇总表'!E9</f>
        <v>26965.789999999994</v>
      </c>
      <c r="F51" s="690" t="e">
        <f t="shared" ref="F51:F60" si="15">ROUND(B51*E51/10000,0)</f>
        <v>#DIV/0!</v>
      </c>
      <c r="G51" s="3276"/>
      <c r="H51" s="3265"/>
      <c r="I51" s="943">
        <v>1</v>
      </c>
      <c r="J51" s="943">
        <v>1</v>
      </c>
      <c r="K51" s="1140"/>
      <c r="L51" s="942"/>
      <c r="M51" s="942"/>
      <c r="N51" s="942"/>
      <c r="O51" s="942"/>
    </row>
    <row r="52" spans="1:17" s="691" customFormat="1">
      <c r="A52" s="692" t="s">
        <v>2680</v>
      </c>
      <c r="B52" s="262" t="e">
        <f>ROUND($C$43*C52*D52,0)</f>
        <v>#DIV/0!</v>
      </c>
      <c r="C52" s="200">
        <f t="shared" ref="C52:C60" si="16">IF($C$50="北京市系数",I52,J52)</f>
        <v>0.7</v>
      </c>
      <c r="D52" s="1159">
        <v>0.25</v>
      </c>
      <c r="E52" s="693"/>
      <c r="F52" s="690" t="e">
        <f t="shared" si="15"/>
        <v>#DIV/0!</v>
      </c>
      <c r="G52" s="3361" t="s">
        <v>2681</v>
      </c>
      <c r="H52" s="1099" t="str">
        <f>项目基本情况!B37</f>
        <v>三级</v>
      </c>
      <c r="I52" s="943">
        <f>SUMIF(修正!A45:A56,H52,修正!B45:B56)</f>
        <v>0.7</v>
      </c>
      <c r="J52" s="944"/>
      <c r="K52" s="1139"/>
      <c r="L52" s="942"/>
      <c r="M52" s="942"/>
      <c r="N52" s="942"/>
      <c r="O52" s="942"/>
    </row>
    <row r="53" spans="1:17" s="691" customFormat="1">
      <c r="A53" s="692" t="s">
        <v>2682</v>
      </c>
      <c r="B53" s="262" t="e">
        <f t="shared" ref="B53:B60" si="17">ROUND($C$43*C53*D53,0)</f>
        <v>#DIV/0!</v>
      </c>
      <c r="C53" s="200">
        <f t="shared" si="16"/>
        <v>0.4</v>
      </c>
      <c r="D53" s="1159">
        <v>0.25</v>
      </c>
      <c r="E53" s="693"/>
      <c r="F53" s="690" t="e">
        <f t="shared" si="15"/>
        <v>#DIV/0!</v>
      </c>
      <c r="G53" s="3361"/>
      <c r="H53" s="1099" t="str">
        <f>项目基本情况!B37</f>
        <v>三级</v>
      </c>
      <c r="I53" s="943">
        <f>SUMIF(修正!A45:A56,H53,修正!C45:C56)</f>
        <v>0.4</v>
      </c>
      <c r="J53" s="944"/>
      <c r="K53" s="1140"/>
      <c r="L53" s="942"/>
      <c r="M53" s="942"/>
      <c r="N53" s="942"/>
      <c r="O53" s="942"/>
    </row>
    <row r="54" spans="1:17" s="691" customFormat="1">
      <c r="A54" s="692" t="s">
        <v>2683</v>
      </c>
      <c r="B54" s="262" t="e">
        <f t="shared" si="17"/>
        <v>#DIV/0!</v>
      </c>
      <c r="C54" s="200">
        <f t="shared" si="16"/>
        <v>0.28000000000000003</v>
      </c>
      <c r="D54" s="1159">
        <v>0.25</v>
      </c>
      <c r="E54" s="693"/>
      <c r="F54" s="690" t="e">
        <f t="shared" si="15"/>
        <v>#DIV/0!</v>
      </c>
      <c r="G54" s="3361"/>
      <c r="H54" s="1099" t="str">
        <f>项目基本情况!B37</f>
        <v>三级</v>
      </c>
      <c r="I54" s="943">
        <f>SUMIF(修正!A45:A56,H54,修正!D45:D56)</f>
        <v>0.28000000000000003</v>
      </c>
      <c r="J54" s="944"/>
      <c r="K54" s="1139"/>
      <c r="L54" s="942"/>
      <c r="M54" s="942"/>
      <c r="N54" s="942"/>
      <c r="O54" s="942"/>
    </row>
    <row r="55" spans="1:17" s="691" customFormat="1">
      <c r="A55" s="692" t="s">
        <v>2684</v>
      </c>
      <c r="B55" s="262" t="e">
        <f t="shared" si="17"/>
        <v>#DIV/0!</v>
      </c>
      <c r="C55" s="200">
        <f t="shared" si="16"/>
        <v>0.25</v>
      </c>
      <c r="D55" s="1159">
        <v>0.25</v>
      </c>
      <c r="E55" s="693"/>
      <c r="F55" s="690" t="e">
        <f t="shared" si="15"/>
        <v>#DIV/0!</v>
      </c>
      <c r="G55" s="3361"/>
      <c r="H55" s="1099" t="str">
        <f>项目基本情况!B37</f>
        <v>三级</v>
      </c>
      <c r="I55" s="943">
        <f>SUMIF(修正!A45:A56,H55,修正!E45:E56)</f>
        <v>0.25</v>
      </c>
      <c r="J55" s="944"/>
      <c r="K55" s="1140"/>
      <c r="L55" s="942"/>
      <c r="M55" s="942"/>
      <c r="N55" s="942"/>
      <c r="O55" s="942"/>
    </row>
    <row r="56" spans="1:17" s="691" customFormat="1">
      <c r="A56" s="692" t="s">
        <v>2685</v>
      </c>
      <c r="B56" s="262" t="e">
        <f t="shared" si="17"/>
        <v>#DIV/0!</v>
      </c>
      <c r="C56" s="200">
        <f t="shared" si="16"/>
        <v>0</v>
      </c>
      <c r="D56" s="1159">
        <v>0.25</v>
      </c>
      <c r="E56" s="261">
        <f>'数据-汇总表'!E11</f>
        <v>0</v>
      </c>
      <c r="F56" s="690" t="e">
        <f t="shared" si="15"/>
        <v>#DIV/0!</v>
      </c>
      <c r="G56" s="2592" t="s">
        <v>2686</v>
      </c>
      <c r="H56" s="1099">
        <f>项目基本情况!C37</f>
        <v>0</v>
      </c>
      <c r="I56" s="943">
        <f>SUMIF(修正!A45:A56,H56,修正!F45:F56)</f>
        <v>0</v>
      </c>
      <c r="J56" s="944"/>
      <c r="K56" s="1139"/>
      <c r="L56" s="942"/>
      <c r="M56" s="942"/>
      <c r="N56" s="942"/>
      <c r="O56" s="942"/>
    </row>
    <row r="57" spans="1:17" s="691" customFormat="1">
      <c r="A57" s="692" t="s">
        <v>2687</v>
      </c>
      <c r="B57" s="262" t="e">
        <f t="shared" si="17"/>
        <v>#DIV/0!</v>
      </c>
      <c r="C57" s="200">
        <f t="shared" si="16"/>
        <v>0</v>
      </c>
      <c r="D57" s="1159">
        <v>0.25</v>
      </c>
      <c r="E57" s="261">
        <f>'数据-汇总表'!E12</f>
        <v>0</v>
      </c>
      <c r="F57" s="690" t="e">
        <f t="shared" si="15"/>
        <v>#DIV/0!</v>
      </c>
      <c r="G57" s="1104" t="s">
        <v>2688</v>
      </c>
      <c r="H57" s="1099">
        <f>IF(G57="商业",项目基本情况!B37,IF(G57="办公",项目基本情况!C37,IF(G57="住宅",项目基本情况!D37,项目基本情况!E37)))</f>
        <v>0</v>
      </c>
      <c r="I57" s="943">
        <f>SUMIF(修正!A45:A56,H57,修正!G45:G56)</f>
        <v>0</v>
      </c>
      <c r="J57" s="944"/>
      <c r="K57" s="1140"/>
      <c r="L57" s="942"/>
      <c r="M57" s="942"/>
      <c r="N57" s="942"/>
      <c r="O57" s="942"/>
    </row>
    <row r="58" spans="1:17" s="691" customFormat="1">
      <c r="A58" s="692" t="s">
        <v>2689</v>
      </c>
      <c r="B58" s="262" t="e">
        <f t="shared" si="17"/>
        <v>#DIV/0!</v>
      </c>
      <c r="C58" s="200">
        <f t="shared" si="16"/>
        <v>0.2</v>
      </c>
      <c r="D58" s="1159">
        <v>0.25</v>
      </c>
      <c r="E58" s="261">
        <f>'数据-汇总表'!E13</f>
        <v>0</v>
      </c>
      <c r="F58" s="690" t="e">
        <f t="shared" si="15"/>
        <v>#DIV/0!</v>
      </c>
      <c r="G58" s="1104" t="s">
        <v>2690</v>
      </c>
      <c r="H58" s="1099" t="str">
        <f>IF(G58="商业",项目基本情况!B37,IF(G58="办公",项目基本情况!C37,IF(G58="住宅",项目基本情况!D37,项目基本情况!E37)))</f>
        <v>三级</v>
      </c>
      <c r="I58" s="943">
        <f>SUMIF(修正!A45:A56,H58,修正!H45:H56)</f>
        <v>0.2</v>
      </c>
      <c r="J58" s="944"/>
      <c r="K58" s="1139"/>
      <c r="L58" s="942"/>
      <c r="M58" s="942"/>
      <c r="N58" s="942"/>
      <c r="O58" s="942"/>
    </row>
    <row r="59" spans="1:17" s="691" customFormat="1">
      <c r="A59" s="692" t="s">
        <v>2691</v>
      </c>
      <c r="B59" s="262" t="e">
        <f t="shared" si="17"/>
        <v>#DIV/0!</v>
      </c>
      <c r="C59" s="200">
        <f t="shared" si="16"/>
        <v>0.2</v>
      </c>
      <c r="D59" s="1159">
        <v>0.25</v>
      </c>
      <c r="E59" s="261">
        <f>'数据-汇总表'!E14</f>
        <v>0</v>
      </c>
      <c r="F59" s="690" t="e">
        <f t="shared" si="15"/>
        <v>#DIV/0!</v>
      </c>
      <c r="G59" s="2592" t="s">
        <v>2681</v>
      </c>
      <c r="H59" s="1099" t="str">
        <f>项目基本情况!B37</f>
        <v>三级</v>
      </c>
      <c r="I59" s="943">
        <f>SUMIF(修正!A45:A56,H59,修正!H45:H56)</f>
        <v>0.2</v>
      </c>
      <c r="J59" s="944"/>
      <c r="K59" s="1140"/>
      <c r="L59" s="942"/>
      <c r="M59" s="942"/>
      <c r="N59" s="942"/>
      <c r="O59" s="942"/>
    </row>
    <row r="60" spans="1:17" s="691" customFormat="1" ht="15" thickBot="1">
      <c r="A60" s="692" t="s">
        <v>2692</v>
      </c>
      <c r="B60" s="262" t="e">
        <f t="shared" si="17"/>
        <v>#DIV/0!</v>
      </c>
      <c r="C60" s="200">
        <f t="shared" si="16"/>
        <v>0</v>
      </c>
      <c r="D60" s="1159">
        <v>0.25</v>
      </c>
      <c r="E60" s="261">
        <f>'数据-汇总表'!E15</f>
        <v>0</v>
      </c>
      <c r="F60" s="690" t="e">
        <f t="shared" si="15"/>
        <v>#DIV/0!</v>
      </c>
      <c r="G60" s="2593" t="s">
        <v>2686</v>
      </c>
      <c r="H60" s="1109">
        <f>项目基本情况!C37</f>
        <v>0</v>
      </c>
      <c r="I60" s="943">
        <f>SUMIF(修正!A45:A56,H60,修正!H45:H56)</f>
        <v>0</v>
      </c>
      <c r="J60" s="944"/>
      <c r="K60" s="1139"/>
      <c r="L60" s="942"/>
      <c r="M60" s="942"/>
      <c r="N60" s="942"/>
      <c r="O60" s="942"/>
    </row>
    <row r="61" spans="1:17" s="691" customFormat="1" ht="15" thickBot="1">
      <c r="A61" s="694" t="s">
        <v>2693</v>
      </c>
      <c r="B61" s="695" t="s">
        <v>28</v>
      </c>
      <c r="C61" s="695" t="s">
        <v>29</v>
      </c>
      <c r="D61" s="695" t="s">
        <v>1029</v>
      </c>
      <c r="E61" s="695">
        <f>IF(B41="楼面地价",SUM(E51:E60),'数据-汇总表'!D3)</f>
        <v>2719.43</v>
      </c>
      <c r="F61" s="696" t="e">
        <f>IF(B41="楼面地价",SUM(F51:F60),ROUND(C43*E61/10000,0))</f>
        <v>#DIV/0!</v>
      </c>
      <c r="G61" s="1153"/>
      <c r="H61" s="1153"/>
      <c r="I61" s="1153"/>
      <c r="J61" s="1153"/>
      <c r="K61" s="1100"/>
      <c r="L61" s="942"/>
      <c r="M61" s="942"/>
      <c r="N61" s="942"/>
      <c r="O61" s="942"/>
    </row>
    <row r="62" spans="1:17">
      <c r="A62" s="1139"/>
      <c r="B62" s="1141"/>
      <c r="C62" s="1145"/>
      <c r="D62" s="1139"/>
      <c r="E62" s="1139"/>
      <c r="F62" s="1139"/>
      <c r="G62" s="1139"/>
      <c r="H62" s="1139"/>
      <c r="I62" s="1139"/>
      <c r="J62" s="1139"/>
      <c r="K62" s="1100"/>
      <c r="L62" s="1101"/>
      <c r="M62" s="1139"/>
      <c r="N62" s="1139"/>
      <c r="O62" s="1139"/>
    </row>
    <row r="63" spans="1:17">
      <c r="A63" s="1139"/>
      <c r="B63" s="1141"/>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2586</v>
      </c>
      <c r="B64" s="758"/>
      <c r="C64" s="763"/>
      <c r="D64" s="763"/>
      <c r="E64" s="763"/>
      <c r="F64" s="764"/>
      <c r="G64" s="764"/>
      <c r="H64" s="763"/>
      <c r="I64" s="763"/>
      <c r="J64" s="763"/>
      <c r="K64" s="765"/>
      <c r="L64" s="766"/>
      <c r="M64" s="763"/>
      <c r="N64" s="763"/>
      <c r="O64" s="1154"/>
      <c r="P64" s="503"/>
      <c r="Q64" s="504"/>
    </row>
    <row r="65" spans="1:17" s="508" customFormat="1" ht="15">
      <c r="A65" s="2594" t="s">
        <v>2694</v>
      </c>
      <c r="B65" s="1346"/>
      <c r="C65" s="1558" t="str">
        <f>YEAR(C63)&amp;"-"&amp;ROUNDUP(MONTH(C63)/3,0)</f>
        <v>2018-1</v>
      </c>
      <c r="D65" s="1558" t="str">
        <f t="shared" ref="D65:O65" si="19">YEAR(D63)&amp;"-"&amp;ROUNDUP(MONTH(D63)/3,0)</f>
        <v>2017-4</v>
      </c>
      <c r="E65" s="1558" t="str">
        <f t="shared" si="19"/>
        <v>2017-3</v>
      </c>
      <c r="F65" s="1558" t="str">
        <f t="shared" si="19"/>
        <v>2017-2</v>
      </c>
      <c r="G65" s="1558" t="str">
        <f t="shared" si="19"/>
        <v>2017-1</v>
      </c>
      <c r="H65" s="1558" t="str">
        <f t="shared" si="19"/>
        <v>2016-4</v>
      </c>
      <c r="I65" s="1558" t="str">
        <f t="shared" si="19"/>
        <v>2016-3</v>
      </c>
      <c r="J65" s="1558" t="str">
        <f t="shared" si="19"/>
        <v>2016-2</v>
      </c>
      <c r="K65" s="1558" t="str">
        <f t="shared" si="19"/>
        <v>2016-1</v>
      </c>
      <c r="L65" s="1558" t="str">
        <f t="shared" si="19"/>
        <v>2015-4</v>
      </c>
      <c r="M65" s="1558" t="str">
        <f t="shared" si="19"/>
        <v>2015-3</v>
      </c>
      <c r="N65" s="1558" t="str">
        <f t="shared" si="19"/>
        <v>2015-2</v>
      </c>
      <c r="O65" s="1558" t="str">
        <f t="shared" si="19"/>
        <v>2015-1</v>
      </c>
      <c r="P65" s="507"/>
    </row>
    <row r="66" spans="1:17" s="117" customFormat="1" ht="30.75" customHeight="1">
      <c r="A66" s="2599" t="s">
        <v>2714</v>
      </c>
      <c r="B66" s="332" t="str">
        <f>"北京市平均增长率"&amp;TEXT(基准地价修正!P24,"0.00%")</f>
        <v>北京市平均增长率1.31%</v>
      </c>
      <c r="C66" s="603">
        <v>100</v>
      </c>
      <c r="D66" s="595"/>
      <c r="E66" s="595"/>
      <c r="F66" s="595"/>
      <c r="G66" s="595"/>
      <c r="H66" s="595"/>
      <c r="I66" s="595"/>
      <c r="J66" s="595"/>
      <c r="K66" s="595"/>
      <c r="L66" s="595"/>
      <c r="M66" s="1553"/>
      <c r="N66" s="1553"/>
      <c r="O66" s="1555"/>
      <c r="P66" s="504"/>
    </row>
    <row r="67" spans="1:17" s="117" customFormat="1" ht="15.75" thickBot="1">
      <c r="A67" s="515" t="s">
        <v>2497</v>
      </c>
      <c r="B67" s="516"/>
      <c r="C67" s="517"/>
      <c r="D67" s="518"/>
      <c r="E67" s="518"/>
      <c r="F67" s="518"/>
      <c r="G67" s="518"/>
      <c r="H67" s="518"/>
      <c r="I67" s="518"/>
      <c r="J67" s="518"/>
      <c r="K67" s="518"/>
      <c r="L67" s="518"/>
      <c r="M67" s="519"/>
      <c r="N67" s="519"/>
      <c r="O67" s="520"/>
      <c r="P67" s="504"/>
      <c r="Q67" s="504"/>
    </row>
    <row r="68" spans="1:17" s="117" customFormat="1" ht="15">
      <c r="A68" s="521" t="s">
        <v>2463</v>
      </c>
      <c r="B68" s="510"/>
      <c r="C68" s="522" t="s">
        <v>2564</v>
      </c>
      <c r="D68" s="523"/>
      <c r="E68" s="523"/>
      <c r="F68" s="523"/>
      <c r="G68" s="523"/>
      <c r="H68" s="523"/>
      <c r="I68" s="523"/>
      <c r="J68" s="523"/>
      <c r="K68" s="523"/>
      <c r="L68" s="524"/>
      <c r="M68" s="525"/>
      <c r="N68" s="1146"/>
      <c r="O68" s="1146"/>
      <c r="P68" s="526"/>
      <c r="Q68" s="504"/>
    </row>
    <row r="69" spans="1:17" s="117" customFormat="1" ht="15.75" thickBot="1">
      <c r="A69" s="521"/>
      <c r="B69" s="510"/>
      <c r="C69" s="638">
        <v>100</v>
      </c>
      <c r="D69" s="512"/>
      <c r="E69" s="512"/>
      <c r="F69" s="512"/>
      <c r="G69" s="512"/>
      <c r="H69" s="512"/>
      <c r="I69" s="512"/>
      <c r="J69" s="512"/>
      <c r="K69" s="512"/>
      <c r="L69" s="512"/>
      <c r="M69" s="514"/>
      <c r="N69" s="1146"/>
      <c r="O69" s="1146"/>
      <c r="P69" s="504"/>
      <c r="Q69" s="504"/>
    </row>
    <row r="70" spans="1:17">
      <c r="A70" s="527" t="s">
        <v>2500</v>
      </c>
      <c r="B70" s="528" t="s">
        <v>2467</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2470</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2471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2472</v>
      </c>
      <c r="B83" s="528" t="s">
        <v>2617</v>
      </c>
      <c r="C83" s="573" t="s">
        <v>2509</v>
      </c>
      <c r="D83" s="573" t="s">
        <v>2510</v>
      </c>
      <c r="E83" s="573" t="s">
        <v>2511</v>
      </c>
      <c r="F83" s="573" t="s">
        <v>2512</v>
      </c>
      <c r="G83" s="573" t="s">
        <v>2513</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2514</v>
      </c>
      <c r="C85" s="578" t="s">
        <v>2509</v>
      </c>
      <c r="D85" s="578" t="s">
        <v>2510</v>
      </c>
      <c r="E85" s="578" t="s">
        <v>2511</v>
      </c>
      <c r="F85" s="578" t="s">
        <v>2512</v>
      </c>
      <c r="G85" s="578" t="s">
        <v>2513</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2697</v>
      </c>
      <c r="C87" s="573" t="s">
        <v>2509</v>
      </c>
      <c r="D87" s="573" t="s">
        <v>2510</v>
      </c>
      <c r="E87" s="573" t="s">
        <v>2511</v>
      </c>
      <c r="F87" s="573" t="s">
        <v>2512</v>
      </c>
      <c r="G87" s="573" t="s">
        <v>2513</v>
      </c>
      <c r="H87" s="578"/>
      <c r="I87" s="578"/>
      <c r="J87" s="578"/>
      <c r="K87" s="578"/>
      <c r="L87" s="697"/>
      <c r="M87" s="621"/>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2698</v>
      </c>
      <c r="C89" s="573" t="s">
        <v>2509</v>
      </c>
      <c r="D89" s="573" t="s">
        <v>2510</v>
      </c>
      <c r="E89" s="573" t="s">
        <v>2511</v>
      </c>
      <c r="F89" s="573" t="s">
        <v>2512</v>
      </c>
      <c r="G89" s="573" t="s">
        <v>2513</v>
      </c>
      <c r="H89" s="578"/>
      <c r="I89" s="578"/>
      <c r="J89" s="578"/>
      <c r="K89" s="578"/>
      <c r="L89" s="578"/>
      <c r="M89" s="621"/>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2566</v>
      </c>
      <c r="C91" s="573" t="s">
        <v>2509</v>
      </c>
      <c r="D91" s="573" t="s">
        <v>2510</v>
      </c>
      <c r="E91" s="573" t="s">
        <v>2511</v>
      </c>
      <c r="F91" s="573" t="s">
        <v>2512</v>
      </c>
      <c r="G91" s="573" t="s">
        <v>2513</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2715</v>
      </c>
      <c r="C93" s="659" t="s">
        <v>2587</v>
      </c>
      <c r="D93" s="659" t="s">
        <v>2588</v>
      </c>
      <c r="E93" s="659" t="s">
        <v>2589</v>
      </c>
      <c r="F93" s="659" t="s">
        <v>2590</v>
      </c>
      <c r="G93" s="659" t="s">
        <v>2591</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2"/>
      <c r="N94" s="1149"/>
      <c r="O94" s="1149"/>
      <c r="P94" s="558"/>
      <c r="Q94" s="559"/>
    </row>
    <row r="95" spans="1:17" ht="15.75" thickTop="1">
      <c r="A95" s="534"/>
      <c r="B95" s="538" t="str">
        <f>B27</f>
        <v>临街状况</v>
      </c>
      <c r="C95" s="539" t="s">
        <v>2699</v>
      </c>
      <c r="D95" s="539" t="s">
        <v>2700</v>
      </c>
      <c r="E95" s="539" t="s">
        <v>2701</v>
      </c>
      <c r="F95" s="539" t="s">
        <v>2702</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2603</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2662</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4"/>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6"/>
      <c r="H106" s="676"/>
      <c r="I106" s="676"/>
      <c r="J106" s="676"/>
      <c r="K106" s="676"/>
      <c r="L106" s="676"/>
      <c r="M106" s="698"/>
      <c r="N106" s="1148"/>
      <c r="O106" s="1148"/>
      <c r="P106" s="558"/>
      <c r="Q106" s="559"/>
    </row>
    <row r="107" spans="1:17">
      <c r="A107" s="527" t="s">
        <v>2476</v>
      </c>
      <c r="B107" s="528" t="s">
        <v>2703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2" t="str">
        <f t="shared" si="25"/>
        <v>(含)-</v>
      </c>
      <c r="L107" s="1752" t="str">
        <f t="shared" si="25"/>
        <v>(含)-</v>
      </c>
      <c r="M107" s="1753"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2704</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2706</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2707</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699"/>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1621</v>
      </c>
      <c r="B1" s="1945"/>
      <c r="C1" s="1945"/>
      <c r="D1" s="1945"/>
      <c r="E1" s="1945"/>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v>
      </c>
      <c r="B3" s="3031"/>
      <c r="C3" s="3031"/>
      <c r="D3" s="3031"/>
      <c r="E3" s="3031"/>
    </row>
    <row r="4" spans="1:5" ht="19.5" thickBot="1">
      <c r="A4" s="1947"/>
      <c r="B4" s="3029" t="s">
        <v>1630</v>
      </c>
      <c r="C4" s="3029"/>
      <c r="D4" s="3029"/>
      <c r="E4" s="1947"/>
    </row>
    <row r="5" spans="1:5" ht="16.5" thickTop="1">
      <c r="A5" s="1945"/>
      <c r="B5" s="3027" t="s">
        <v>1622</v>
      </c>
      <c r="C5" s="1948" t="s">
        <v>1623</v>
      </c>
      <c r="D5" s="1038">
        <f ca="1">结果表!H101</f>
        <v>30133</v>
      </c>
      <c r="E5" s="1945"/>
    </row>
    <row r="6" spans="1:5" ht="15.75">
      <c r="A6" s="1945"/>
      <c r="B6" s="3027"/>
      <c r="C6" s="1948" t="s">
        <v>1624</v>
      </c>
      <c r="D6" s="1038" t="str">
        <f ca="1">NUMBERSTRING(INT(D5*10000),2)&amp;"元整"</f>
        <v>叁亿零壹佰叁拾叁万元整</v>
      </c>
      <c r="E6" s="1945"/>
    </row>
    <row r="7" spans="1:5" ht="15.75">
      <c r="A7" s="1945"/>
      <c r="B7" s="3032"/>
      <c r="C7" s="1949" t="s">
        <v>1625</v>
      </c>
      <c r="D7" s="1039">
        <f ca="1">结果表!H102</f>
        <v>11175</v>
      </c>
      <c r="E7" s="1945"/>
    </row>
    <row r="8" spans="1:5" ht="15.75">
      <c r="A8" s="1945"/>
      <c r="B8" s="3033" t="str">
        <f>结果表!E103</f>
        <v>2.估价师知悉的法定优先受偿款</v>
      </c>
      <c r="C8" s="1950" t="s">
        <v>1626</v>
      </c>
      <c r="D8" s="1039">
        <f>结果表!H103</f>
        <v>0</v>
      </c>
      <c r="E8" s="1945"/>
    </row>
    <row r="9" spans="1:5" ht="15.75">
      <c r="A9" s="1945"/>
      <c r="B9" s="3035"/>
      <c r="C9" s="1948" t="s">
        <v>1624</v>
      </c>
      <c r="D9" s="1038" t="str">
        <f>NUMBERSTRING(INT(D8*10000),2)&amp;"元整"</f>
        <v>零元整</v>
      </c>
      <c r="E9" s="1945"/>
    </row>
    <row r="10" spans="1:5" ht="15">
      <c r="A10" s="1945"/>
      <c r="B10" s="1951" t="s">
        <v>1629</v>
      </c>
      <c r="C10" s="1952" t="s">
        <v>1627</v>
      </c>
      <c r="D10" s="1040">
        <f>结果表!H104</f>
        <v>0</v>
      </c>
      <c r="E10" s="1945"/>
    </row>
    <row r="11" spans="1:5" ht="15">
      <c r="A11" s="1945"/>
      <c r="B11" s="1951" t="s">
        <v>1631</v>
      </c>
      <c r="C11" s="1952" t="s">
        <v>1632</v>
      </c>
      <c r="D11" s="1040">
        <f>结果表!H105</f>
        <v>0</v>
      </c>
      <c r="E11" s="1945"/>
    </row>
    <row r="12" spans="1:5" ht="15">
      <c r="A12" s="1945"/>
      <c r="B12" s="1951" t="s">
        <v>1633</v>
      </c>
      <c r="C12" s="1952" t="s">
        <v>1632</v>
      </c>
      <c r="D12" s="1040">
        <f>结果表!H106</f>
        <v>0</v>
      </c>
      <c r="E12" s="1945"/>
    </row>
    <row r="13" spans="1:5" ht="15.75">
      <c r="A13" s="1945"/>
      <c r="B13" s="3026" t="str">
        <f>结果表!E107</f>
        <v>——</v>
      </c>
      <c r="C13" s="1953" t="s">
        <v>1623</v>
      </c>
      <c r="D13" s="1041" t="str">
        <f>结果表!H107</f>
        <v>——</v>
      </c>
      <c r="E13" s="1945"/>
    </row>
    <row r="14" spans="1:5" ht="15.75">
      <c r="A14" s="1945"/>
      <c r="B14" s="3027"/>
      <c r="C14" s="1948" t="s">
        <v>1624</v>
      </c>
      <c r="D14" s="1038" t="e">
        <f>NUMBERSTRING(INT(D13*10000),2)&amp;"元整"</f>
        <v>#VALUE!</v>
      </c>
      <c r="E14" s="1945"/>
    </row>
    <row r="15" spans="1:5" ht="15">
      <c r="A15" s="1945"/>
      <c r="B15" s="3032"/>
      <c r="C15" s="1949" t="s">
        <v>1634</v>
      </c>
      <c r="D15" s="1048" t="e">
        <f>结果表!H108</f>
        <v>#VALUE!</v>
      </c>
      <c r="E15" s="1945"/>
    </row>
    <row r="16" spans="1:5" ht="15">
      <c r="A16" s="1945"/>
      <c r="B16" s="3033" t="str">
        <f>结果表!E109</f>
        <v>3.抵押担保权已注销时的房地产抵押价值</v>
      </c>
      <c r="C16" s="1953" t="s">
        <v>1635</v>
      </c>
      <c r="D16" s="1954">
        <f ca="1">结果表!H109</f>
        <v>30133</v>
      </c>
      <c r="E16" s="1945"/>
    </row>
    <row r="17" spans="1:5" ht="15.75">
      <c r="A17" s="1945"/>
      <c r="B17" s="3034"/>
      <c r="C17" s="1948" t="s">
        <v>1636</v>
      </c>
      <c r="D17" s="1038" t="str">
        <f ca="1">NUMBERSTRING(INT(D16*10000),2)&amp;"元整"</f>
        <v>叁亿零壹佰叁拾叁万元整</v>
      </c>
      <c r="E17" s="1945"/>
    </row>
    <row r="18" spans="1:5" ht="15">
      <c r="A18" s="1945"/>
      <c r="B18" s="3035"/>
      <c r="C18" s="1949" t="s">
        <v>1625</v>
      </c>
      <c r="D18" s="1048">
        <f ca="1">结果表!H110</f>
        <v>11175</v>
      </c>
      <c r="E18" s="1945"/>
    </row>
    <row r="19" spans="1:5" ht="15.75">
      <c r="A19" s="1945"/>
      <c r="B19" s="3026" t="str">
        <f>结果表!E111</f>
        <v>——</v>
      </c>
      <c r="C19" s="1953" t="s">
        <v>1623</v>
      </c>
      <c r="D19" s="1039" t="str">
        <f>结果表!H111</f>
        <v>——</v>
      </c>
      <c r="E19" s="1945"/>
    </row>
    <row r="20" spans="1:5" ht="15.75">
      <c r="A20" s="1945"/>
      <c r="B20" s="3027"/>
      <c r="C20" s="1948" t="s">
        <v>1636</v>
      </c>
      <c r="D20" s="1038" t="e">
        <f>NUMBERSTRING(INT(D19*10000),2)&amp;"元整"</f>
        <v>#VALUE!</v>
      </c>
      <c r="E20" s="1945"/>
    </row>
    <row r="21" spans="1:5" ht="15.75" thickBot="1">
      <c r="A21" s="1945"/>
      <c r="B21" s="3028"/>
      <c r="C21" s="1955" t="s">
        <v>1634</v>
      </c>
      <c r="D21" s="1049" t="str">
        <f>结果表!H112</f>
        <v>——</v>
      </c>
      <c r="E21" s="1945"/>
    </row>
    <row r="22" spans="1:5" ht="15" thickTop="1">
      <c r="A22" s="1945"/>
      <c r="B22" s="1956" t="s">
        <v>1637</v>
      </c>
      <c r="C22" s="1945"/>
      <c r="D22" s="1945"/>
      <c r="E22" s="1945"/>
    </row>
    <row r="23" spans="1:5">
      <c r="A23" s="1945"/>
      <c r="B23" s="1945"/>
      <c r="C23" s="1945"/>
      <c r="D23" s="1945"/>
      <c r="E23" s="1945"/>
    </row>
    <row r="24" spans="1:5" ht="18.75">
      <c r="A24" s="1957"/>
      <c r="B24" s="1958" t="s">
        <v>1628</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6" t="s">
        <v>183</v>
      </c>
      <c r="B18" s="880" t="s">
        <v>560</v>
      </c>
      <c r="C18" s="881" t="s">
        <v>561</v>
      </c>
      <c r="D18" s="882"/>
      <c r="E18" s="880">
        <v>1</v>
      </c>
      <c r="F18" s="883" t="s">
        <v>562</v>
      </c>
      <c r="G18" s="884"/>
      <c r="H18" s="876"/>
      <c r="I18" s="876"/>
    </row>
    <row r="19" spans="1:9" s="885" customFormat="1" ht="19.5" customHeight="1">
      <c r="A19" s="3366"/>
      <c r="B19" s="3366" t="s">
        <v>563</v>
      </c>
      <c r="C19" s="881" t="s">
        <v>564</v>
      </c>
      <c r="D19" s="882"/>
      <c r="E19" s="880">
        <v>0.9</v>
      </c>
      <c r="F19" s="883" t="s">
        <v>565</v>
      </c>
      <c r="G19" s="884"/>
      <c r="H19" s="876"/>
      <c r="I19" s="876"/>
    </row>
    <row r="20" spans="1:9" s="885" customFormat="1" ht="19.5" customHeight="1">
      <c r="A20" s="3366"/>
      <c r="B20" s="3366"/>
      <c r="C20" s="881" t="s">
        <v>566</v>
      </c>
      <c r="D20" s="882"/>
      <c r="E20" s="880">
        <v>1.1000000000000001</v>
      </c>
      <c r="F20" s="883" t="s">
        <v>567</v>
      </c>
      <c r="G20" s="884"/>
      <c r="H20" s="876"/>
      <c r="I20" s="876"/>
    </row>
    <row r="21" spans="1:9" s="885" customFormat="1" ht="19.5" customHeight="1">
      <c r="A21" s="3366"/>
      <c r="B21" s="3366"/>
      <c r="C21" s="881" t="s">
        <v>568</v>
      </c>
      <c r="D21" s="882"/>
      <c r="E21" s="880">
        <v>0.8</v>
      </c>
      <c r="F21" s="883" t="s">
        <v>569</v>
      </c>
      <c r="G21" s="884"/>
      <c r="H21" s="876"/>
      <c r="I21" s="876"/>
    </row>
    <row r="22" spans="1:9" s="885" customFormat="1" ht="19.5" customHeight="1">
      <c r="A22" s="3366"/>
      <c r="B22" s="3366"/>
      <c r="C22" s="881" t="s">
        <v>570</v>
      </c>
      <c r="D22" s="882"/>
      <c r="E22" s="880">
        <v>0.5</v>
      </c>
      <c r="F22" s="883"/>
      <c r="G22" s="884"/>
      <c r="H22" s="876"/>
      <c r="I22" s="876"/>
    </row>
    <row r="23" spans="1:9" s="885" customFormat="1" ht="19.5" customHeight="1">
      <c r="A23" s="3366" t="s">
        <v>184</v>
      </c>
      <c r="B23" s="880" t="s">
        <v>560</v>
      </c>
      <c r="C23" s="881" t="s">
        <v>571</v>
      </c>
      <c r="D23" s="882"/>
      <c r="E23" s="880">
        <v>1</v>
      </c>
      <c r="F23" s="883" t="s">
        <v>572</v>
      </c>
      <c r="G23" s="884"/>
      <c r="H23" s="876"/>
      <c r="I23" s="876"/>
    </row>
    <row r="24" spans="1:9" s="885" customFormat="1" ht="19.5" customHeight="1">
      <c r="A24" s="3366"/>
      <c r="B24" s="3366" t="s">
        <v>563</v>
      </c>
      <c r="C24" s="881" t="s">
        <v>573</v>
      </c>
      <c r="D24" s="882"/>
      <c r="E24" s="880">
        <v>0.5</v>
      </c>
      <c r="F24" s="883"/>
      <c r="G24" s="884"/>
      <c r="H24" s="876"/>
      <c r="I24" s="876"/>
    </row>
    <row r="25" spans="1:9" s="885" customFormat="1" ht="19.5" customHeight="1">
      <c r="A25" s="3366"/>
      <c r="B25" s="3366"/>
      <c r="C25" s="881" t="s">
        <v>574</v>
      </c>
      <c r="D25" s="882"/>
      <c r="E25" s="880">
        <v>1.1000000000000001</v>
      </c>
      <c r="F25" s="883"/>
      <c r="G25" s="884"/>
      <c r="H25" s="876"/>
      <c r="I25" s="876"/>
    </row>
    <row r="26" spans="1:9" s="885" customFormat="1" ht="19.5" customHeight="1">
      <c r="A26" s="3366"/>
      <c r="B26" s="3366"/>
      <c r="C26" s="881" t="s">
        <v>575</v>
      </c>
      <c r="D26" s="882"/>
      <c r="E26" s="880">
        <v>1.1000000000000001</v>
      </c>
      <c r="F26" s="883"/>
      <c r="G26" s="884"/>
      <c r="H26" s="876"/>
      <c r="I26" s="876"/>
    </row>
    <row r="27" spans="1:9" s="885" customFormat="1" ht="19.5" customHeight="1">
      <c r="A27" s="3366"/>
      <c r="B27" s="3366"/>
      <c r="C27" s="881" t="s">
        <v>576</v>
      </c>
      <c r="D27" s="882"/>
      <c r="E27" s="880">
        <v>0.9</v>
      </c>
      <c r="F27" s="883" t="s">
        <v>577</v>
      </c>
      <c r="G27" s="884"/>
      <c r="H27" s="876"/>
      <c r="I27" s="876"/>
    </row>
    <row r="28" spans="1:9" s="885" customFormat="1" ht="19.5" customHeight="1">
      <c r="A28" s="3366"/>
      <c r="B28" s="3366"/>
      <c r="C28" s="881" t="s">
        <v>578</v>
      </c>
      <c r="D28" s="882"/>
      <c r="E28" s="880">
        <v>0.9</v>
      </c>
      <c r="F28" s="883" t="s">
        <v>579</v>
      </c>
      <c r="G28" s="884"/>
      <c r="H28" s="876"/>
      <c r="I28" s="876"/>
    </row>
    <row r="29" spans="1:9" s="885" customFormat="1" ht="19.5" customHeight="1">
      <c r="A29" s="3366"/>
      <c r="B29" s="3366"/>
      <c r="C29" s="881" t="s">
        <v>580</v>
      </c>
      <c r="D29" s="882"/>
      <c r="E29" s="880">
        <v>0.9</v>
      </c>
      <c r="F29" s="883" t="s">
        <v>581</v>
      </c>
      <c r="G29" s="884"/>
      <c r="H29" s="876"/>
      <c r="I29" s="876"/>
    </row>
    <row r="30" spans="1:9" s="885" customFormat="1" ht="19.5" customHeight="1">
      <c r="A30" s="3366"/>
      <c r="B30" s="3366"/>
      <c r="C30" s="881" t="s">
        <v>582</v>
      </c>
      <c r="D30" s="882"/>
      <c r="E30" s="880">
        <v>0.9</v>
      </c>
      <c r="F30" s="883" t="s">
        <v>583</v>
      </c>
      <c r="G30" s="884"/>
      <c r="H30" s="876"/>
      <c r="I30" s="876"/>
    </row>
    <row r="31" spans="1:9" s="885" customFormat="1" ht="19.5" customHeight="1">
      <c r="A31" s="3366"/>
      <c r="B31" s="3366"/>
      <c r="C31" s="881" t="s">
        <v>584</v>
      </c>
      <c r="D31" s="882"/>
      <c r="E31" s="880">
        <v>0.8</v>
      </c>
      <c r="F31" s="883" t="s">
        <v>585</v>
      </c>
      <c r="G31" s="884"/>
      <c r="H31" s="876"/>
      <c r="I31" s="876"/>
    </row>
    <row r="32" spans="1:9" s="885" customFormat="1" ht="19.5" customHeight="1">
      <c r="A32" s="3366"/>
      <c r="B32" s="3366"/>
      <c r="C32" s="881" t="s">
        <v>586</v>
      </c>
      <c r="D32" s="882"/>
      <c r="E32" s="880">
        <v>0.8</v>
      </c>
      <c r="F32" s="883" t="s">
        <v>587</v>
      </c>
      <c r="G32" s="884"/>
      <c r="H32" s="876"/>
      <c r="I32" s="876"/>
    </row>
    <row r="33" spans="1:9" s="885" customFormat="1" ht="19.5" customHeight="1">
      <c r="A33" s="3366" t="s">
        <v>185</v>
      </c>
      <c r="B33" s="880" t="s">
        <v>560</v>
      </c>
      <c r="C33" s="881" t="s">
        <v>588</v>
      </c>
      <c r="D33" s="882"/>
      <c r="E33" s="880">
        <v>1</v>
      </c>
      <c r="F33" s="883" t="s">
        <v>589</v>
      </c>
      <c r="G33" s="884"/>
      <c r="H33" s="876"/>
      <c r="I33" s="876"/>
    </row>
    <row r="34" spans="1:9" s="885" customFormat="1" ht="19.5" customHeight="1">
      <c r="A34" s="3366"/>
      <c r="B34" s="880" t="s">
        <v>563</v>
      </c>
      <c r="C34" s="881" t="s">
        <v>590</v>
      </c>
      <c r="D34" s="882"/>
      <c r="E34" s="880">
        <v>1.5</v>
      </c>
      <c r="F34" s="883" t="s">
        <v>591</v>
      </c>
      <c r="G34" s="884"/>
      <c r="H34" s="876"/>
      <c r="I34" s="876"/>
    </row>
    <row r="35" spans="1:9" s="885" customFormat="1" ht="19.5" customHeight="1">
      <c r="A35" s="3366" t="s">
        <v>186</v>
      </c>
      <c r="B35" s="880" t="s">
        <v>560</v>
      </c>
      <c r="C35" s="881" t="s">
        <v>592</v>
      </c>
      <c r="D35" s="882"/>
      <c r="E35" s="880">
        <v>1</v>
      </c>
      <c r="F35" s="883" t="s">
        <v>593</v>
      </c>
      <c r="G35" s="884"/>
      <c r="H35" s="876"/>
      <c r="I35" s="876"/>
    </row>
    <row r="36" spans="1:9" s="885" customFormat="1" ht="19.5" customHeight="1">
      <c r="A36" s="3366"/>
      <c r="B36" s="3366" t="s">
        <v>563</v>
      </c>
      <c r="C36" s="881" t="s">
        <v>594</v>
      </c>
      <c r="D36" s="882"/>
      <c r="E36" s="880">
        <v>1</v>
      </c>
      <c r="F36" s="883" t="s">
        <v>595</v>
      </c>
      <c r="G36" s="884"/>
      <c r="H36" s="876"/>
      <c r="I36" s="876"/>
    </row>
    <row r="37" spans="1:9" s="885" customFormat="1" ht="19.5" customHeight="1">
      <c r="A37" s="3366"/>
      <c r="B37" s="3366"/>
      <c r="C37" s="881" t="s">
        <v>596</v>
      </c>
      <c r="D37" s="882"/>
      <c r="E37" s="880">
        <v>1.5</v>
      </c>
      <c r="F37" s="883" t="s">
        <v>597</v>
      </c>
      <c r="G37" s="884"/>
      <c r="H37" s="876"/>
      <c r="I37" s="876"/>
    </row>
    <row r="38" spans="1:9" s="885" customFormat="1" ht="19.5" customHeight="1">
      <c r="A38" s="3366"/>
      <c r="B38" s="3366"/>
      <c r="C38" s="881" t="s">
        <v>598</v>
      </c>
      <c r="D38" s="882"/>
      <c r="E38" s="880">
        <v>1</v>
      </c>
      <c r="F38" s="883" t="s">
        <v>599</v>
      </c>
      <c r="G38" s="884"/>
      <c r="H38" s="876"/>
      <c r="I38" s="876"/>
    </row>
    <row r="39" spans="1:9" s="885" customFormat="1" ht="19.5" customHeight="1">
      <c r="A39" s="3366"/>
      <c r="B39" s="336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6" t="s">
        <v>614</v>
      </c>
      <c r="C61" s="816" t="s">
        <v>615</v>
      </c>
      <c r="D61" s="816" t="s">
        <v>616</v>
      </c>
      <c r="E61" s="893">
        <v>0.5</v>
      </c>
      <c r="F61" s="880">
        <v>80</v>
      </c>
    </row>
    <row r="62" spans="1:8" s="876" customFormat="1" ht="24">
      <c r="A62" s="880">
        <v>2</v>
      </c>
      <c r="B62" s="3366"/>
      <c r="C62" s="816" t="s">
        <v>617</v>
      </c>
      <c r="D62" s="816" t="s">
        <v>618</v>
      </c>
      <c r="E62" s="893">
        <v>0.5</v>
      </c>
      <c r="F62" s="880">
        <v>80</v>
      </c>
    </row>
    <row r="63" spans="1:8" s="876" customFormat="1" ht="36">
      <c r="A63" s="880">
        <v>3</v>
      </c>
      <c r="B63" s="3366"/>
      <c r="C63" s="816" t="s">
        <v>619</v>
      </c>
      <c r="D63" s="816" t="s">
        <v>620</v>
      </c>
      <c r="E63" s="893">
        <v>0.5</v>
      </c>
      <c r="F63" s="880">
        <v>80</v>
      </c>
    </row>
    <row r="64" spans="1:8" s="876" customFormat="1" ht="36">
      <c r="A64" s="880">
        <v>4</v>
      </c>
      <c r="B64" s="3366"/>
      <c r="C64" s="816" t="s">
        <v>621</v>
      </c>
      <c r="D64" s="816" t="s">
        <v>622</v>
      </c>
      <c r="E64" s="893">
        <v>0.4</v>
      </c>
      <c r="F64" s="880">
        <v>60</v>
      </c>
    </row>
    <row r="65" spans="1:6" s="876" customFormat="1" ht="36">
      <c r="A65" s="880">
        <v>5</v>
      </c>
      <c r="B65" s="3366"/>
      <c r="C65" s="816" t="s">
        <v>623</v>
      </c>
      <c r="D65" s="816" t="s">
        <v>624</v>
      </c>
      <c r="E65" s="893">
        <v>0.2</v>
      </c>
      <c r="F65" s="880">
        <v>30</v>
      </c>
    </row>
    <row r="66" spans="1:6" s="876" customFormat="1" ht="36">
      <c r="A66" s="880">
        <v>6</v>
      </c>
      <c r="B66" s="3366"/>
      <c r="C66" s="816" t="s">
        <v>625</v>
      </c>
      <c r="D66" s="816" t="s">
        <v>626</v>
      </c>
      <c r="E66" s="893">
        <v>0.3</v>
      </c>
      <c r="F66" s="880">
        <v>50</v>
      </c>
    </row>
    <row r="67" spans="1:6" s="876" customFormat="1" ht="36">
      <c r="A67" s="880">
        <v>7</v>
      </c>
      <c r="B67" s="3366"/>
      <c r="C67" s="816" t="s">
        <v>627</v>
      </c>
      <c r="D67" s="816" t="s">
        <v>628</v>
      </c>
      <c r="E67" s="893">
        <v>0.2</v>
      </c>
      <c r="F67" s="880">
        <v>30</v>
      </c>
    </row>
    <row r="68" spans="1:6" s="876" customFormat="1" ht="36">
      <c r="A68" s="880">
        <v>8</v>
      </c>
      <c r="B68" s="3366"/>
      <c r="C68" s="816" t="s">
        <v>629</v>
      </c>
      <c r="D68" s="816" t="s">
        <v>630</v>
      </c>
      <c r="E68" s="893">
        <v>0.2</v>
      </c>
      <c r="F68" s="880">
        <v>30</v>
      </c>
    </row>
    <row r="69" spans="1:6" s="876" customFormat="1" ht="36">
      <c r="A69" s="880">
        <v>9</v>
      </c>
      <c r="B69" s="3366"/>
      <c r="C69" s="816" t="s">
        <v>631</v>
      </c>
      <c r="D69" s="816" t="s">
        <v>632</v>
      </c>
      <c r="E69" s="893">
        <v>0.2</v>
      </c>
      <c r="F69" s="880">
        <v>30</v>
      </c>
    </row>
    <row r="70" spans="1:6" s="876" customFormat="1" ht="48">
      <c r="A70" s="880">
        <v>10</v>
      </c>
      <c r="B70" s="3366"/>
      <c r="C70" s="816" t="s">
        <v>633</v>
      </c>
      <c r="D70" s="816" t="s">
        <v>634</v>
      </c>
      <c r="E70" s="893">
        <v>0.2</v>
      </c>
      <c r="F70" s="880">
        <v>30</v>
      </c>
    </row>
    <row r="71" spans="1:6" s="876" customFormat="1" ht="48">
      <c r="A71" s="880">
        <v>11</v>
      </c>
      <c r="B71" s="3366"/>
      <c r="C71" s="816" t="s">
        <v>635</v>
      </c>
      <c r="D71" s="816" t="s">
        <v>636</v>
      </c>
      <c r="E71" s="893">
        <v>0.2</v>
      </c>
      <c r="F71" s="880">
        <v>30</v>
      </c>
    </row>
    <row r="72" spans="1:6" s="876" customFormat="1" ht="36">
      <c r="A72" s="880">
        <v>12</v>
      </c>
      <c r="B72" s="3366"/>
      <c r="C72" s="816" t="s">
        <v>637</v>
      </c>
      <c r="D72" s="816" t="s">
        <v>638</v>
      </c>
      <c r="E72" s="893">
        <v>0.5</v>
      </c>
      <c r="F72" s="880">
        <v>80</v>
      </c>
    </row>
    <row r="73" spans="1:6" s="876" customFormat="1" ht="24">
      <c r="A73" s="880">
        <v>13</v>
      </c>
      <c r="B73" s="3366"/>
      <c r="C73" s="816" t="s">
        <v>639</v>
      </c>
      <c r="D73" s="816" t="s">
        <v>640</v>
      </c>
      <c r="E73" s="893">
        <v>0.4</v>
      </c>
      <c r="F73" s="880">
        <v>60</v>
      </c>
    </row>
    <row r="74" spans="1:6" s="876" customFormat="1" ht="24">
      <c r="A74" s="880">
        <v>14</v>
      </c>
      <c r="B74" s="3366"/>
      <c r="C74" s="816" t="s">
        <v>641</v>
      </c>
      <c r="D74" s="816" t="s">
        <v>642</v>
      </c>
      <c r="E74" s="893">
        <v>0.2</v>
      </c>
      <c r="F74" s="880">
        <v>30</v>
      </c>
    </row>
    <row r="75" spans="1:6" s="876" customFormat="1" ht="24">
      <c r="A75" s="880">
        <v>15</v>
      </c>
      <c r="B75" s="3366"/>
      <c r="C75" s="816" t="s">
        <v>643</v>
      </c>
      <c r="D75" s="816" t="s">
        <v>644</v>
      </c>
      <c r="E75" s="893">
        <v>0.2</v>
      </c>
      <c r="F75" s="880">
        <v>30</v>
      </c>
    </row>
    <row r="76" spans="1:6" s="876" customFormat="1" ht="24">
      <c r="A76" s="880">
        <v>16</v>
      </c>
      <c r="B76" s="3366" t="s">
        <v>645</v>
      </c>
      <c r="C76" s="816" t="s">
        <v>646</v>
      </c>
      <c r="D76" s="816" t="s">
        <v>647</v>
      </c>
      <c r="E76" s="893">
        <v>0.5</v>
      </c>
      <c r="F76" s="880">
        <v>80</v>
      </c>
    </row>
    <row r="77" spans="1:6" s="876" customFormat="1" ht="24">
      <c r="A77" s="880">
        <v>17</v>
      </c>
      <c r="B77" s="3366"/>
      <c r="C77" s="816" t="s">
        <v>648</v>
      </c>
      <c r="D77" s="816" t="s">
        <v>649</v>
      </c>
      <c r="E77" s="893">
        <v>0.5</v>
      </c>
      <c r="F77" s="880">
        <v>80</v>
      </c>
    </row>
    <row r="78" spans="1:6" s="876" customFormat="1" ht="24">
      <c r="A78" s="880">
        <v>18</v>
      </c>
      <c r="B78" s="3366"/>
      <c r="C78" s="816" t="s">
        <v>650</v>
      </c>
      <c r="D78" s="816" t="s">
        <v>651</v>
      </c>
      <c r="E78" s="893">
        <v>0.2</v>
      </c>
      <c r="F78" s="880">
        <v>30</v>
      </c>
    </row>
    <row r="79" spans="1:6" s="876" customFormat="1" ht="24">
      <c r="A79" s="880">
        <v>19</v>
      </c>
      <c r="B79" s="3366"/>
      <c r="C79" s="816" t="s">
        <v>652</v>
      </c>
      <c r="D79" s="816" t="s">
        <v>653</v>
      </c>
      <c r="E79" s="893">
        <v>0.5</v>
      </c>
      <c r="F79" s="880">
        <v>80</v>
      </c>
    </row>
    <row r="80" spans="1:6" s="876" customFormat="1" ht="36">
      <c r="A80" s="880">
        <v>20</v>
      </c>
      <c r="B80" s="3366"/>
      <c r="C80" s="816" t="s">
        <v>654</v>
      </c>
      <c r="D80" s="816" t="s">
        <v>655</v>
      </c>
      <c r="E80" s="893">
        <v>0.2</v>
      </c>
      <c r="F80" s="880">
        <v>30</v>
      </c>
    </row>
    <row r="81" spans="1:6" s="876" customFormat="1" ht="36">
      <c r="A81" s="880">
        <v>21</v>
      </c>
      <c r="B81" s="3366"/>
      <c r="C81" s="816" t="s">
        <v>656</v>
      </c>
      <c r="D81" s="816" t="s">
        <v>657</v>
      </c>
      <c r="E81" s="893">
        <v>0.2</v>
      </c>
      <c r="F81" s="880">
        <v>30</v>
      </c>
    </row>
    <row r="82" spans="1:6" s="876" customFormat="1" ht="48">
      <c r="A82" s="880">
        <v>22</v>
      </c>
      <c r="B82" s="3366"/>
      <c r="C82" s="816" t="s">
        <v>658</v>
      </c>
      <c r="D82" s="816" t="s">
        <v>659</v>
      </c>
      <c r="E82" s="893">
        <v>0.2</v>
      </c>
      <c r="F82" s="880">
        <v>30</v>
      </c>
    </row>
    <row r="83" spans="1:6" s="876" customFormat="1" ht="48">
      <c r="A83" s="880">
        <v>23</v>
      </c>
      <c r="B83" s="3366"/>
      <c r="C83" s="816" t="s">
        <v>660</v>
      </c>
      <c r="D83" s="816" t="s">
        <v>661</v>
      </c>
      <c r="E83" s="893">
        <v>0.2</v>
      </c>
      <c r="F83" s="880">
        <v>30</v>
      </c>
    </row>
    <row r="84" spans="1:6" s="876" customFormat="1" ht="36">
      <c r="A84" s="880">
        <v>24</v>
      </c>
      <c r="B84" s="3366"/>
      <c r="C84" s="816" t="s">
        <v>662</v>
      </c>
      <c r="D84" s="816" t="s">
        <v>663</v>
      </c>
      <c r="E84" s="893">
        <v>0.2</v>
      </c>
      <c r="F84" s="880">
        <v>30</v>
      </c>
    </row>
    <row r="85" spans="1:6" s="876" customFormat="1" ht="36">
      <c r="A85" s="880">
        <v>25</v>
      </c>
      <c r="B85" s="3366"/>
      <c r="C85" s="816" t="s">
        <v>664</v>
      </c>
      <c r="D85" s="816" t="s">
        <v>665</v>
      </c>
      <c r="E85" s="893">
        <v>0.5</v>
      </c>
      <c r="F85" s="880">
        <v>80</v>
      </c>
    </row>
    <row r="86" spans="1:6" s="876" customFormat="1" ht="36">
      <c r="A86" s="880">
        <v>26</v>
      </c>
      <c r="B86" s="3366"/>
      <c r="C86" s="816" t="s">
        <v>666</v>
      </c>
      <c r="D86" s="816" t="s">
        <v>667</v>
      </c>
      <c r="E86" s="893">
        <v>0.2</v>
      </c>
      <c r="F86" s="880">
        <v>30</v>
      </c>
    </row>
    <row r="87" spans="1:6" s="876" customFormat="1" ht="36">
      <c r="A87" s="880">
        <v>27</v>
      </c>
      <c r="B87" s="3366"/>
      <c r="C87" s="816" t="s">
        <v>668</v>
      </c>
      <c r="D87" s="816" t="s">
        <v>669</v>
      </c>
      <c r="E87" s="893">
        <v>0.2</v>
      </c>
      <c r="F87" s="880">
        <v>30</v>
      </c>
    </row>
    <row r="88" spans="1:6" s="876" customFormat="1" ht="36">
      <c r="A88" s="880">
        <v>28</v>
      </c>
      <c r="B88" s="3366"/>
      <c r="C88" s="816" t="s">
        <v>670</v>
      </c>
      <c r="D88" s="816" t="s">
        <v>671</v>
      </c>
      <c r="E88" s="893">
        <v>0.2</v>
      </c>
      <c r="F88" s="880">
        <v>30</v>
      </c>
    </row>
    <row r="89" spans="1:6" s="876" customFormat="1" ht="24">
      <c r="A89" s="880">
        <v>29</v>
      </c>
      <c r="B89" s="3366"/>
      <c r="C89" s="816" t="s">
        <v>672</v>
      </c>
      <c r="D89" s="816" t="s">
        <v>673</v>
      </c>
      <c r="E89" s="893">
        <v>0.2</v>
      </c>
      <c r="F89" s="880">
        <v>30</v>
      </c>
    </row>
    <row r="90" spans="1:6" s="876" customFormat="1" ht="24">
      <c r="A90" s="880">
        <v>30</v>
      </c>
      <c r="B90" s="3366"/>
      <c r="C90" s="816" t="s">
        <v>674</v>
      </c>
      <c r="D90" s="816" t="s">
        <v>675</v>
      </c>
      <c r="E90" s="893">
        <v>0.2</v>
      </c>
      <c r="F90" s="880">
        <v>30</v>
      </c>
    </row>
    <row r="91" spans="1:6" s="876" customFormat="1" ht="36">
      <c r="A91" s="880">
        <v>31</v>
      </c>
      <c r="B91" s="3366"/>
      <c r="C91" s="816" t="s">
        <v>676</v>
      </c>
      <c r="D91" s="816" t="s">
        <v>677</v>
      </c>
      <c r="E91" s="893">
        <v>0.2</v>
      </c>
      <c r="F91" s="880">
        <v>30</v>
      </c>
    </row>
    <row r="92" spans="1:6" s="876" customFormat="1" ht="24">
      <c r="A92" s="880">
        <v>32</v>
      </c>
      <c r="B92" s="3366" t="s">
        <v>678</v>
      </c>
      <c r="C92" s="880" t="s">
        <v>679</v>
      </c>
      <c r="D92" s="816" t="s">
        <v>680</v>
      </c>
      <c r="E92" s="893">
        <v>0.2</v>
      </c>
      <c r="F92" s="880">
        <v>30</v>
      </c>
    </row>
    <row r="93" spans="1:6" s="876" customFormat="1" ht="36">
      <c r="A93" s="880">
        <v>33</v>
      </c>
      <c r="B93" s="3366"/>
      <c r="C93" s="880" t="s">
        <v>681</v>
      </c>
      <c r="D93" s="816" t="s">
        <v>682</v>
      </c>
      <c r="E93" s="893">
        <v>0.2</v>
      </c>
      <c r="F93" s="880">
        <v>30</v>
      </c>
    </row>
    <row r="94" spans="1:6" s="876" customFormat="1" ht="48">
      <c r="A94" s="880">
        <v>34</v>
      </c>
      <c r="B94" s="3366"/>
      <c r="C94" s="880" t="s">
        <v>683</v>
      </c>
      <c r="D94" s="816" t="s">
        <v>684</v>
      </c>
      <c r="E94" s="893">
        <v>0.2</v>
      </c>
      <c r="F94" s="880">
        <v>30</v>
      </c>
    </row>
    <row r="95" spans="1:6" s="876" customFormat="1" ht="36">
      <c r="A95" s="880">
        <v>35</v>
      </c>
      <c r="B95" s="3366"/>
      <c r="C95" s="880" t="s">
        <v>685</v>
      </c>
      <c r="D95" s="816" t="s">
        <v>686</v>
      </c>
      <c r="E95" s="893">
        <v>0.2</v>
      </c>
      <c r="F95" s="880">
        <v>30</v>
      </c>
    </row>
    <row r="96" spans="1:6" s="876" customFormat="1" ht="48">
      <c r="A96" s="880">
        <v>36</v>
      </c>
      <c r="B96" s="3366"/>
      <c r="C96" s="816" t="s">
        <v>687</v>
      </c>
      <c r="D96" s="816" t="s">
        <v>688</v>
      </c>
      <c r="E96" s="893">
        <v>0.2</v>
      </c>
      <c r="F96" s="880">
        <v>30</v>
      </c>
    </row>
    <row r="97" spans="1:6" s="876" customFormat="1" ht="36">
      <c r="A97" s="880">
        <v>37</v>
      </c>
      <c r="B97" s="3366"/>
      <c r="C97" s="880" t="s">
        <v>689</v>
      </c>
      <c r="D97" s="816" t="s">
        <v>690</v>
      </c>
      <c r="E97" s="893">
        <v>0.2</v>
      </c>
      <c r="F97" s="880">
        <v>30</v>
      </c>
    </row>
    <row r="98" spans="1:6" s="876" customFormat="1" ht="36">
      <c r="A98" s="880">
        <v>38</v>
      </c>
      <c r="B98" s="3366"/>
      <c r="C98" s="880" t="s">
        <v>691</v>
      </c>
      <c r="D98" s="816" t="s">
        <v>692</v>
      </c>
      <c r="E98" s="893">
        <v>0.2</v>
      </c>
      <c r="F98" s="880">
        <v>30</v>
      </c>
    </row>
    <row r="99" spans="1:6" s="876" customFormat="1" ht="36">
      <c r="A99" s="880">
        <v>39</v>
      </c>
      <c r="B99" s="3366" t="s">
        <v>693</v>
      </c>
      <c r="C99" s="880" t="s">
        <v>694</v>
      </c>
      <c r="D99" s="816" t="s">
        <v>695</v>
      </c>
      <c r="E99" s="893">
        <v>0.3</v>
      </c>
      <c r="F99" s="880">
        <v>50</v>
      </c>
    </row>
    <row r="100" spans="1:6" s="876" customFormat="1" ht="24">
      <c r="A100" s="880">
        <v>40</v>
      </c>
      <c r="B100" s="3366"/>
      <c r="C100" s="880" t="s">
        <v>696</v>
      </c>
      <c r="D100" s="816" t="s">
        <v>697</v>
      </c>
      <c r="E100" s="893">
        <v>0.2</v>
      </c>
      <c r="F100" s="880">
        <v>30</v>
      </c>
    </row>
    <row r="101" spans="1:6" s="876" customFormat="1" ht="36">
      <c r="A101" s="880">
        <v>41</v>
      </c>
      <c r="B101" s="336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6" t="s">
        <v>708</v>
      </c>
      <c r="C105" s="880" t="s">
        <v>709</v>
      </c>
      <c r="D105" s="816" t="s">
        <v>710</v>
      </c>
      <c r="E105" s="893">
        <v>0.2</v>
      </c>
      <c r="F105" s="880">
        <v>30</v>
      </c>
    </row>
    <row r="106" spans="1:6" s="876" customFormat="1" ht="36">
      <c r="A106" s="880">
        <v>46</v>
      </c>
      <c r="B106" s="3366"/>
      <c r="C106" s="880" t="s">
        <v>711</v>
      </c>
      <c r="D106" s="816" t="s">
        <v>712</v>
      </c>
      <c r="E106" s="893">
        <v>0.2</v>
      </c>
      <c r="F106" s="880">
        <v>30</v>
      </c>
    </row>
    <row r="107" spans="1:6" s="876" customFormat="1" ht="36">
      <c r="A107" s="880">
        <v>47</v>
      </c>
      <c r="B107" s="3366" t="s">
        <v>713</v>
      </c>
      <c r="C107" s="880" t="s">
        <v>714</v>
      </c>
      <c r="D107" s="816" t="s">
        <v>715</v>
      </c>
      <c r="E107" s="893">
        <v>0.3</v>
      </c>
      <c r="F107" s="880">
        <v>50</v>
      </c>
    </row>
    <row r="108" spans="1:6" s="876" customFormat="1" ht="36">
      <c r="A108" s="880">
        <v>48</v>
      </c>
      <c r="B108" s="336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6" t="s">
        <v>724</v>
      </c>
      <c r="C111" s="880" t="s">
        <v>725</v>
      </c>
      <c r="D111" s="816" t="s">
        <v>726</v>
      </c>
      <c r="E111" s="893">
        <v>0.2</v>
      </c>
      <c r="F111" s="880">
        <v>30</v>
      </c>
    </row>
    <row r="112" spans="1:6" s="876" customFormat="1" ht="24">
      <c r="A112" s="880">
        <v>52</v>
      </c>
      <c r="B112" s="3366"/>
      <c r="C112" s="880" t="s">
        <v>727</v>
      </c>
      <c r="D112" s="816" t="s">
        <v>728</v>
      </c>
      <c r="E112" s="893">
        <v>0.2</v>
      </c>
      <c r="F112" s="880">
        <v>30</v>
      </c>
    </row>
    <row r="113" spans="1:6" s="876" customFormat="1" ht="24">
      <c r="A113" s="880">
        <v>53</v>
      </c>
      <c r="B113" s="336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6" t="s">
        <v>737</v>
      </c>
      <c r="C116" s="880" t="s">
        <v>738</v>
      </c>
      <c r="D116" s="816" t="s">
        <v>739</v>
      </c>
      <c r="E116" s="893">
        <v>0.2</v>
      </c>
      <c r="F116" s="880">
        <v>30</v>
      </c>
    </row>
    <row r="117" spans="1:6" ht="36">
      <c r="A117" s="880">
        <v>57</v>
      </c>
      <c r="B117" s="336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0.83160000000000001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446" t="s">
        <v>2914</v>
      </c>
    </row>
    <row r="2" spans="1:5" ht="15.75">
      <c r="A2" s="2793" t="s">
        <v>2906</v>
      </c>
      <c r="B2" s="2794">
        <f ca="1">SUMIF(B6:B13,"&lt;&gt;#ref!",B6:B13)</f>
        <v>81189</v>
      </c>
      <c r="C2" s="2793" t="s">
        <v>2907</v>
      </c>
      <c r="D2" s="2793" t="s">
        <v>2908</v>
      </c>
      <c r="E2" s="2794" t="e">
        <f ca="1">SUM(E6:E13)</f>
        <v>#REF!</v>
      </c>
    </row>
    <row r="3" spans="1:5" ht="15.75">
      <c r="A3" s="2793" t="s">
        <v>2909</v>
      </c>
      <c r="B3" s="2794" t="e">
        <f ca="1">ROUND(B2*10000/E2,0)</f>
        <v>#REF!</v>
      </c>
      <c r="C3" s="2793" t="s">
        <v>2915</v>
      </c>
      <c r="D3" s="2795"/>
      <c r="E3" s="2795"/>
    </row>
    <row r="4" spans="1:5" ht="15.75">
      <c r="A4" s="2796"/>
      <c r="B4" s="2795"/>
      <c r="C4" s="2795"/>
      <c r="D4" s="2795"/>
      <c r="E4" s="2795"/>
    </row>
    <row r="5" spans="1:5" ht="28.5">
      <c r="A5" s="2797" t="s">
        <v>2910</v>
      </c>
      <c r="B5" s="2793" t="s">
        <v>2911</v>
      </c>
      <c r="C5" s="2794"/>
      <c r="D5" s="2795"/>
      <c r="E5" s="2793" t="s">
        <v>2912</v>
      </c>
    </row>
    <row r="6" spans="1:5" ht="15.75">
      <c r="A6" s="2798" t="s">
        <v>2913</v>
      </c>
      <c r="B6" s="2794">
        <f ca="1">SUMIF(INDIRECT("'"&amp;A6&amp;"'"&amp;"!A:A"),"总价",INDIRECT("'"&amp;A6&amp;"'"&amp;"!B:B"))</f>
        <v>81189</v>
      </c>
      <c r="C6" s="2793" t="s">
        <v>2907</v>
      </c>
      <c r="D6" s="2795"/>
      <c r="E6" s="2460">
        <f ca="1">SUMIF(INDIRECT("'"&amp;A6&amp;"'"&amp;"!C:C"),"建筑面积",INDIRECT("'"&amp;A6&amp;"'"&amp;"!D:D"))</f>
        <v>25370.109999999993</v>
      </c>
    </row>
    <row r="7" spans="1:5" ht="15.75">
      <c r="A7" s="2798"/>
      <c r="B7" s="2794" t="e">
        <f ca="1">SUMIF(INDIRECT("'"&amp;A7&amp;"'"&amp;"!A:A"),"总价",INDIRECT("'"&amp;A7&amp;"'"&amp;"!B:B"))</f>
        <v>#REF!</v>
      </c>
      <c r="C7" s="2793" t="s">
        <v>2907</v>
      </c>
      <c r="D7" s="2795"/>
      <c r="E7" s="2460" t="e">
        <f t="shared" ref="E7:E13" ca="1" si="0">SUMIF(INDIRECT("'"&amp;A7&amp;"'"&amp;"!C:C"),"建筑面积",INDIRECT("'"&amp;A7&amp;"'"&amp;"!D:D"))</f>
        <v>#REF!</v>
      </c>
    </row>
    <row r="8" spans="1:5" ht="15.75">
      <c r="A8" s="2798"/>
      <c r="B8" s="2794" t="e">
        <f t="shared" ref="B8:B13" ca="1" si="1">SUMIF(INDIRECT("'"&amp;A8&amp;"'"&amp;"!A:A"),"总价",INDIRECT("'"&amp;A8&amp;"'"&amp;"!B:B"))</f>
        <v>#REF!</v>
      </c>
      <c r="C8" s="2793" t="s">
        <v>2907</v>
      </c>
      <c r="D8" s="2795"/>
      <c r="E8" s="2460" t="e">
        <f t="shared" ca="1" si="0"/>
        <v>#REF!</v>
      </c>
    </row>
    <row r="9" spans="1:5" ht="15.75">
      <c r="A9" s="2798"/>
      <c r="B9" s="2794" t="e">
        <f t="shared" ca="1" si="1"/>
        <v>#REF!</v>
      </c>
      <c r="C9" s="2793" t="s">
        <v>2907</v>
      </c>
      <c r="D9" s="2795"/>
      <c r="E9" s="2460" t="e">
        <f t="shared" ca="1" si="0"/>
        <v>#REF!</v>
      </c>
    </row>
    <row r="10" spans="1:5" ht="15.75">
      <c r="A10" s="2798"/>
      <c r="B10" s="2794" t="e">
        <f t="shared" ca="1" si="1"/>
        <v>#REF!</v>
      </c>
      <c r="C10" s="2793" t="s">
        <v>2907</v>
      </c>
      <c r="D10" s="2795"/>
      <c r="E10" s="2460" t="e">
        <f t="shared" ca="1" si="0"/>
        <v>#REF!</v>
      </c>
    </row>
    <row r="11" spans="1:5" ht="15.75">
      <c r="A11" s="2798"/>
      <c r="B11" s="2794" t="e">
        <f t="shared" ca="1" si="1"/>
        <v>#REF!</v>
      </c>
      <c r="C11" s="2793" t="s">
        <v>2907</v>
      </c>
      <c r="D11" s="2795"/>
      <c r="E11" s="2460" t="e">
        <f t="shared" ca="1" si="0"/>
        <v>#REF!</v>
      </c>
    </row>
    <row r="12" spans="1:5" ht="15.75">
      <c r="A12" s="2798"/>
      <c r="B12" s="2794" t="e">
        <f t="shared" ca="1" si="1"/>
        <v>#REF!</v>
      </c>
      <c r="C12" s="2793" t="s">
        <v>2907</v>
      </c>
      <c r="D12" s="2795"/>
      <c r="E12" s="2460" t="e">
        <f t="shared" ca="1" si="0"/>
        <v>#REF!</v>
      </c>
    </row>
    <row r="13" spans="1:5" ht="15.75">
      <c r="A13" s="2798"/>
      <c r="B13" s="2794" t="e">
        <f t="shared" ca="1" si="1"/>
        <v>#REF!</v>
      </c>
      <c r="C13" s="2793" t="s">
        <v>2907</v>
      </c>
      <c r="D13" s="2795"/>
      <c r="E13" s="24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57"/>
    <col min="2" max="6" width="9" style="1457" customWidth="1"/>
    <col min="7" max="7" width="9" style="1472"/>
    <col min="8" max="8" width="9" style="1457"/>
    <col min="9" max="12" width="9" style="1457" customWidth="1"/>
    <col min="13" max="13" width="2.25" style="1457" customWidth="1"/>
    <col min="14" max="14" width="9" style="1472" customWidth="1"/>
    <col min="15" max="17" width="9" style="1457" customWidth="1"/>
    <col min="18" max="18" width="2.375" style="1457" customWidth="1"/>
    <col min="19" max="19" width="7.125" style="1472" customWidth="1"/>
    <col min="20" max="22" width="7.125" style="1457" customWidth="1"/>
    <col min="23" max="23" width="24.25" style="1457" customWidth="1"/>
    <col min="24" max="25" width="9" style="1457"/>
    <col min="26" max="27" width="11.625" style="1457" customWidth="1"/>
    <col min="28" max="28" width="9" style="1457"/>
    <col min="29" max="29" width="2" style="1457" customWidth="1"/>
    <col min="30" max="16384" width="9" style="1457"/>
  </cols>
  <sheetData>
    <row r="1" spans="1:34" s="1431" customFormat="1">
      <c r="B1" s="3372" t="s">
        <v>1150</v>
      </c>
      <c r="C1" s="3372"/>
      <c r="D1" s="3372"/>
      <c r="E1" s="3372"/>
      <c r="F1" s="3372"/>
      <c r="G1" s="3371" t="s">
        <v>1151</v>
      </c>
      <c r="H1" s="3371"/>
      <c r="I1" s="3371"/>
      <c r="J1" s="3371"/>
      <c r="K1" s="3371"/>
      <c r="L1" s="3371"/>
      <c r="N1" s="3371" t="s">
        <v>1152</v>
      </c>
      <c r="O1" s="3371"/>
      <c r="P1" s="3371"/>
      <c r="Q1" s="3371"/>
      <c r="R1" s="1432"/>
      <c r="S1" s="3371" t="s">
        <v>1153</v>
      </c>
      <c r="T1" s="3371"/>
      <c r="U1" s="3371"/>
      <c r="V1" s="3371"/>
      <c r="X1" s="3370" t="s">
        <v>1154</v>
      </c>
      <c r="Y1" s="3371"/>
      <c r="Z1" s="3371"/>
      <c r="AA1" s="3371"/>
      <c r="AB1" s="3371"/>
      <c r="AD1" s="3370" t="s">
        <v>1155</v>
      </c>
      <c r="AE1" s="3371"/>
      <c r="AF1" s="3371"/>
      <c r="AG1" s="3371"/>
      <c r="AH1" s="3371"/>
    </row>
    <row r="2" spans="1:34" s="1433" customFormat="1" ht="14.25" thickBot="1">
      <c r="B2" s="1434" t="s">
        <v>1156</v>
      </c>
      <c r="C2" s="1434" t="s">
        <v>1157</v>
      </c>
      <c r="D2" s="1435" t="s">
        <v>1158</v>
      </c>
      <c r="E2" s="1435" t="s">
        <v>1159</v>
      </c>
      <c r="F2" s="1434" t="s">
        <v>1160</v>
      </c>
      <c r="G2" s="1436"/>
      <c r="H2" s="1437"/>
      <c r="I2" s="1434" t="s">
        <v>1156</v>
      </c>
      <c r="J2" s="1435" t="s">
        <v>1384</v>
      </c>
      <c r="K2" s="1435" t="s">
        <v>751</v>
      </c>
      <c r="L2" s="1434" t="s">
        <v>1160</v>
      </c>
      <c r="N2" s="1434" t="s">
        <v>1156</v>
      </c>
      <c r="O2" s="1435" t="s">
        <v>1384</v>
      </c>
      <c r="P2" s="1435" t="s">
        <v>751</v>
      </c>
      <c r="Q2" s="1434" t="s">
        <v>1160</v>
      </c>
      <c r="R2" s="1438"/>
      <c r="S2" s="1434" t="s">
        <v>1156</v>
      </c>
      <c r="T2" s="1435" t="s">
        <v>1384</v>
      </c>
      <c r="U2" s="1435" t="s">
        <v>751</v>
      </c>
      <c r="V2" s="1434" t="s">
        <v>1160</v>
      </c>
      <c r="X2" s="1434" t="s">
        <v>1156</v>
      </c>
      <c r="Y2" s="1434" t="s">
        <v>1157</v>
      </c>
      <c r="Z2" s="1435" t="s">
        <v>1158</v>
      </c>
      <c r="AA2" s="1435" t="s">
        <v>1159</v>
      </c>
      <c r="AB2" s="1434" t="s">
        <v>1160</v>
      </c>
      <c r="AD2" s="1434" t="s">
        <v>1156</v>
      </c>
      <c r="AE2" s="1434" t="s">
        <v>1157</v>
      </c>
      <c r="AF2" s="1435" t="s">
        <v>1158</v>
      </c>
      <c r="AG2" s="1435" t="s">
        <v>1159</v>
      </c>
      <c r="AH2" s="1434" t="s">
        <v>1160</v>
      </c>
    </row>
    <row r="3" spans="1:34" s="2823" customFormat="1" ht="14.25">
      <c r="A3" s="2832" t="s">
        <v>2945</v>
      </c>
      <c r="B3" s="2824"/>
      <c r="C3" s="2824"/>
      <c r="D3" s="2825"/>
      <c r="E3" s="2825"/>
      <c r="F3" s="2824"/>
      <c r="G3" s="2826"/>
      <c r="H3" s="2827"/>
      <c r="I3" s="2828">
        <f>ROUND(AVERAGE($I6:$I21),2)</f>
        <v>2.4500000000000002</v>
      </c>
      <c r="J3" s="2828">
        <f>ROUND(AVERAGE($J6:$J21),2)</f>
        <v>1.65</v>
      </c>
      <c r="K3" s="2828">
        <f>ROUND(AVERAGE($K6:$K21),2)</f>
        <v>2.71</v>
      </c>
      <c r="L3" s="2828">
        <f>ROUND(AVERAGE($L6:$L21),2)</f>
        <v>1.39</v>
      </c>
      <c r="N3" s="2826"/>
      <c r="O3" s="2829"/>
      <c r="P3" s="2829"/>
      <c r="Q3" s="2829"/>
      <c r="R3" s="2829"/>
      <c r="S3" s="2826"/>
      <c r="T3" s="2829"/>
      <c r="U3" s="2829"/>
      <c r="V3" s="2829"/>
      <c r="W3" s="2821"/>
      <c r="X3" s="2830">
        <f>ROUND(SUMPRODUCT(PRODUCT(1+N3:N$20)),4)</f>
        <v>1.4274</v>
      </c>
      <c r="Y3" s="2830">
        <f>ROUND(SUMPRODUCT(PRODUCT(1+O3:O$20)),4)</f>
        <v>1.2685</v>
      </c>
      <c r="Z3" s="2830">
        <f t="shared" ref="Z3:Z18" si="0">Y3</f>
        <v>1.2685</v>
      </c>
      <c r="AA3" s="2830">
        <f>ROUND(SUMPRODUCT(PRODUCT(1+P3:P$20)),4)</f>
        <v>1.4825999999999999</v>
      </c>
      <c r="AB3" s="2830">
        <f>ROUND(SUMPRODUCT(PRODUCT(1+Q3:Q$20)),4)</f>
        <v>1.2309000000000001</v>
      </c>
      <c r="AD3" s="2831">
        <f>ROUND(AVERAGE(I3:I$21)/100,4)</f>
        <v>2.3099999999999999E-2</v>
      </c>
      <c r="AE3" s="2831">
        <f>ROUND(AVERAGE(J3:J$21)/100,4)</f>
        <v>1.5599999999999999E-2</v>
      </c>
      <c r="AF3" s="2831">
        <f t="shared" ref="AF3:AF19" si="1">AE3</f>
        <v>1.5599999999999999E-2</v>
      </c>
      <c r="AG3" s="2831">
        <f>ROUND(AVERAGE(K3:K$21)/100,4)</f>
        <v>2.5600000000000001E-2</v>
      </c>
      <c r="AH3" s="2831">
        <f>ROUND(AVERAGE(L3:L$21)/100,4)</f>
        <v>1.32E-2</v>
      </c>
    </row>
    <row r="4" spans="1:34" s="1439" customFormat="1" ht="14.25">
      <c r="B4" s="1440"/>
      <c r="C4" s="1440"/>
      <c r="D4" s="1441"/>
      <c r="E4" s="1441"/>
      <c r="F4" s="1440"/>
      <c r="G4" s="1442"/>
      <c r="H4" s="1443"/>
      <c r="I4" s="2806"/>
      <c r="J4" s="2806"/>
      <c r="K4" s="2806"/>
      <c r="L4" s="2806"/>
      <c r="N4" s="1442"/>
      <c r="O4" s="1444"/>
      <c r="P4" s="1444"/>
      <c r="Q4" s="1444"/>
      <c r="R4" s="1444"/>
      <c r="S4" s="1442"/>
      <c r="T4" s="1444"/>
      <c r="U4" s="1444"/>
      <c r="V4" s="1444"/>
      <c r="X4" s="1445"/>
      <c r="Y4" s="1445"/>
      <c r="Z4" s="1445"/>
      <c r="AA4" s="1445"/>
      <c r="AB4" s="1445"/>
      <c r="AD4" s="1446"/>
      <c r="AE4" s="1446"/>
      <c r="AF4" s="1446"/>
      <c r="AG4" s="1446"/>
      <c r="AH4" s="1446"/>
    </row>
    <row r="5" spans="1:34" s="1717" customFormat="1" ht="13.5" thickBot="1">
      <c r="A5" s="1715" t="s">
        <v>2944</v>
      </c>
      <c r="B5" s="1777">
        <f t="shared" ref="B5" si="2">B6*(1+N5)</f>
        <v>439.19121308559727</v>
      </c>
      <c r="C5" s="1777">
        <f t="shared" ref="C5" si="3">C6*(1+O5)</f>
        <v>326.28510789673351</v>
      </c>
      <c r="D5" s="1777">
        <f t="shared" ref="D5" si="4">C5</f>
        <v>326.28510789673351</v>
      </c>
      <c r="E5" s="1777">
        <f t="shared" ref="E5" si="5">E6*(1+P5)</f>
        <v>626.49404043656455</v>
      </c>
      <c r="F5" s="1777">
        <f t="shared" ref="F5" si="6">F6*(1+Q5)</f>
        <v>283.46416215500358</v>
      </c>
      <c r="G5" s="2809">
        <v>2018</v>
      </c>
      <c r="H5" s="1716">
        <v>1</v>
      </c>
      <c r="I5" s="2807">
        <v>0</v>
      </c>
      <c r="J5" s="2807">
        <v>0</v>
      </c>
      <c r="K5" s="2807">
        <v>0</v>
      </c>
      <c r="L5" s="2807">
        <v>0</v>
      </c>
      <c r="N5" s="1453">
        <f t="shared" ref="N5:N10" si="7">I5/100</f>
        <v>0</v>
      </c>
      <c r="O5" s="1453">
        <f t="shared" ref="O5" si="8">J5/100</f>
        <v>0</v>
      </c>
      <c r="P5" s="1453">
        <f t="shared" ref="P5" si="9">K5/100</f>
        <v>0</v>
      </c>
      <c r="Q5" s="1453">
        <f t="shared" ref="Q5" si="10">L5/100</f>
        <v>0</v>
      </c>
      <c r="R5" s="1718"/>
      <c r="S5" s="1719"/>
      <c r="T5" s="1718"/>
      <c r="U5" s="1718"/>
      <c r="V5" s="1718"/>
      <c r="W5" s="2822" t="s">
        <v>2946</v>
      </c>
      <c r="X5" s="1712">
        <f>ROUND(SUMPRODUCT(PRODUCT(1+N5:N$20)),4)</f>
        <v>1.4274</v>
      </c>
      <c r="Y5" s="1712">
        <f>ROUND(SUMPRODUCT(PRODUCT(1+O5:O$20)),4)</f>
        <v>1.2685</v>
      </c>
      <c r="Z5" s="1712">
        <f t="shared" ref="Z5" si="11">Y5</f>
        <v>1.2685</v>
      </c>
      <c r="AA5" s="1712">
        <f>ROUND(SUMPRODUCT(PRODUCT(1+P5:P$20)),4)</f>
        <v>1.4825999999999999</v>
      </c>
      <c r="AB5" s="1712">
        <f>ROUND(SUMPRODUCT(PRODUCT(1+Q5:Q$20)),4)</f>
        <v>1.2309000000000001</v>
      </c>
      <c r="AD5" s="1454">
        <f>ROUND(AVERAGE(I5:I$21)/100,4)</f>
        <v>2.3E-2</v>
      </c>
      <c r="AE5" s="1454">
        <f>ROUND(AVERAGE(J5:J$21)/100,4)</f>
        <v>1.55E-2</v>
      </c>
      <c r="AF5" s="1454">
        <f t="shared" ref="AF5" si="12">AE5</f>
        <v>1.55E-2</v>
      </c>
      <c r="AG5" s="1454">
        <f>ROUND(AVERAGE(K5:K$21)/100,4)</f>
        <v>2.5499999999999998E-2</v>
      </c>
      <c r="AH5" s="1454">
        <f>ROUND(AVERAGE(L5:L$21)/100,4)</f>
        <v>1.3100000000000001E-2</v>
      </c>
    </row>
    <row r="6" spans="1:34">
      <c r="A6" s="1447" t="s">
        <v>2941</v>
      </c>
      <c r="B6" s="1455">
        <f t="shared" ref="B6" si="13">B7*(1+N6)</f>
        <v>439.19121308559727</v>
      </c>
      <c r="C6" s="1455">
        <f t="shared" ref="C6" si="14">C7*(1+O6)</f>
        <v>326.28510789673351</v>
      </c>
      <c r="D6" s="1455">
        <f t="shared" ref="D6" si="15">C6</f>
        <v>326.28510789673351</v>
      </c>
      <c r="E6" s="1455">
        <f t="shared" ref="E6" si="16">E7*(1+P6)</f>
        <v>626.49404043656455</v>
      </c>
      <c r="F6" s="1456">
        <f t="shared" ref="F6" si="17">F7*(1+Q6)</f>
        <v>283.46416215500358</v>
      </c>
      <c r="G6" s="2809">
        <v>2017</v>
      </c>
      <c r="H6" s="1448">
        <v>4</v>
      </c>
      <c r="I6" s="1448">
        <v>1.71</v>
      </c>
      <c r="J6" s="1448">
        <v>1.78</v>
      </c>
      <c r="K6" s="1448">
        <v>1.71</v>
      </c>
      <c r="L6" s="1449">
        <v>1.43</v>
      </c>
      <c r="N6" s="1458">
        <f t="shared" si="7"/>
        <v>1.7100000000000001E-2</v>
      </c>
      <c r="O6" s="1459">
        <f t="shared" ref="O6" si="18">J6/100</f>
        <v>1.78E-2</v>
      </c>
      <c r="P6" s="1459">
        <f t="shared" ref="P6" si="19">K6/100</f>
        <v>1.7100000000000001E-2</v>
      </c>
      <c r="Q6" s="1459">
        <f t="shared" ref="Q6" si="20">L6/100</f>
        <v>1.43E-2</v>
      </c>
      <c r="R6" s="1460"/>
      <c r="S6" s="1461"/>
      <c r="T6" s="1462"/>
      <c r="U6" s="1462"/>
      <c r="V6" s="1462"/>
      <c r="X6" s="1445">
        <f>ROUND(SUMPRODUCT(PRODUCT(1+N6:N$20)),4)</f>
        <v>1.4274</v>
      </c>
      <c r="Y6" s="1445">
        <f>ROUND(SUMPRODUCT(PRODUCT(1+O6:O$20)),4)</f>
        <v>1.2685</v>
      </c>
      <c r="Z6" s="1445">
        <f t="shared" si="0"/>
        <v>1.2685</v>
      </c>
      <c r="AA6" s="1445">
        <f>ROUND(SUMPRODUCT(PRODUCT(1+P6:P$20)),4)</f>
        <v>1.4825999999999999</v>
      </c>
      <c r="AB6" s="1445">
        <f>ROUND(SUMPRODUCT(PRODUCT(1+Q6:Q$20)),4)</f>
        <v>1.2309000000000001</v>
      </c>
      <c r="AD6" s="1446">
        <f>ROUND(AVERAGE(I6:I$21)/100,4)</f>
        <v>2.4500000000000001E-2</v>
      </c>
      <c r="AE6" s="1446">
        <f>ROUND(AVERAGE(J6:J$21)/100,4)</f>
        <v>1.6500000000000001E-2</v>
      </c>
      <c r="AF6" s="1446">
        <f t="shared" si="1"/>
        <v>1.6500000000000001E-2</v>
      </c>
      <c r="AG6" s="1446">
        <f>ROUND(AVERAGE(K6:K$21)/100,4)</f>
        <v>2.7099999999999999E-2</v>
      </c>
      <c r="AH6" s="1446">
        <f>ROUND(AVERAGE(L6:L$21)/100,4)</f>
        <v>1.3899999999999999E-2</v>
      </c>
    </row>
    <row r="7" spans="1:34" s="1452" customFormat="1" ht="13.5" thickBot="1">
      <c r="A7" s="1447" t="s">
        <v>2942</v>
      </c>
      <c r="B7" s="1463">
        <f t="shared" ref="B7:B8" si="21">B8*(1+N7)</f>
        <v>431.80730811680002</v>
      </c>
      <c r="C7" s="1463">
        <f t="shared" ref="C7:C8" si="22">C8*(1+O7)</f>
        <v>320.57880516480003</v>
      </c>
      <c r="D7" s="1463">
        <f t="shared" ref="D7:D8" si="23">C7</f>
        <v>320.57880516480003</v>
      </c>
      <c r="E7" s="1463">
        <f t="shared" ref="E7:E8" si="24">E8*(1+P7)</f>
        <v>615.96110553196797</v>
      </c>
      <c r="F7" s="1463">
        <f t="shared" ref="F7:F8" si="25">F8*(1+Q7)</f>
        <v>279.46777300108801</v>
      </c>
      <c r="G7" s="2805"/>
      <c r="H7" s="1450">
        <v>3</v>
      </c>
      <c r="I7" s="1450">
        <v>2.98</v>
      </c>
      <c r="J7" s="1450">
        <v>2.11</v>
      </c>
      <c r="K7" s="1450">
        <v>3.24</v>
      </c>
      <c r="L7" s="1464">
        <v>1.72</v>
      </c>
      <c r="M7" s="1457"/>
      <c r="N7" s="1458">
        <f t="shared" si="7"/>
        <v>2.98E-2</v>
      </c>
      <c r="O7" s="1459">
        <f t="shared" ref="O7" si="26">J7/100</f>
        <v>2.1099999999999997E-2</v>
      </c>
      <c r="P7" s="1459">
        <f t="shared" ref="P7" si="27">K7/100</f>
        <v>3.2400000000000005E-2</v>
      </c>
      <c r="Q7" s="1459">
        <f t="shared" ref="Q7" si="28">L7/100</f>
        <v>1.72E-2</v>
      </c>
      <c r="R7" s="1460"/>
      <c r="S7" s="1458"/>
      <c r="T7" s="1459"/>
      <c r="U7" s="1459"/>
      <c r="V7" s="1459"/>
      <c r="W7" s="1776"/>
      <c r="X7" s="1774">
        <f>ROUND(SUMPRODUCT(PRODUCT(1+N7:N$20)),4)</f>
        <v>1.4034</v>
      </c>
      <c r="Y7" s="1774">
        <f>ROUND(SUMPRODUCT(PRODUCT(1+O7:O$20)),4)</f>
        <v>1.2463</v>
      </c>
      <c r="Z7" s="1774">
        <f t="shared" si="0"/>
        <v>1.2463</v>
      </c>
      <c r="AA7" s="1774">
        <f>ROUND(SUMPRODUCT(PRODUCT(1+P7:P$20)),4)</f>
        <v>1.4577</v>
      </c>
      <c r="AB7" s="1774">
        <f>ROUND(SUMPRODUCT(PRODUCT(1+Q7:Q$20)),4)</f>
        <v>1.2136</v>
      </c>
      <c r="AC7" s="1776"/>
      <c r="AD7" s="1775">
        <f>ROUND(AVERAGE(I7:I$21)/100,4)</f>
        <v>2.4899999999999999E-2</v>
      </c>
      <c r="AE7" s="1775">
        <f>ROUND(AVERAGE(J7:J$21)/100,4)</f>
        <v>1.6400000000000001E-2</v>
      </c>
      <c r="AF7" s="1775">
        <f t="shared" si="1"/>
        <v>1.6400000000000001E-2</v>
      </c>
      <c r="AG7" s="1775">
        <f>ROUND(AVERAGE(K7:K$21)/100,4)</f>
        <v>2.7799999999999998E-2</v>
      </c>
      <c r="AH7" s="1775">
        <f>ROUND(AVERAGE(L7:L$21)/100,4)</f>
        <v>1.3899999999999999E-2</v>
      </c>
    </row>
    <row r="8" spans="1:34" s="1717" customFormat="1">
      <c r="A8" s="1447" t="s">
        <v>1385</v>
      </c>
      <c r="B8" s="1463">
        <f t="shared" si="21"/>
        <v>419.31181600000002</v>
      </c>
      <c r="C8" s="1463">
        <f t="shared" si="22"/>
        <v>313.95436800000004</v>
      </c>
      <c r="D8" s="1463">
        <f t="shared" si="23"/>
        <v>313.95436800000004</v>
      </c>
      <c r="E8" s="1463">
        <f t="shared" si="24"/>
        <v>596.63028431999999</v>
      </c>
      <c r="F8" s="1463">
        <f t="shared" si="25"/>
        <v>274.74220703999998</v>
      </c>
      <c r="G8" s="2804"/>
      <c r="H8" s="1451">
        <v>2</v>
      </c>
      <c r="I8" s="1451">
        <v>3.4</v>
      </c>
      <c r="J8" s="1451">
        <v>2</v>
      </c>
      <c r="K8" s="1451">
        <v>3.82</v>
      </c>
      <c r="L8" s="1465">
        <v>1.68</v>
      </c>
      <c r="M8" s="1457"/>
      <c r="N8" s="1458">
        <f t="shared" si="7"/>
        <v>3.4000000000000002E-2</v>
      </c>
      <c r="O8" s="1459">
        <f t="shared" ref="O8" si="29">J8/100</f>
        <v>0.02</v>
      </c>
      <c r="P8" s="1459">
        <f t="shared" ref="P8" si="30">K8/100</f>
        <v>3.8199999999999998E-2</v>
      </c>
      <c r="Q8" s="1459">
        <f t="shared" ref="Q8" si="31">L8/100</f>
        <v>1.6799999999999999E-2</v>
      </c>
      <c r="R8" s="1460"/>
      <c r="S8" s="1461"/>
      <c r="T8" s="1462"/>
      <c r="U8" s="1462"/>
      <c r="V8" s="1462"/>
      <c r="W8" s="1439"/>
      <c r="X8" s="1774">
        <f>ROUND(SUMPRODUCT(PRODUCT(1+N8:N$20)),4)</f>
        <v>1.3628</v>
      </c>
      <c r="Y8" s="1774">
        <f>ROUND(SUMPRODUCT(PRODUCT(1+O8:O$20)),4)</f>
        <v>1.2205999999999999</v>
      </c>
      <c r="Z8" s="1774">
        <f t="shared" si="0"/>
        <v>1.2205999999999999</v>
      </c>
      <c r="AA8" s="1774">
        <f>ROUND(SUMPRODUCT(PRODUCT(1+P8:P$20)),4)</f>
        <v>1.4118999999999999</v>
      </c>
      <c r="AB8" s="1774">
        <f>ROUND(SUMPRODUCT(PRODUCT(1+Q8:Q$20)),4)</f>
        <v>1.1930000000000001</v>
      </c>
      <c r="AC8" s="1439"/>
      <c r="AD8" s="1775">
        <f>ROUND(AVERAGE(I8:I$21)/100,4)</f>
        <v>2.46E-2</v>
      </c>
      <c r="AE8" s="1775">
        <f>ROUND(AVERAGE(J8:J$21)/100,4)</f>
        <v>1.6E-2</v>
      </c>
      <c r="AF8" s="1775">
        <f t="shared" si="1"/>
        <v>1.6E-2</v>
      </c>
      <c r="AG8" s="1775">
        <f>ROUND(AVERAGE(K8:K$21)/100,4)</f>
        <v>2.75E-2</v>
      </c>
      <c r="AH8" s="1775">
        <f>ROUND(AVERAGE(L8:L$21)/100,4)</f>
        <v>1.37E-2</v>
      </c>
    </row>
    <row r="9" spans="1:34" s="1452" customFormat="1" ht="13.5" thickBot="1">
      <c r="A9" s="1447" t="s">
        <v>1161</v>
      </c>
      <c r="B9" s="1463">
        <f>B10*(1+N9)</f>
        <v>405.524</v>
      </c>
      <c r="C9" s="1463">
        <f>C10*(1+O9)</f>
        <v>307.79840000000002</v>
      </c>
      <c r="D9" s="1463">
        <f>C9</f>
        <v>307.79840000000002</v>
      </c>
      <c r="E9" s="1463">
        <f>E10*(1+P9)</f>
        <v>574.67759999999998</v>
      </c>
      <c r="F9" s="1463">
        <f>F10*(1+Q9)</f>
        <v>270.20280000000002</v>
      </c>
      <c r="G9" s="2805"/>
      <c r="H9" s="1450">
        <v>1</v>
      </c>
      <c r="I9" s="1450">
        <v>3.45</v>
      </c>
      <c r="J9" s="1450">
        <v>1.92</v>
      </c>
      <c r="K9" s="1450">
        <v>3.92</v>
      </c>
      <c r="L9" s="1464">
        <v>1.58</v>
      </c>
      <c r="M9" s="1457"/>
      <c r="N9" s="1458">
        <f t="shared" si="7"/>
        <v>3.4500000000000003E-2</v>
      </c>
      <c r="O9" s="1459">
        <f t="shared" ref="O9:Q24" si="32">J9/100</f>
        <v>1.9199999999999998E-2</v>
      </c>
      <c r="P9" s="1459">
        <f t="shared" si="32"/>
        <v>3.9199999999999999E-2</v>
      </c>
      <c r="Q9" s="1459">
        <f t="shared" si="32"/>
        <v>1.5800000000000002E-2</v>
      </c>
      <c r="R9" s="1460"/>
      <c r="S9" s="1458">
        <f>B9/B10-1</f>
        <v>3.4499999999999975E-2</v>
      </c>
      <c r="T9" s="1459">
        <f t="shared" ref="T9:V9" si="33">C9/C10-1</f>
        <v>1.9200000000000106E-2</v>
      </c>
      <c r="U9" s="1459">
        <f t="shared" si="33"/>
        <v>1.9200000000000106E-2</v>
      </c>
      <c r="V9" s="1459">
        <f t="shared" si="33"/>
        <v>3.9199999999999902E-2</v>
      </c>
      <c r="W9" s="1776"/>
      <c r="X9" s="1774">
        <f>ROUND(SUMPRODUCT(PRODUCT(1+N9:N$20)),4)</f>
        <v>1.3180000000000001</v>
      </c>
      <c r="Y9" s="1774">
        <f>ROUND(SUMPRODUCT(PRODUCT(1+O9:O$20)),4)</f>
        <v>1.1966000000000001</v>
      </c>
      <c r="Z9" s="1774">
        <f t="shared" si="0"/>
        <v>1.1966000000000001</v>
      </c>
      <c r="AA9" s="1774">
        <f>ROUND(SUMPRODUCT(PRODUCT(1+P9:P$20)),4)</f>
        <v>1.36</v>
      </c>
      <c r="AB9" s="1774">
        <f>ROUND(SUMPRODUCT(PRODUCT(1+Q9:Q$20)),4)</f>
        <v>1.1733</v>
      </c>
      <c r="AC9" s="1776"/>
      <c r="AD9" s="1775">
        <f>ROUND(AVERAGE(I9:I$21)/100,4)</f>
        <v>2.3900000000000001E-2</v>
      </c>
      <c r="AE9" s="1775">
        <f>ROUND(AVERAGE(J9:J$21)/100,4)</f>
        <v>1.5699999999999999E-2</v>
      </c>
      <c r="AF9" s="1775">
        <f t="shared" si="1"/>
        <v>1.5699999999999999E-2</v>
      </c>
      <c r="AG9" s="1775">
        <f>ROUND(AVERAGE(K9:K$21)/100,4)</f>
        <v>2.6599999999999999E-2</v>
      </c>
      <c r="AH9" s="1775">
        <f>ROUND(AVERAGE(L9:L$21)/100,4)</f>
        <v>1.34E-2</v>
      </c>
    </row>
    <row r="10" spans="1:34">
      <c r="A10" s="1447" t="s">
        <v>154</v>
      </c>
      <c r="B10" s="1455">
        <v>392</v>
      </c>
      <c r="C10" s="1455">
        <v>302</v>
      </c>
      <c r="D10" s="1455">
        <f>C10</f>
        <v>302</v>
      </c>
      <c r="E10" s="1455">
        <v>553</v>
      </c>
      <c r="F10" s="1456">
        <v>266</v>
      </c>
      <c r="G10" s="3373">
        <v>2016</v>
      </c>
      <c r="H10" s="1448">
        <v>4</v>
      </c>
      <c r="I10" s="1448">
        <v>4.5599999999999996</v>
      </c>
      <c r="J10" s="1448">
        <v>2.15</v>
      </c>
      <c r="K10" s="1448">
        <v>5.32</v>
      </c>
      <c r="L10" s="1449">
        <v>1.57</v>
      </c>
      <c r="N10" s="1458">
        <f t="shared" si="7"/>
        <v>4.5599999999999995E-2</v>
      </c>
      <c r="O10" s="1459">
        <f t="shared" si="32"/>
        <v>2.1499999999999998E-2</v>
      </c>
      <c r="P10" s="1459">
        <f t="shared" si="32"/>
        <v>5.3200000000000004E-2</v>
      </c>
      <c r="Q10" s="1459">
        <f t="shared" si="32"/>
        <v>1.5700000000000002E-2</v>
      </c>
      <c r="R10" s="1460"/>
      <c r="S10" s="1461"/>
      <c r="T10" s="1462"/>
      <c r="U10" s="1462"/>
      <c r="V10" s="1462"/>
      <c r="X10" s="1445">
        <f>ROUND(SUMPRODUCT(PRODUCT(1+N10:N$20)),4)</f>
        <v>1.274</v>
      </c>
      <c r="Y10" s="1445">
        <f>ROUND(SUMPRODUCT(PRODUCT(1+O10:O$20)),4)</f>
        <v>1.1740999999999999</v>
      </c>
      <c r="Z10" s="1445">
        <f t="shared" si="0"/>
        <v>1.1740999999999999</v>
      </c>
      <c r="AA10" s="1445">
        <f>ROUND(SUMPRODUCT(PRODUCT(1+P10:P$20)),4)</f>
        <v>1.3087</v>
      </c>
      <c r="AB10" s="1445">
        <f>ROUND(SUMPRODUCT(PRODUCT(1+Q10:Q$20)),4)</f>
        <v>1.1551</v>
      </c>
      <c r="AD10" s="1446">
        <f>ROUND(AVERAGE(I10:I$21)/100,4)</f>
        <v>2.3E-2</v>
      </c>
      <c r="AE10" s="1446">
        <f>ROUND(AVERAGE(J10:J$21)/100,4)</f>
        <v>1.55E-2</v>
      </c>
      <c r="AF10" s="1446">
        <f t="shared" si="1"/>
        <v>1.55E-2</v>
      </c>
      <c r="AG10" s="1446">
        <f>ROUND(AVERAGE(K10:K$21)/100,4)</f>
        <v>2.5600000000000001E-2</v>
      </c>
      <c r="AH10" s="1446">
        <f>ROUND(AVERAGE(L10:L$21)/100,4)</f>
        <v>1.32E-2</v>
      </c>
    </row>
    <row r="11" spans="1:34">
      <c r="A11" s="1447" t="s">
        <v>153</v>
      </c>
      <c r="B11" s="1463">
        <f t="shared" ref="B11:C13" si="34">B10/(1+N10)</f>
        <v>374.90436113236416</v>
      </c>
      <c r="C11" s="1463">
        <f t="shared" si="34"/>
        <v>295.64366128242779</v>
      </c>
      <c r="D11" s="1463">
        <f t="shared" ref="D11:D70" si="35">C11</f>
        <v>295.64366128242779</v>
      </c>
      <c r="E11" s="1463">
        <f t="shared" ref="E11:F13" si="36">E10/(1+P10)</f>
        <v>525.06646410938095</v>
      </c>
      <c r="F11" s="1463">
        <f t="shared" si="36"/>
        <v>261.88835286009646</v>
      </c>
      <c r="G11" s="3368"/>
      <c r="H11" s="1450">
        <v>3</v>
      </c>
      <c r="I11" s="1450">
        <v>4.12</v>
      </c>
      <c r="J11" s="1450">
        <v>2</v>
      </c>
      <c r="K11" s="1450">
        <v>4.79</v>
      </c>
      <c r="L11" s="1464">
        <v>1.97</v>
      </c>
      <c r="N11" s="1458">
        <f t="shared" ref="N11:Q45" si="37">I11/100</f>
        <v>4.1200000000000001E-2</v>
      </c>
      <c r="O11" s="1459">
        <f t="shared" si="32"/>
        <v>0.02</v>
      </c>
      <c r="P11" s="1459">
        <f t="shared" si="32"/>
        <v>4.7899999999999998E-2</v>
      </c>
      <c r="Q11" s="1459">
        <f t="shared" si="32"/>
        <v>1.9699999999999999E-2</v>
      </c>
      <c r="R11" s="1460"/>
      <c r="S11" s="1458"/>
      <c r="T11" s="1459"/>
      <c r="U11" s="1459"/>
      <c r="V11" s="1459"/>
      <c r="X11" s="1445">
        <f>ROUND(SUMPRODUCT(PRODUCT(1+N11:N$20)),4)</f>
        <v>1.2184999999999999</v>
      </c>
      <c r="Y11" s="1445">
        <f>ROUND(SUMPRODUCT(PRODUCT(1+O11:O$20)),4)</f>
        <v>1.1494</v>
      </c>
      <c r="Z11" s="1445">
        <f t="shared" si="0"/>
        <v>1.1494</v>
      </c>
      <c r="AA11" s="1445">
        <f>ROUND(SUMPRODUCT(PRODUCT(1+P11:P$20)),4)</f>
        <v>1.2425999999999999</v>
      </c>
      <c r="AB11" s="1445">
        <f>ROUND(SUMPRODUCT(PRODUCT(1+Q11:Q$20)),4)</f>
        <v>1.1372</v>
      </c>
      <c r="AD11" s="1446">
        <f>ROUND(AVERAGE(I11:I$21)/100,4)</f>
        <v>2.0899999999999998E-2</v>
      </c>
      <c r="AE11" s="1446">
        <f>ROUND(AVERAGE(J11:J$21)/100,4)</f>
        <v>1.49E-2</v>
      </c>
      <c r="AF11" s="1446">
        <f t="shared" si="1"/>
        <v>1.49E-2</v>
      </c>
      <c r="AG11" s="1446">
        <f>ROUND(AVERAGE(K11:K$21)/100,4)</f>
        <v>2.3099999999999999E-2</v>
      </c>
      <c r="AH11" s="1446">
        <f>ROUND(AVERAGE(L11:L$21)/100,4)</f>
        <v>1.2999999999999999E-2</v>
      </c>
    </row>
    <row r="12" spans="1:34">
      <c r="A12" s="1447" t="s">
        <v>143</v>
      </c>
      <c r="B12" s="1463">
        <f t="shared" si="34"/>
        <v>360.06949782209392</v>
      </c>
      <c r="C12" s="1463">
        <f t="shared" si="34"/>
        <v>289.84672674747821</v>
      </c>
      <c r="D12" s="1463">
        <f t="shared" si="35"/>
        <v>289.84672674747821</v>
      </c>
      <c r="E12" s="1463">
        <f t="shared" si="36"/>
        <v>501.06543001181495</v>
      </c>
      <c r="F12" s="1463">
        <f t="shared" si="36"/>
        <v>256.82882500744967</v>
      </c>
      <c r="G12" s="3368"/>
      <c r="H12" s="1451">
        <v>2</v>
      </c>
      <c r="I12" s="1451">
        <v>3.85</v>
      </c>
      <c r="J12" s="1451">
        <v>1.95</v>
      </c>
      <c r="K12" s="1451">
        <v>4.4800000000000004</v>
      </c>
      <c r="L12" s="1465">
        <v>1.41</v>
      </c>
      <c r="N12" s="1458">
        <f t="shared" si="37"/>
        <v>3.85E-2</v>
      </c>
      <c r="O12" s="1459">
        <f t="shared" si="32"/>
        <v>1.95E-2</v>
      </c>
      <c r="P12" s="1459">
        <f t="shared" si="32"/>
        <v>4.4800000000000006E-2</v>
      </c>
      <c r="Q12" s="1459">
        <f t="shared" si="32"/>
        <v>1.41E-2</v>
      </c>
      <c r="R12" s="1460"/>
      <c r="S12" s="1458"/>
      <c r="T12" s="1459"/>
      <c r="U12" s="1459"/>
      <c r="V12" s="1459"/>
      <c r="X12" s="1445">
        <f>ROUND(SUMPRODUCT(PRODUCT(1+N12:N$20)),4)</f>
        <v>1.1702999999999999</v>
      </c>
      <c r="Y12" s="1445">
        <f>ROUND(SUMPRODUCT(PRODUCT(1+O12:O$20)),4)</f>
        <v>1.1269</v>
      </c>
      <c r="Z12" s="1445">
        <f t="shared" si="0"/>
        <v>1.1269</v>
      </c>
      <c r="AA12" s="1445">
        <f>ROUND(SUMPRODUCT(PRODUCT(1+P12:P$20)),4)</f>
        <v>1.1858</v>
      </c>
      <c r="AB12" s="1445">
        <f>ROUND(SUMPRODUCT(PRODUCT(1+Q12:Q$20)),4)</f>
        <v>1.1152</v>
      </c>
      <c r="AD12" s="1446">
        <f>ROUND(AVERAGE(I12:I$21)/100,4)</f>
        <v>1.89E-2</v>
      </c>
      <c r="AE12" s="1446">
        <f>ROUND(AVERAGE(J12:J$21)/100,4)</f>
        <v>1.44E-2</v>
      </c>
      <c r="AF12" s="1446">
        <f t="shared" si="1"/>
        <v>1.44E-2</v>
      </c>
      <c r="AG12" s="1446">
        <f>ROUND(AVERAGE(K12:K$21)/100,4)</f>
        <v>2.06E-2</v>
      </c>
      <c r="AH12" s="1446">
        <f>ROUND(AVERAGE(L12:L$21)/100,4)</f>
        <v>1.23E-2</v>
      </c>
    </row>
    <row r="13" spans="1:34" ht="13.5" thickBot="1">
      <c r="A13" s="1447" t="s">
        <v>152</v>
      </c>
      <c r="B13" s="1463">
        <f t="shared" si="34"/>
        <v>346.720748986128</v>
      </c>
      <c r="C13" s="1463">
        <f t="shared" si="34"/>
        <v>284.30282172386285</v>
      </c>
      <c r="D13" s="1463">
        <f t="shared" si="35"/>
        <v>284.30282172386285</v>
      </c>
      <c r="E13" s="1463">
        <f t="shared" si="36"/>
        <v>479.58023546306947</v>
      </c>
      <c r="F13" s="1463">
        <f t="shared" si="36"/>
        <v>253.25788877571213</v>
      </c>
      <c r="G13" s="3369"/>
      <c r="H13" s="1450">
        <v>1</v>
      </c>
      <c r="I13" s="1450">
        <v>4.09</v>
      </c>
      <c r="J13" s="1450">
        <v>2.93</v>
      </c>
      <c r="K13" s="1450">
        <v>4.54</v>
      </c>
      <c r="L13" s="1464">
        <v>1.48</v>
      </c>
      <c r="N13" s="1458">
        <f t="shared" si="37"/>
        <v>4.0899999999999999E-2</v>
      </c>
      <c r="O13" s="1459">
        <f t="shared" si="32"/>
        <v>2.9300000000000003E-2</v>
      </c>
      <c r="P13" s="1459">
        <f t="shared" si="32"/>
        <v>4.5400000000000003E-2</v>
      </c>
      <c r="Q13" s="1459">
        <f t="shared" si="32"/>
        <v>1.4800000000000001E-2</v>
      </c>
      <c r="R13" s="1460"/>
      <c r="S13" s="1466">
        <f>B13/B14-1</f>
        <v>4.1203450408792808E-2</v>
      </c>
      <c r="T13" s="1467">
        <f>C13/C14-1</f>
        <v>2.6363977342465095E-2</v>
      </c>
      <c r="U13" s="1467">
        <f>E13/E14-1</f>
        <v>4.4837114298626357E-2</v>
      </c>
      <c r="V13" s="1467">
        <f>F13/F14-1</f>
        <v>1.7099954922538574E-2</v>
      </c>
      <c r="X13" s="1445">
        <f>ROUND(SUMPRODUCT(PRODUCT(1+N13:N$20)),4)</f>
        <v>1.1269</v>
      </c>
      <c r="Y13" s="1445">
        <f>ROUND(SUMPRODUCT(PRODUCT(1+O13:O$20)),4)</f>
        <v>1.1052999999999999</v>
      </c>
      <c r="Z13" s="1445">
        <f t="shared" si="0"/>
        <v>1.1052999999999999</v>
      </c>
      <c r="AA13" s="1445">
        <f>ROUND(SUMPRODUCT(PRODUCT(1+P13:P$20)),4)</f>
        <v>1.1349</v>
      </c>
      <c r="AB13" s="1445">
        <f>ROUND(SUMPRODUCT(PRODUCT(1+Q13:Q$20)),4)</f>
        <v>1.0996999999999999</v>
      </c>
      <c r="AD13" s="1446">
        <f>ROUND(AVERAGE(I13:I$21)/100,4)</f>
        <v>1.67E-2</v>
      </c>
      <c r="AE13" s="1446">
        <f>ROUND(AVERAGE(J13:J$21)/100,4)</f>
        <v>1.38E-2</v>
      </c>
      <c r="AF13" s="1446">
        <f t="shared" si="1"/>
        <v>1.38E-2</v>
      </c>
      <c r="AG13" s="1446">
        <f>ROUND(AVERAGE(K13:K$21)/100,4)</f>
        <v>1.7899999999999999E-2</v>
      </c>
      <c r="AH13" s="1446">
        <f>ROUND(AVERAGE(L13:L$21)/100,4)</f>
        <v>1.21E-2</v>
      </c>
    </row>
    <row r="14" spans="1:34" ht="13.5" thickBot="1">
      <c r="A14" s="1447" t="s">
        <v>151</v>
      </c>
      <c r="B14" s="1455">
        <v>333</v>
      </c>
      <c r="C14" s="1455">
        <v>277</v>
      </c>
      <c r="D14" s="1455">
        <f t="shared" si="35"/>
        <v>277</v>
      </c>
      <c r="E14" s="1455">
        <v>459</v>
      </c>
      <c r="F14" s="1456">
        <v>249</v>
      </c>
      <c r="G14" s="3367">
        <v>2015</v>
      </c>
      <c r="H14" s="1468">
        <v>4</v>
      </c>
      <c r="I14" s="1468">
        <v>1.63</v>
      </c>
      <c r="J14" s="1468">
        <v>1.1100000000000001</v>
      </c>
      <c r="K14" s="1468">
        <v>1.77</v>
      </c>
      <c r="L14" s="1469">
        <v>1.89</v>
      </c>
      <c r="N14" s="1470">
        <f t="shared" si="37"/>
        <v>1.6299999999999999E-2</v>
      </c>
      <c r="O14" s="1471">
        <f t="shared" si="32"/>
        <v>1.11E-2</v>
      </c>
      <c r="P14" s="1471">
        <f t="shared" si="32"/>
        <v>1.77E-2</v>
      </c>
      <c r="Q14" s="1471">
        <f t="shared" si="32"/>
        <v>1.89E-2</v>
      </c>
      <c r="R14" s="1460"/>
      <c r="X14" s="1445">
        <f>ROUND(SUMPRODUCT(PRODUCT(1+N14:N$20)),4)</f>
        <v>1.0826</v>
      </c>
      <c r="Y14" s="1445">
        <f>ROUND(SUMPRODUCT(PRODUCT(1+O14:O$20)),4)</f>
        <v>1.0738000000000001</v>
      </c>
      <c r="Z14" s="1445">
        <f t="shared" si="0"/>
        <v>1.0738000000000001</v>
      </c>
      <c r="AA14" s="1445">
        <f>ROUND(SUMPRODUCT(PRODUCT(1+P14:P$20)),4)</f>
        <v>1.0855999999999999</v>
      </c>
      <c r="AB14" s="1445">
        <f>ROUND(SUMPRODUCT(PRODUCT(1+Q14:Q$20)),4)</f>
        <v>1.0837000000000001</v>
      </c>
      <c r="AD14" s="1446">
        <f>ROUND(AVERAGE(I14:I$21)/100,4)</f>
        <v>1.37E-2</v>
      </c>
      <c r="AE14" s="1446">
        <f>ROUND(AVERAGE(J14:J$21)/100,4)</f>
        <v>1.1900000000000001E-2</v>
      </c>
      <c r="AF14" s="1446">
        <f t="shared" si="1"/>
        <v>1.1900000000000001E-2</v>
      </c>
      <c r="AG14" s="1446">
        <f>ROUND(AVERAGE(K14:K$21)/100,4)</f>
        <v>1.4500000000000001E-2</v>
      </c>
      <c r="AH14" s="1446">
        <f>ROUND(AVERAGE(L14:L$21)/100,4)</f>
        <v>1.18E-2</v>
      </c>
    </row>
    <row r="15" spans="1:34">
      <c r="A15" s="1447" t="s">
        <v>150</v>
      </c>
      <c r="B15" s="1463">
        <f t="shared" ref="B15:C17" si="38">B14/(1+N14)</f>
        <v>327.65915576109415</v>
      </c>
      <c r="C15" s="1463">
        <f t="shared" si="38"/>
        <v>273.95905449510434</v>
      </c>
      <c r="D15" s="1463">
        <f t="shared" si="35"/>
        <v>273.95905449510434</v>
      </c>
      <c r="E15" s="1463">
        <f t="shared" ref="E15:F17" si="39">E14/(1+P14)</f>
        <v>451.01699911565294</v>
      </c>
      <c r="F15" s="1463">
        <f t="shared" si="39"/>
        <v>244.38119540681129</v>
      </c>
      <c r="G15" s="3368"/>
      <c r="H15" s="1473">
        <v>3</v>
      </c>
      <c r="I15" s="1473">
        <v>1.65</v>
      </c>
      <c r="J15" s="1473">
        <v>0.92</v>
      </c>
      <c r="K15" s="1473">
        <v>1.88</v>
      </c>
      <c r="L15" s="1474">
        <v>1.26</v>
      </c>
      <c r="N15" s="1458">
        <f t="shared" si="37"/>
        <v>1.6500000000000001E-2</v>
      </c>
      <c r="O15" s="1475">
        <f t="shared" si="32"/>
        <v>9.1999999999999998E-3</v>
      </c>
      <c r="P15" s="1475">
        <f t="shared" si="32"/>
        <v>1.8799999999999997E-2</v>
      </c>
      <c r="Q15" s="1475">
        <f t="shared" si="32"/>
        <v>1.26E-2</v>
      </c>
      <c r="R15" s="1460"/>
      <c r="S15" s="1458"/>
      <c r="T15" s="1459"/>
      <c r="U15" s="1459"/>
      <c r="V15" s="1459"/>
      <c r="X15" s="1445">
        <f>ROUND(SUMPRODUCT(PRODUCT(1+N15:N$20)),4)</f>
        <v>1.0651999999999999</v>
      </c>
      <c r="Y15" s="1445">
        <f>ROUND(SUMPRODUCT(PRODUCT(1+O15:O$20)),4)</f>
        <v>1.0621</v>
      </c>
      <c r="Z15" s="1445">
        <f t="shared" si="0"/>
        <v>1.0621</v>
      </c>
      <c r="AA15" s="1445">
        <f>ROUND(SUMPRODUCT(PRODUCT(1+P15:P$20)),4)</f>
        <v>1.0668</v>
      </c>
      <c r="AB15" s="1445">
        <f>ROUND(SUMPRODUCT(PRODUCT(1+Q15:Q$20)),4)</f>
        <v>1.0636000000000001</v>
      </c>
      <c r="AD15" s="1446">
        <f>ROUND(AVERAGE(I15:I$21)/100,4)</f>
        <v>1.3299999999999999E-2</v>
      </c>
      <c r="AE15" s="1446">
        <f>ROUND(AVERAGE(J15:J$21)/100,4)</f>
        <v>1.2E-2</v>
      </c>
      <c r="AF15" s="1446">
        <f t="shared" si="1"/>
        <v>1.2E-2</v>
      </c>
      <c r="AG15" s="1446">
        <f>ROUND(AVERAGE(K15:K$21)/100,4)</f>
        <v>1.4E-2</v>
      </c>
      <c r="AH15" s="1446">
        <f>ROUND(AVERAGE(L15:L$21)/100,4)</f>
        <v>1.0800000000000001E-2</v>
      </c>
    </row>
    <row r="16" spans="1:34">
      <c r="A16" s="1447" t="s">
        <v>149</v>
      </c>
      <c r="B16" s="1463">
        <f t="shared" si="38"/>
        <v>322.34053690220776</v>
      </c>
      <c r="C16" s="1463">
        <f t="shared" si="38"/>
        <v>271.46160770422546</v>
      </c>
      <c r="D16" s="1463">
        <f t="shared" si="35"/>
        <v>271.46160770422546</v>
      </c>
      <c r="E16" s="1463">
        <f t="shared" si="39"/>
        <v>442.69434542172456</v>
      </c>
      <c r="F16" s="1463">
        <f t="shared" si="39"/>
        <v>241.34030753190925</v>
      </c>
      <c r="G16" s="3368"/>
      <c r="H16" s="1451">
        <v>2</v>
      </c>
      <c r="I16" s="1451">
        <v>0.77</v>
      </c>
      <c r="J16" s="1451">
        <v>0.69</v>
      </c>
      <c r="K16" s="1451">
        <v>0.8</v>
      </c>
      <c r="L16" s="1465">
        <v>0.88</v>
      </c>
      <c r="N16" s="1458">
        <f t="shared" si="37"/>
        <v>7.7000000000000002E-3</v>
      </c>
      <c r="O16" s="1475">
        <f t="shared" si="32"/>
        <v>6.8999999999999999E-3</v>
      </c>
      <c r="P16" s="1475">
        <f t="shared" si="32"/>
        <v>8.0000000000000002E-3</v>
      </c>
      <c r="Q16" s="1475">
        <f t="shared" si="32"/>
        <v>8.8000000000000005E-3</v>
      </c>
      <c r="R16" s="1460"/>
      <c r="S16" s="1458"/>
      <c r="T16" s="1459"/>
      <c r="U16" s="1459"/>
      <c r="V16" s="1459"/>
      <c r="X16" s="1445">
        <f>ROUND(SUMPRODUCT(PRODUCT(1+N16:N$20)),4)</f>
        <v>1.048</v>
      </c>
      <c r="Y16" s="1445">
        <f>ROUND(SUMPRODUCT(PRODUCT(1+O16:O$20)),4)</f>
        <v>1.0524</v>
      </c>
      <c r="Z16" s="1445">
        <f t="shared" si="0"/>
        <v>1.0524</v>
      </c>
      <c r="AA16" s="1445">
        <f>ROUND(SUMPRODUCT(PRODUCT(1+P16:P$20)),4)</f>
        <v>1.0470999999999999</v>
      </c>
      <c r="AB16" s="1445">
        <f>ROUND(SUMPRODUCT(PRODUCT(1+Q16:Q$20)),4)</f>
        <v>1.0504</v>
      </c>
      <c r="AD16" s="1446">
        <f>ROUND(AVERAGE(I16:I$21)/100,4)</f>
        <v>1.2800000000000001E-2</v>
      </c>
      <c r="AE16" s="1446">
        <f>ROUND(AVERAGE(J16:J$21)/100,4)</f>
        <v>1.2500000000000001E-2</v>
      </c>
      <c r="AF16" s="1446">
        <f t="shared" si="1"/>
        <v>1.2500000000000001E-2</v>
      </c>
      <c r="AG16" s="1446">
        <f>ROUND(AVERAGE(K16:K$21)/100,4)</f>
        <v>1.32E-2</v>
      </c>
      <c r="AH16" s="1446">
        <f>ROUND(AVERAGE(L16:L$21)/100,4)</f>
        <v>1.0500000000000001E-2</v>
      </c>
    </row>
    <row r="17" spans="1:34">
      <c r="A17" s="1447" t="s">
        <v>148</v>
      </c>
      <c r="B17" s="1463">
        <f t="shared" si="38"/>
        <v>319.87748030386797</v>
      </c>
      <c r="C17" s="1463">
        <f t="shared" si="38"/>
        <v>269.60135833173649</v>
      </c>
      <c r="D17" s="1463">
        <f t="shared" si="35"/>
        <v>269.60135833173649</v>
      </c>
      <c r="E17" s="1463">
        <f t="shared" si="39"/>
        <v>439.18089823583784</v>
      </c>
      <c r="F17" s="1463">
        <f t="shared" si="39"/>
        <v>239.23503918706311</v>
      </c>
      <c r="G17" s="3369"/>
      <c r="H17" s="1450">
        <v>1</v>
      </c>
      <c r="I17" s="1450">
        <v>0.51</v>
      </c>
      <c r="J17" s="1450">
        <v>0.54</v>
      </c>
      <c r="K17" s="1450">
        <v>0.48</v>
      </c>
      <c r="L17" s="1464">
        <v>0.93</v>
      </c>
      <c r="N17" s="1466">
        <f t="shared" si="37"/>
        <v>5.1000000000000004E-3</v>
      </c>
      <c r="O17" s="1467">
        <f t="shared" si="32"/>
        <v>5.4000000000000003E-3</v>
      </c>
      <c r="P17" s="1467">
        <f t="shared" si="32"/>
        <v>4.7999999999999996E-3</v>
      </c>
      <c r="Q17" s="1467">
        <f t="shared" si="32"/>
        <v>9.300000000000001E-3</v>
      </c>
      <c r="R17" s="1460"/>
      <c r="S17" s="1466">
        <f>B17/B18-1</f>
        <v>5.9040261127922822E-3</v>
      </c>
      <c r="T17" s="1467">
        <f>C17/C18-1</f>
        <v>5.9752176557332781E-3</v>
      </c>
      <c r="U17" s="1467">
        <f>E17/E18-1</f>
        <v>4.9906138119859556E-3</v>
      </c>
      <c r="V17" s="1467">
        <f>F17/F18-1</f>
        <v>9.4305450930933787E-3</v>
      </c>
      <c r="X17" s="1445">
        <f>ROUND(SUMPRODUCT(PRODUCT(1+N17:N$20)),4)</f>
        <v>1.0399</v>
      </c>
      <c r="Y17" s="1445">
        <f>ROUND(SUMPRODUCT(PRODUCT(1+O17:O$20)),4)</f>
        <v>1.0451999999999999</v>
      </c>
      <c r="Z17" s="1445">
        <f t="shared" si="0"/>
        <v>1.0451999999999999</v>
      </c>
      <c r="AA17" s="1445">
        <f>ROUND(SUMPRODUCT(PRODUCT(1+P17:P$20)),4)</f>
        <v>1.0387999999999999</v>
      </c>
      <c r="AB17" s="1445">
        <f>ROUND(SUMPRODUCT(PRODUCT(1+Q17:Q$20)),4)</f>
        <v>1.0411999999999999</v>
      </c>
      <c r="AD17" s="1446">
        <f>ROUND(AVERAGE(I17:I$21)/100,4)</f>
        <v>1.38E-2</v>
      </c>
      <c r="AE17" s="1446">
        <f>ROUND(AVERAGE(J17:J$21)/100,4)</f>
        <v>1.3599999999999999E-2</v>
      </c>
      <c r="AF17" s="1446">
        <f t="shared" si="1"/>
        <v>1.3599999999999999E-2</v>
      </c>
      <c r="AG17" s="1446">
        <f>ROUND(AVERAGE(K17:K$21)/100,4)</f>
        <v>1.4200000000000001E-2</v>
      </c>
      <c r="AH17" s="1446">
        <f>ROUND(AVERAGE(L17:L$21)/100,4)</f>
        <v>1.0800000000000001E-2</v>
      </c>
    </row>
    <row r="18" spans="1:34" ht="13.5" thickBot="1">
      <c r="A18" s="1447" t="s">
        <v>147</v>
      </c>
      <c r="B18" s="1476">
        <v>318</v>
      </c>
      <c r="C18" s="1476">
        <v>268</v>
      </c>
      <c r="D18" s="1476">
        <f t="shared" si="35"/>
        <v>268</v>
      </c>
      <c r="E18" s="1476">
        <v>437</v>
      </c>
      <c r="F18" s="1477">
        <v>237</v>
      </c>
      <c r="G18" s="3367">
        <v>2014</v>
      </c>
      <c r="H18" s="1468">
        <v>4</v>
      </c>
      <c r="I18" s="1468">
        <v>0.21</v>
      </c>
      <c r="J18" s="1468">
        <v>0.41</v>
      </c>
      <c r="K18" s="1468">
        <v>0.12</v>
      </c>
      <c r="L18" s="1469">
        <v>0.89</v>
      </c>
      <c r="N18" s="1458">
        <f t="shared" si="37"/>
        <v>2.0999999999999999E-3</v>
      </c>
      <c r="O18" s="1459">
        <f t="shared" si="32"/>
        <v>4.0999999999999995E-3</v>
      </c>
      <c r="P18" s="1459">
        <f t="shared" si="32"/>
        <v>1.1999999999999999E-3</v>
      </c>
      <c r="Q18" s="1459">
        <f t="shared" si="32"/>
        <v>8.8999999999999999E-3</v>
      </c>
      <c r="R18" s="1460"/>
      <c r="S18" s="1461"/>
      <c r="T18" s="1462"/>
      <c r="U18" s="1462"/>
      <c r="V18" s="1462"/>
      <c r="X18" s="1445">
        <f>ROUND(SUMPRODUCT(PRODUCT(1+N18:N$20)),4)</f>
        <v>1.0347</v>
      </c>
      <c r="Y18" s="1445">
        <f>ROUND(SUMPRODUCT(PRODUCT(1+O18:O$20)),4)</f>
        <v>1.0395000000000001</v>
      </c>
      <c r="Z18" s="1445">
        <f t="shared" si="0"/>
        <v>1.0395000000000001</v>
      </c>
      <c r="AA18" s="1445">
        <f>ROUND(SUMPRODUCT(PRODUCT(1+P18:P$20)),4)</f>
        <v>1.0338000000000001</v>
      </c>
      <c r="AB18" s="1445">
        <f>ROUND(SUMPRODUCT(PRODUCT(1+Q18:Q$20)),4)</f>
        <v>1.0316000000000001</v>
      </c>
      <c r="AD18" s="1446">
        <f>ROUND(AVERAGE(I18:I$21)/100,4)</f>
        <v>1.6E-2</v>
      </c>
      <c r="AE18" s="1446">
        <f>ROUND(AVERAGE(J18:J$21)/100,4)</f>
        <v>1.5599999999999999E-2</v>
      </c>
      <c r="AF18" s="1446">
        <f t="shared" si="1"/>
        <v>1.5599999999999999E-2</v>
      </c>
      <c r="AG18" s="1446">
        <f>ROUND(AVERAGE(K18:K$21)/100,4)</f>
        <v>1.66E-2</v>
      </c>
      <c r="AH18" s="1446">
        <f>ROUND(AVERAGE(L18:L$21)/100,4)</f>
        <v>1.12E-2</v>
      </c>
    </row>
    <row r="19" spans="1:34">
      <c r="A19" s="1447" t="s">
        <v>146</v>
      </c>
      <c r="B19" s="1463">
        <f t="shared" ref="B19:C21" si="40">B18/(1+N18)</f>
        <v>317.33359944117353</v>
      </c>
      <c r="C19" s="1463">
        <f t="shared" si="40"/>
        <v>266.90568668459315</v>
      </c>
      <c r="D19" s="1463">
        <f t="shared" si="35"/>
        <v>266.90568668459315</v>
      </c>
      <c r="E19" s="1463">
        <f t="shared" ref="E19:F21" si="41">E18/(1+P18)</f>
        <v>436.47622852576905</v>
      </c>
      <c r="F19" s="1463">
        <f t="shared" si="41"/>
        <v>234.90930716622066</v>
      </c>
      <c r="G19" s="3368"/>
      <c r="H19" s="1478">
        <v>3</v>
      </c>
      <c r="I19" s="1478">
        <v>0.83</v>
      </c>
      <c r="J19" s="1478">
        <v>1.47</v>
      </c>
      <c r="K19" s="1478">
        <v>0.65</v>
      </c>
      <c r="L19" s="1479">
        <v>0.72</v>
      </c>
      <c r="N19" s="1458">
        <f t="shared" si="37"/>
        <v>8.3000000000000001E-3</v>
      </c>
      <c r="O19" s="1459">
        <f t="shared" si="32"/>
        <v>1.47E-2</v>
      </c>
      <c r="P19" s="1459">
        <f t="shared" si="32"/>
        <v>6.5000000000000006E-3</v>
      </c>
      <c r="Q19" s="1459">
        <f t="shared" si="32"/>
        <v>7.1999999999999998E-3</v>
      </c>
      <c r="R19" s="1460"/>
      <c r="S19" s="1458"/>
      <c r="T19" s="1459"/>
      <c r="U19" s="1459"/>
      <c r="V19" s="1459"/>
      <c r="X19" s="1445">
        <f>ROUND(SUMPRODUCT(PRODUCT(1+N19:N$20)),4)</f>
        <v>1.0325</v>
      </c>
      <c r="Y19" s="1445">
        <f>ROUND(SUMPRODUCT(PRODUCT(1+O19:O$20)),4)</f>
        <v>1.0353000000000001</v>
      </c>
      <c r="Z19" s="1445">
        <f t="shared" ref="Z19:Z20" si="42">Y19</f>
        <v>1.0353000000000001</v>
      </c>
      <c r="AA19" s="1445">
        <f>ROUND(SUMPRODUCT(PRODUCT(1+P19:P$20)),4)</f>
        <v>1.0326</v>
      </c>
      <c r="AB19" s="1445">
        <f>ROUND(SUMPRODUCT(PRODUCT(1+Q19:Q$20)),4)</f>
        <v>1.0225</v>
      </c>
      <c r="AD19" s="1446">
        <f>ROUND(AVERAGE(I19:I$21)/100,4)</f>
        <v>2.07E-2</v>
      </c>
      <c r="AE19" s="1446">
        <f>ROUND(AVERAGE(J19:J$21)/100,4)</f>
        <v>1.95E-2</v>
      </c>
      <c r="AF19" s="1446">
        <f t="shared" si="1"/>
        <v>1.95E-2</v>
      </c>
      <c r="AG19" s="1446">
        <f>ROUND(AVERAGE(K19:K$21)/100,4)</f>
        <v>2.1700000000000001E-2</v>
      </c>
      <c r="AH19" s="1446">
        <f>ROUND(AVERAGE(L19:L$21)/100,4)</f>
        <v>1.2E-2</v>
      </c>
    </row>
    <row r="20" spans="1:34" ht="13.5" thickBot="1">
      <c r="A20" s="1447" t="s">
        <v>145</v>
      </c>
      <c r="B20" s="1463">
        <f t="shared" si="40"/>
        <v>314.72141172386546</v>
      </c>
      <c r="C20" s="1463">
        <f t="shared" si="40"/>
        <v>263.03901319069001</v>
      </c>
      <c r="D20" s="1463">
        <f t="shared" si="35"/>
        <v>263.03901319069001</v>
      </c>
      <c r="E20" s="1463">
        <f t="shared" si="41"/>
        <v>433.65745506782821</v>
      </c>
      <c r="F20" s="1463">
        <f t="shared" si="41"/>
        <v>233.23005080045735</v>
      </c>
      <c r="G20" s="3368"/>
      <c r="H20" s="1468">
        <v>2</v>
      </c>
      <c r="I20" s="1468">
        <v>2.4</v>
      </c>
      <c r="J20" s="1468">
        <v>2.0299999999999998</v>
      </c>
      <c r="K20" s="1468">
        <v>2.59</v>
      </c>
      <c r="L20" s="1469">
        <v>1.52</v>
      </c>
      <c r="N20" s="1458">
        <f t="shared" si="37"/>
        <v>2.4E-2</v>
      </c>
      <c r="O20" s="1459">
        <f t="shared" si="32"/>
        <v>2.0299999999999999E-2</v>
      </c>
      <c r="P20" s="1459">
        <f t="shared" si="32"/>
        <v>2.5899999999999999E-2</v>
      </c>
      <c r="Q20" s="1459">
        <f t="shared" si="32"/>
        <v>1.52E-2</v>
      </c>
      <c r="R20" s="1460"/>
      <c r="S20" s="1458"/>
      <c r="T20" s="1459"/>
      <c r="U20" s="1459"/>
      <c r="V20" s="1459"/>
      <c r="X20" s="1445">
        <f>1+N20</f>
        <v>1.024</v>
      </c>
      <c r="Y20" s="1445">
        <f>1+O20</f>
        <v>1.0203</v>
      </c>
      <c r="Z20" s="1445">
        <f t="shared" si="42"/>
        <v>1.0203</v>
      </c>
      <c r="AA20" s="1445">
        <f>1+P20</f>
        <v>1.0259</v>
      </c>
      <c r="AB20" s="1445">
        <f>1+Q20</f>
        <v>1.0152000000000001</v>
      </c>
      <c r="AD20" s="1446">
        <f>ROUND(AVERAGE(I20:I$21)/100,4)</f>
        <v>2.69E-2</v>
      </c>
      <c r="AE20" s="1446">
        <f>ROUND(AVERAGE(J20:J$21)/100,4)</f>
        <v>2.1899999999999999E-2</v>
      </c>
      <c r="AF20" s="1446">
        <f t="shared" ref="AF20" si="43">AE20</f>
        <v>2.1899999999999999E-2</v>
      </c>
      <c r="AG20" s="1446">
        <f>ROUND(AVERAGE(K20:K$21)/100,4)</f>
        <v>2.9399999999999999E-2</v>
      </c>
      <c r="AH20" s="1446">
        <f>ROUND(AVERAGE(L20:L$21)/100,4)</f>
        <v>1.44E-2</v>
      </c>
    </row>
    <row r="21" spans="1:34" s="1484" customFormat="1" ht="13.5" thickBot="1">
      <c r="A21" s="1480" t="s">
        <v>144</v>
      </c>
      <c r="B21" s="1481">
        <f t="shared" si="40"/>
        <v>307.34512863658733</v>
      </c>
      <c r="C21" s="1481">
        <f t="shared" si="40"/>
        <v>257.80556031626975</v>
      </c>
      <c r="D21" s="1481">
        <f t="shared" si="35"/>
        <v>257.80556031626975</v>
      </c>
      <c r="E21" s="1481">
        <f t="shared" si="41"/>
        <v>422.70928459677179</v>
      </c>
      <c r="F21" s="1481">
        <f t="shared" si="41"/>
        <v>229.73803270336617</v>
      </c>
      <c r="G21" s="3369"/>
      <c r="H21" s="1482">
        <v>1</v>
      </c>
      <c r="I21" s="1482">
        <v>2.97</v>
      </c>
      <c r="J21" s="1482">
        <v>2.34</v>
      </c>
      <c r="K21" s="1482">
        <v>3.28</v>
      </c>
      <c r="L21" s="1483">
        <v>1.36</v>
      </c>
      <c r="N21" s="1485">
        <f t="shared" si="37"/>
        <v>2.9700000000000001E-2</v>
      </c>
      <c r="O21" s="1486">
        <f t="shared" si="32"/>
        <v>2.3399999999999997E-2</v>
      </c>
      <c r="P21" s="1486">
        <f t="shared" si="32"/>
        <v>3.2799999999999996E-2</v>
      </c>
      <c r="Q21" s="1486">
        <f t="shared" si="32"/>
        <v>1.3600000000000001E-2</v>
      </c>
      <c r="R21" s="1487"/>
      <c r="S21" s="1488">
        <f>B21/B22-1</f>
        <v>2.7910129219355539E-2</v>
      </c>
      <c r="T21" s="1489">
        <f>C21/C22-1</f>
        <v>2.3037937762975247E-2</v>
      </c>
      <c r="U21" s="1489">
        <f>E21/E22-1</f>
        <v>3.3519033243940788E-2</v>
      </c>
      <c r="V21" s="1489">
        <f>F21/F22-1</f>
        <v>1.2061818076502862E-2</v>
      </c>
      <c r="W21" s="1490" t="s">
        <v>1162</v>
      </c>
      <c r="X21" s="1491">
        <v>1</v>
      </c>
      <c r="Y21" s="1491">
        <v>1</v>
      </c>
      <c r="Z21" s="1491">
        <v>1</v>
      </c>
      <c r="AA21" s="1491">
        <v>1</v>
      </c>
      <c r="AB21" s="1491">
        <v>1</v>
      </c>
      <c r="AD21" s="1713">
        <f>I21/100</f>
        <v>2.9700000000000001E-2</v>
      </c>
      <c r="AE21" s="1713">
        <f>J21/100</f>
        <v>2.3399999999999997E-2</v>
      </c>
      <c r="AF21" s="1713">
        <f>AE21</f>
        <v>2.3399999999999997E-2</v>
      </c>
      <c r="AG21" s="1713">
        <f>K21/100</f>
        <v>3.2799999999999996E-2</v>
      </c>
      <c r="AH21" s="1713">
        <f>L21/100</f>
        <v>1.3600000000000001E-2</v>
      </c>
    </row>
    <row r="22" spans="1:34" ht="13.5" thickBot="1">
      <c r="A22" s="1447" t="s">
        <v>1163</v>
      </c>
      <c r="B22" s="1455">
        <v>299</v>
      </c>
      <c r="C22" s="1455">
        <v>252</v>
      </c>
      <c r="D22" s="1455">
        <f t="shared" si="35"/>
        <v>252</v>
      </c>
      <c r="E22" s="1455">
        <v>409</v>
      </c>
      <c r="F22" s="1456">
        <v>227</v>
      </c>
      <c r="G22" s="3374">
        <v>2013</v>
      </c>
      <c r="H22" s="1492">
        <v>4</v>
      </c>
      <c r="I22" s="1492">
        <v>1.83</v>
      </c>
      <c r="J22" s="1492">
        <v>1.68</v>
      </c>
      <c r="K22" s="1492">
        <v>1.97</v>
      </c>
      <c r="L22" s="1493">
        <v>0.87</v>
      </c>
      <c r="N22" s="1470">
        <f t="shared" si="37"/>
        <v>1.83E-2</v>
      </c>
      <c r="O22" s="1471">
        <f t="shared" si="32"/>
        <v>1.6799999999999999E-2</v>
      </c>
      <c r="P22" s="1471">
        <f t="shared" si="32"/>
        <v>1.9699999999999999E-2</v>
      </c>
      <c r="Q22" s="1471">
        <f t="shared" si="32"/>
        <v>8.6999999999999994E-3</v>
      </c>
      <c r="R22" s="1460"/>
      <c r="S22" s="1461"/>
      <c r="T22" s="1462"/>
      <c r="U22" s="1462"/>
      <c r="V22" s="1462"/>
      <c r="X22" s="1462"/>
      <c r="Y22" s="1462"/>
      <c r="Z22" s="1462"/>
    </row>
    <row r="23" spans="1:34">
      <c r="A23" s="1447" t="s">
        <v>1164</v>
      </c>
      <c r="B23" s="1463">
        <f t="shared" ref="B23:C25" si="44">B22/(1+N22)</f>
        <v>293.62663262299913</v>
      </c>
      <c r="C23" s="1463">
        <f t="shared" si="44"/>
        <v>247.83634933123525</v>
      </c>
      <c r="D23" s="1463">
        <f t="shared" si="35"/>
        <v>247.83634933123525</v>
      </c>
      <c r="E23" s="1463">
        <f t="shared" ref="E23:F25" si="45">E22/(1+P22)</f>
        <v>401.09836226341076</v>
      </c>
      <c r="F23" s="1463">
        <f t="shared" si="45"/>
        <v>225.04213343908003</v>
      </c>
      <c r="G23" s="3375"/>
      <c r="H23" s="1473">
        <v>3</v>
      </c>
      <c r="I23" s="1473">
        <v>1.86</v>
      </c>
      <c r="J23" s="1473">
        <v>1.72</v>
      </c>
      <c r="K23" s="1473">
        <v>1.98</v>
      </c>
      <c r="L23" s="1474">
        <v>0.88</v>
      </c>
      <c r="N23" s="1458">
        <f t="shared" si="37"/>
        <v>1.8600000000000002E-2</v>
      </c>
      <c r="O23" s="1475">
        <f t="shared" si="32"/>
        <v>1.72E-2</v>
      </c>
      <c r="P23" s="1475">
        <f t="shared" si="32"/>
        <v>1.9799999999999998E-2</v>
      </c>
      <c r="Q23" s="1475">
        <f t="shared" si="32"/>
        <v>8.8000000000000005E-3</v>
      </c>
      <c r="R23" s="1460"/>
      <c r="S23" s="1458"/>
      <c r="T23" s="1459"/>
      <c r="U23" s="1459"/>
      <c r="V23" s="1459"/>
    </row>
    <row r="24" spans="1:34">
      <c r="A24" s="1447" t="s">
        <v>1165</v>
      </c>
      <c r="B24" s="1463">
        <f t="shared" si="44"/>
        <v>288.2649053828776</v>
      </c>
      <c r="C24" s="1463">
        <f t="shared" si="44"/>
        <v>243.64564425013293</v>
      </c>
      <c r="D24" s="1463">
        <f t="shared" si="35"/>
        <v>243.64564425013293</v>
      </c>
      <c r="E24" s="1463">
        <f t="shared" si="45"/>
        <v>393.31080825986544</v>
      </c>
      <c r="F24" s="1463">
        <f t="shared" si="45"/>
        <v>223.07903790551154</v>
      </c>
      <c r="G24" s="3375"/>
      <c r="H24" s="1451">
        <v>2</v>
      </c>
      <c r="I24" s="1451">
        <v>2.04</v>
      </c>
      <c r="J24" s="1451">
        <v>2.33</v>
      </c>
      <c r="K24" s="1451">
        <v>2.0699999999999998</v>
      </c>
      <c r="L24" s="1465">
        <v>0.69</v>
      </c>
      <c r="N24" s="1458">
        <f t="shared" si="37"/>
        <v>2.0400000000000001E-2</v>
      </c>
      <c r="O24" s="1475">
        <f t="shared" si="32"/>
        <v>2.3300000000000001E-2</v>
      </c>
      <c r="P24" s="1475">
        <f t="shared" si="32"/>
        <v>2.07E-2</v>
      </c>
      <c r="Q24" s="1475">
        <f t="shared" si="32"/>
        <v>6.8999999999999999E-3</v>
      </c>
      <c r="R24" s="1460"/>
      <c r="S24" s="1458"/>
      <c r="T24" s="1459"/>
      <c r="U24" s="1459"/>
      <c r="V24" s="1459"/>
      <c r="X24" s="1494"/>
      <c r="Y24" s="1495"/>
    </row>
    <row r="25" spans="1:34">
      <c r="A25" s="1447" t="s">
        <v>1166</v>
      </c>
      <c r="B25" s="1463">
        <f t="shared" si="44"/>
        <v>282.50186729015837</v>
      </c>
      <c r="C25" s="1463">
        <f t="shared" si="44"/>
        <v>238.09796174155468</v>
      </c>
      <c r="D25" s="1463">
        <f t="shared" si="35"/>
        <v>238.09796174155468</v>
      </c>
      <c r="E25" s="1463">
        <f t="shared" si="45"/>
        <v>385.33438646014054</v>
      </c>
      <c r="F25" s="1463">
        <f t="shared" si="45"/>
        <v>221.55034055567739</v>
      </c>
      <c r="G25" s="3376"/>
      <c r="H25" s="1450">
        <v>1</v>
      </c>
      <c r="I25" s="1450">
        <v>1.67</v>
      </c>
      <c r="J25" s="1450">
        <v>1.31</v>
      </c>
      <c r="K25" s="1450">
        <v>1.85</v>
      </c>
      <c r="L25" s="1464">
        <v>0.96</v>
      </c>
      <c r="N25" s="1466">
        <f t="shared" si="37"/>
        <v>1.67E-2</v>
      </c>
      <c r="O25" s="1467">
        <f t="shared" si="37"/>
        <v>1.3100000000000001E-2</v>
      </c>
      <c r="P25" s="1467">
        <f t="shared" si="37"/>
        <v>1.8500000000000003E-2</v>
      </c>
      <c r="Q25" s="1467">
        <f t="shared" si="37"/>
        <v>9.5999999999999992E-3</v>
      </c>
      <c r="R25" s="1460"/>
      <c r="S25" s="1466">
        <f>B25/B26-1</f>
        <v>1.6193767230785472E-2</v>
      </c>
      <c r="T25" s="1467">
        <f>C25/C26-1</f>
        <v>1.7512657015190891E-2</v>
      </c>
      <c r="U25" s="1467">
        <f>E25/E26-1</f>
        <v>1.6713420739157048E-2</v>
      </c>
      <c r="V25" s="1467">
        <f>F25/F26-1</f>
        <v>7.0470025258062563E-3</v>
      </c>
      <c r="X25" s="1496"/>
      <c r="Y25" s="1446"/>
      <c r="Z25" s="1446"/>
    </row>
    <row r="26" spans="1:34" ht="13.5" thickBot="1">
      <c r="A26" s="1447" t="s">
        <v>1167</v>
      </c>
      <c r="B26" s="1497">
        <v>278</v>
      </c>
      <c r="C26" s="1497">
        <v>234</v>
      </c>
      <c r="D26" s="1497">
        <f t="shared" si="35"/>
        <v>234</v>
      </c>
      <c r="E26" s="1497">
        <v>379</v>
      </c>
      <c r="F26" s="1498">
        <v>220</v>
      </c>
      <c r="G26" s="3367">
        <v>2012</v>
      </c>
      <c r="H26" s="1468">
        <v>4</v>
      </c>
      <c r="I26" s="1468">
        <v>0.91</v>
      </c>
      <c r="J26" s="1468">
        <v>0.68</v>
      </c>
      <c r="K26" s="1468">
        <v>0.98</v>
      </c>
      <c r="L26" s="1469">
        <v>0.9</v>
      </c>
      <c r="N26" s="1458">
        <f t="shared" si="37"/>
        <v>9.1000000000000004E-3</v>
      </c>
      <c r="O26" s="1459">
        <f t="shared" si="37"/>
        <v>6.8000000000000005E-3</v>
      </c>
      <c r="P26" s="1459">
        <f t="shared" si="37"/>
        <v>9.7999999999999997E-3</v>
      </c>
      <c r="Q26" s="1459">
        <f t="shared" si="37"/>
        <v>9.0000000000000011E-3</v>
      </c>
      <c r="R26" s="1460"/>
      <c r="S26" s="1461"/>
      <c r="T26" s="1462"/>
      <c r="U26" s="1462"/>
      <c r="V26" s="1462"/>
      <c r="X26" s="1462"/>
      <c r="Y26" s="1462"/>
      <c r="Z26" s="1462"/>
    </row>
    <row r="27" spans="1:34">
      <c r="A27" s="1447" t="s">
        <v>1168</v>
      </c>
      <c r="B27" s="1463">
        <f>B26/(1+N26)</f>
        <v>275.49301357645425</v>
      </c>
      <c r="C27" s="1463">
        <f>C26/(1+O26)</f>
        <v>232.41954707985698</v>
      </c>
      <c r="D27" s="1463">
        <f t="shared" si="35"/>
        <v>232.41954707985698</v>
      </c>
      <c r="E27" s="1463">
        <f t="shared" ref="E27:F29" si="46">E26/(1+P26)</f>
        <v>375.32184591008121</v>
      </c>
      <c r="F27" s="1463">
        <f t="shared" si="46"/>
        <v>218.03766105054513</v>
      </c>
      <c r="G27" s="3368"/>
      <c r="H27" s="1473">
        <v>3</v>
      </c>
      <c r="I27" s="1473">
        <v>0.09</v>
      </c>
      <c r="J27" s="1473">
        <v>0.28999999999999998</v>
      </c>
      <c r="K27" s="1473">
        <v>-0.01</v>
      </c>
      <c r="L27" s="1474">
        <v>0.57999999999999996</v>
      </c>
      <c r="N27" s="1458">
        <f t="shared" si="37"/>
        <v>8.9999999999999998E-4</v>
      </c>
      <c r="O27" s="1459">
        <f t="shared" si="37"/>
        <v>2.8999999999999998E-3</v>
      </c>
      <c r="P27" s="1459">
        <f t="shared" si="37"/>
        <v>-1E-4</v>
      </c>
      <c r="Q27" s="1459">
        <f t="shared" si="37"/>
        <v>5.7999999999999996E-3</v>
      </c>
      <c r="R27" s="1460"/>
      <c r="S27" s="1458"/>
      <c r="T27" s="1459"/>
      <c r="U27" s="1459"/>
      <c r="V27" s="1459"/>
    </row>
    <row r="28" spans="1:34">
      <c r="A28" s="1447" t="s">
        <v>1169</v>
      </c>
      <c r="B28" s="1463">
        <f>B27/(1+N27)</f>
        <v>275.24529281292263</v>
      </c>
      <c r="C28" s="1463">
        <f>C27/(1+O27)</f>
        <v>231.74747938962707</v>
      </c>
      <c r="D28" s="1463">
        <f t="shared" si="35"/>
        <v>231.74747938962707</v>
      </c>
      <c r="E28" s="1463">
        <f t="shared" si="46"/>
        <v>375.35938184826603</v>
      </c>
      <c r="F28" s="1463">
        <f t="shared" si="46"/>
        <v>216.78033510692495</v>
      </c>
      <c r="G28" s="3368"/>
      <c r="H28" s="1451">
        <v>2</v>
      </c>
      <c r="I28" s="1451">
        <v>0.02</v>
      </c>
      <c r="J28" s="1451">
        <v>0.12</v>
      </c>
      <c r="K28" s="1451">
        <v>-0.08</v>
      </c>
      <c r="L28" s="1465">
        <v>1.24</v>
      </c>
      <c r="N28" s="1458">
        <f t="shared" si="37"/>
        <v>2.0000000000000001E-4</v>
      </c>
      <c r="O28" s="1459">
        <f t="shared" si="37"/>
        <v>1.1999999999999999E-3</v>
      </c>
      <c r="P28" s="1459">
        <f t="shared" si="37"/>
        <v>-8.0000000000000004E-4</v>
      </c>
      <c r="Q28" s="1459">
        <f t="shared" si="37"/>
        <v>1.24E-2</v>
      </c>
      <c r="R28" s="1460"/>
      <c r="S28" s="1458"/>
      <c r="T28" s="1459"/>
      <c r="U28" s="1459"/>
      <c r="V28" s="1459"/>
    </row>
    <row r="29" spans="1:34" ht="13.5" thickBot="1">
      <c r="A29" s="1447" t="s">
        <v>1170</v>
      </c>
      <c r="B29" s="1463">
        <f>B28/(1+N28)</f>
        <v>275.19025476197027</v>
      </c>
      <c r="C29" s="1499">
        <v>232</v>
      </c>
      <c r="D29" s="1499">
        <f t="shared" si="35"/>
        <v>232</v>
      </c>
      <c r="E29" s="1463">
        <f t="shared" si="46"/>
        <v>375.65990977608692</v>
      </c>
      <c r="F29" s="1463">
        <f t="shared" si="46"/>
        <v>214.12518283971252</v>
      </c>
      <c r="G29" s="3369"/>
      <c r="H29" s="1450">
        <v>1</v>
      </c>
      <c r="I29" s="1450">
        <v>0.02</v>
      </c>
      <c r="J29" s="1450">
        <v>0.13</v>
      </c>
      <c r="K29" s="1450">
        <v>-0.04</v>
      </c>
      <c r="L29" s="1464">
        <v>0.46</v>
      </c>
      <c r="N29" s="1458">
        <f t="shared" si="37"/>
        <v>2.0000000000000001E-4</v>
      </c>
      <c r="O29" s="1459">
        <f t="shared" si="37"/>
        <v>1.2999999999999999E-3</v>
      </c>
      <c r="P29" s="1459">
        <f t="shared" si="37"/>
        <v>-4.0000000000000002E-4</v>
      </c>
      <c r="Q29" s="1459">
        <f t="shared" si="37"/>
        <v>4.5999999999999999E-3</v>
      </c>
      <c r="R29" s="1460"/>
      <c r="S29" s="1466">
        <f>B29/B30-1</f>
        <v>6.9183549807361189E-4</v>
      </c>
      <c r="T29" s="1467">
        <f>C29/C30-1</f>
        <v>0</v>
      </c>
      <c r="U29" s="1467">
        <f>E29/E30-1</f>
        <v>-9.0449527636460303E-4</v>
      </c>
      <c r="V29" s="1467">
        <f>F29/F30-1</f>
        <v>5.2825485432512753E-3</v>
      </c>
      <c r="X29" s="1446"/>
      <c r="Y29" s="1446"/>
      <c r="Z29" s="1446"/>
    </row>
    <row r="30" spans="1:34" ht="13.5" thickBot="1">
      <c r="A30" s="1447" t="s">
        <v>1171</v>
      </c>
      <c r="B30" s="1455">
        <v>275</v>
      </c>
      <c r="C30" s="1455">
        <v>232</v>
      </c>
      <c r="D30" s="1455">
        <f t="shared" si="35"/>
        <v>232</v>
      </c>
      <c r="E30" s="1455">
        <v>376</v>
      </c>
      <c r="F30" s="1456">
        <v>213</v>
      </c>
      <c r="G30" s="3367">
        <v>2011</v>
      </c>
      <c r="H30" s="1468">
        <v>4</v>
      </c>
      <c r="I30" s="1468">
        <v>-0.2</v>
      </c>
      <c r="J30" s="1468">
        <v>0.04</v>
      </c>
      <c r="K30" s="1468">
        <v>-0.34</v>
      </c>
      <c r="L30" s="1469">
        <v>0.46</v>
      </c>
      <c r="N30" s="1470">
        <f t="shared" si="37"/>
        <v>-2E-3</v>
      </c>
      <c r="O30" s="1471">
        <f t="shared" si="37"/>
        <v>4.0000000000000002E-4</v>
      </c>
      <c r="P30" s="1471">
        <f t="shared" si="37"/>
        <v>-3.4000000000000002E-3</v>
      </c>
      <c r="Q30" s="1471">
        <f t="shared" si="37"/>
        <v>4.5999999999999999E-3</v>
      </c>
      <c r="R30" s="1460"/>
      <c r="S30" s="1461"/>
      <c r="T30" s="1462"/>
      <c r="U30" s="1462"/>
      <c r="V30" s="1462"/>
      <c r="X30" s="1462"/>
      <c r="Y30" s="1462"/>
      <c r="Z30" s="1462"/>
    </row>
    <row r="31" spans="1:34">
      <c r="A31" s="1447" t="s">
        <v>1172</v>
      </c>
      <c r="B31" s="1463">
        <f t="shared" ref="B31:C33" si="47">B30/(1+N30)</f>
        <v>275.55110220440883</v>
      </c>
      <c r="C31" s="1463">
        <f t="shared" si="47"/>
        <v>231.90723710515795</v>
      </c>
      <c r="D31" s="1463">
        <f t="shared" si="35"/>
        <v>231.90723710515795</v>
      </c>
      <c r="E31" s="1463">
        <f t="shared" ref="E31:F33" si="48">E30/(1+P30)</f>
        <v>377.28276138872161</v>
      </c>
      <c r="F31" s="1463">
        <f t="shared" si="48"/>
        <v>212.02468644236512</v>
      </c>
      <c r="G31" s="3368">
        <v>2011</v>
      </c>
      <c r="H31" s="1473">
        <v>3</v>
      </c>
      <c r="I31" s="1473">
        <v>0.13</v>
      </c>
      <c r="J31" s="1473">
        <v>0.75</v>
      </c>
      <c r="K31" s="1473">
        <v>-0.08</v>
      </c>
      <c r="L31" s="1474">
        <v>0.53</v>
      </c>
      <c r="N31" s="1458">
        <f t="shared" si="37"/>
        <v>1.2999999999999999E-3</v>
      </c>
      <c r="O31" s="1475">
        <f t="shared" si="37"/>
        <v>7.4999999999999997E-3</v>
      </c>
      <c r="P31" s="1475">
        <f t="shared" si="37"/>
        <v>-8.0000000000000004E-4</v>
      </c>
      <c r="Q31" s="1475">
        <f t="shared" si="37"/>
        <v>5.3E-3</v>
      </c>
      <c r="R31" s="1460"/>
      <c r="S31" s="1458"/>
      <c r="T31" s="1459"/>
      <c r="U31" s="1459"/>
      <c r="V31" s="1459"/>
    </row>
    <row r="32" spans="1:34">
      <c r="A32" s="1447" t="s">
        <v>1173</v>
      </c>
      <c r="B32" s="1463">
        <f t="shared" si="47"/>
        <v>275.19335084830601</v>
      </c>
      <c r="C32" s="1463">
        <f t="shared" si="47"/>
        <v>230.18088050139744</v>
      </c>
      <c r="D32" s="1463">
        <f t="shared" si="35"/>
        <v>230.18088050139744</v>
      </c>
      <c r="E32" s="1463">
        <f t="shared" si="48"/>
        <v>377.58482925212331</v>
      </c>
      <c r="F32" s="1463">
        <f t="shared" si="48"/>
        <v>210.90687997847917</v>
      </c>
      <c r="G32" s="3368">
        <v>2011</v>
      </c>
      <c r="H32" s="1451">
        <v>2</v>
      </c>
      <c r="I32" s="1451">
        <v>-0.4</v>
      </c>
      <c r="J32" s="1451">
        <v>0.17</v>
      </c>
      <c r="K32" s="1451">
        <v>-0.57999999999999996</v>
      </c>
      <c r="L32" s="1465">
        <v>-0.2</v>
      </c>
      <c r="N32" s="1458">
        <f t="shared" si="37"/>
        <v>-4.0000000000000001E-3</v>
      </c>
      <c r="O32" s="1475">
        <f t="shared" si="37"/>
        <v>1.7000000000000001E-3</v>
      </c>
      <c r="P32" s="1475">
        <f t="shared" si="37"/>
        <v>-5.7999999999999996E-3</v>
      </c>
      <c r="Q32" s="1475">
        <f t="shared" si="37"/>
        <v>-2E-3</v>
      </c>
      <c r="R32" s="1460"/>
      <c r="S32" s="1458"/>
      <c r="T32" s="1459"/>
      <c r="U32" s="1459"/>
      <c r="V32" s="1459"/>
    </row>
    <row r="33" spans="1:26" ht="13.5" thickBot="1">
      <c r="A33" s="1447" t="s">
        <v>1174</v>
      </c>
      <c r="B33" s="1463">
        <f t="shared" si="47"/>
        <v>276.29854502841971</v>
      </c>
      <c r="C33" s="1463">
        <f t="shared" si="47"/>
        <v>229.79023709833027</v>
      </c>
      <c r="D33" s="1463">
        <f t="shared" si="35"/>
        <v>229.79023709833027</v>
      </c>
      <c r="E33" s="1463">
        <f t="shared" si="48"/>
        <v>379.78759731655936</v>
      </c>
      <c r="F33" s="1463">
        <f t="shared" si="48"/>
        <v>211.32953905659235</v>
      </c>
      <c r="G33" s="3369">
        <v>2011</v>
      </c>
      <c r="H33" s="1450">
        <v>1</v>
      </c>
      <c r="I33" s="1450">
        <v>2.65</v>
      </c>
      <c r="J33" s="1450">
        <v>3.76</v>
      </c>
      <c r="K33" s="1450">
        <v>1.89</v>
      </c>
      <c r="L33" s="1464">
        <v>7.95</v>
      </c>
      <c r="N33" s="1466">
        <f t="shared" si="37"/>
        <v>2.6499999999999999E-2</v>
      </c>
      <c r="O33" s="1467">
        <f t="shared" si="37"/>
        <v>3.7599999999999995E-2</v>
      </c>
      <c r="P33" s="1467">
        <f t="shared" si="37"/>
        <v>1.89E-2</v>
      </c>
      <c r="Q33" s="1467">
        <f t="shared" si="37"/>
        <v>7.9500000000000001E-2</v>
      </c>
      <c r="R33" s="1460"/>
      <c r="S33" s="1466">
        <f>B33/B34-1</f>
        <v>2.713213765211786E-2</v>
      </c>
      <c r="T33" s="1467">
        <f>C33/C34-1</f>
        <v>3.9774828499231862E-2</v>
      </c>
      <c r="U33" s="1467">
        <f>E33/E34-1</f>
        <v>1.8197311840641772E-2</v>
      </c>
      <c r="V33" s="1467">
        <f>F33/F34-1</f>
        <v>7.8211933962205826E-2</v>
      </c>
      <c r="X33" s="1446"/>
      <c r="Y33" s="1446"/>
      <c r="Z33" s="1446"/>
    </row>
    <row r="34" spans="1:26" ht="13.5" thickBot="1">
      <c r="A34" s="1447" t="s">
        <v>1175</v>
      </c>
      <c r="B34" s="1455">
        <v>269</v>
      </c>
      <c r="C34" s="1455">
        <v>221</v>
      </c>
      <c r="D34" s="1455">
        <f t="shared" si="35"/>
        <v>221</v>
      </c>
      <c r="E34" s="1455">
        <v>373</v>
      </c>
      <c r="F34" s="1456">
        <v>196</v>
      </c>
      <c r="G34" s="3367">
        <v>2010</v>
      </c>
      <c r="H34" s="1468">
        <v>4</v>
      </c>
      <c r="I34" s="1468">
        <v>5.72</v>
      </c>
      <c r="J34" s="1468">
        <v>6.57</v>
      </c>
      <c r="K34" s="1468">
        <v>5.72</v>
      </c>
      <c r="L34" s="1469">
        <v>2.72</v>
      </c>
      <c r="N34" s="1458">
        <f t="shared" si="37"/>
        <v>5.7200000000000001E-2</v>
      </c>
      <c r="O34" s="1459">
        <f t="shared" si="37"/>
        <v>6.5700000000000008E-2</v>
      </c>
      <c r="P34" s="1459">
        <f t="shared" si="37"/>
        <v>5.7200000000000001E-2</v>
      </c>
      <c r="Q34" s="1459">
        <f t="shared" si="37"/>
        <v>2.7200000000000002E-2</v>
      </c>
      <c r="R34" s="1460"/>
      <c r="S34" s="1461"/>
      <c r="T34" s="1462"/>
      <c r="U34" s="1462"/>
      <c r="V34" s="1462"/>
      <c r="X34" s="1462"/>
      <c r="Y34" s="1462"/>
      <c r="Z34" s="1462"/>
    </row>
    <row r="35" spans="1:26">
      <c r="A35" s="1447" t="s">
        <v>1176</v>
      </c>
      <c r="B35" s="1463">
        <f t="shared" ref="B35:C37" si="49">B34/(1+N34)</f>
        <v>254.44570563753314</v>
      </c>
      <c r="C35" s="1463">
        <f t="shared" si="49"/>
        <v>207.37543398705074</v>
      </c>
      <c r="D35" s="1463">
        <f t="shared" si="35"/>
        <v>207.37543398705074</v>
      </c>
      <c r="E35" s="1463">
        <f t="shared" ref="E35:F37" si="50">E34/(1+P34)</f>
        <v>352.81876655315932</v>
      </c>
      <c r="F35" s="1463">
        <f t="shared" si="50"/>
        <v>190.809968847352</v>
      </c>
      <c r="G35" s="3368">
        <v>2010</v>
      </c>
      <c r="H35" s="1473">
        <v>3</v>
      </c>
      <c r="I35" s="1473">
        <v>4.7300000000000004</v>
      </c>
      <c r="J35" s="1473">
        <v>3.9</v>
      </c>
      <c r="K35" s="1473">
        <v>5.03</v>
      </c>
      <c r="L35" s="1474">
        <v>4.21</v>
      </c>
      <c r="N35" s="1458">
        <f t="shared" si="37"/>
        <v>4.7300000000000002E-2</v>
      </c>
      <c r="O35" s="1459">
        <f t="shared" si="37"/>
        <v>3.9E-2</v>
      </c>
      <c r="P35" s="1459">
        <f t="shared" si="37"/>
        <v>5.0300000000000004E-2</v>
      </c>
      <c r="Q35" s="1459">
        <f t="shared" si="37"/>
        <v>4.2099999999999999E-2</v>
      </c>
      <c r="R35" s="1460"/>
      <c r="S35" s="1458"/>
      <c r="T35" s="1459"/>
      <c r="U35" s="1459"/>
      <c r="V35" s="1459"/>
    </row>
    <row r="36" spans="1:26">
      <c r="A36" s="1447" t="s">
        <v>1177</v>
      </c>
      <c r="B36" s="1463">
        <f t="shared" si="49"/>
        <v>242.95398227588385</v>
      </c>
      <c r="C36" s="1463">
        <f t="shared" si="49"/>
        <v>199.59137053614126</v>
      </c>
      <c r="D36" s="1463">
        <f t="shared" si="35"/>
        <v>199.59137053614126</v>
      </c>
      <c r="E36" s="1463">
        <f t="shared" si="50"/>
        <v>335.92189522342125</v>
      </c>
      <c r="F36" s="1463">
        <f t="shared" si="50"/>
        <v>183.10139991109489</v>
      </c>
      <c r="G36" s="3368">
        <v>2010</v>
      </c>
      <c r="H36" s="1451">
        <v>2</v>
      </c>
      <c r="I36" s="1451">
        <v>4.6900000000000004</v>
      </c>
      <c r="J36" s="1451">
        <v>3.55</v>
      </c>
      <c r="K36" s="1451">
        <v>5.07</v>
      </c>
      <c r="L36" s="1465">
        <v>4.2300000000000004</v>
      </c>
      <c r="N36" s="1458">
        <f t="shared" si="37"/>
        <v>4.6900000000000004E-2</v>
      </c>
      <c r="O36" s="1459">
        <f t="shared" si="37"/>
        <v>3.5499999999999997E-2</v>
      </c>
      <c r="P36" s="1459">
        <f t="shared" si="37"/>
        <v>5.0700000000000002E-2</v>
      </c>
      <c r="Q36" s="1459">
        <f t="shared" si="37"/>
        <v>4.2300000000000004E-2</v>
      </c>
      <c r="R36" s="1460"/>
      <c r="S36" s="1458"/>
      <c r="T36" s="1459"/>
      <c r="U36" s="1459"/>
      <c r="V36" s="1459"/>
    </row>
    <row r="37" spans="1:26" ht="13.5" thickBot="1">
      <c r="A37" s="1447" t="s">
        <v>1178</v>
      </c>
      <c r="B37" s="1463">
        <f t="shared" si="49"/>
        <v>232.06990378821649</v>
      </c>
      <c r="C37" s="1463">
        <f t="shared" si="49"/>
        <v>192.74878854286936</v>
      </c>
      <c r="D37" s="1463">
        <f t="shared" si="35"/>
        <v>192.74878854286936</v>
      </c>
      <c r="E37" s="1463">
        <f t="shared" si="50"/>
        <v>319.71247284992984</v>
      </c>
      <c r="F37" s="1463">
        <f t="shared" si="50"/>
        <v>175.67053622862409</v>
      </c>
      <c r="G37" s="3369">
        <v>2010</v>
      </c>
      <c r="H37" s="1450">
        <v>1</v>
      </c>
      <c r="I37" s="1450">
        <v>5.4</v>
      </c>
      <c r="J37" s="1450">
        <v>3.2</v>
      </c>
      <c r="K37" s="1450">
        <v>6.16</v>
      </c>
      <c r="L37" s="1464">
        <v>4.51</v>
      </c>
      <c r="N37" s="1458">
        <f t="shared" si="37"/>
        <v>5.4000000000000006E-2</v>
      </c>
      <c r="O37" s="1459">
        <f t="shared" si="37"/>
        <v>3.2000000000000001E-2</v>
      </c>
      <c r="P37" s="1459">
        <f t="shared" si="37"/>
        <v>6.1600000000000002E-2</v>
      </c>
      <c r="Q37" s="1459">
        <f t="shared" si="37"/>
        <v>4.5100000000000001E-2</v>
      </c>
      <c r="R37" s="1460"/>
      <c r="S37" s="1466">
        <f>B37/B38-1</f>
        <v>5.4863199037347599E-2</v>
      </c>
      <c r="T37" s="1467">
        <f>C37/C38-1</f>
        <v>3.0742184721226584E-2</v>
      </c>
      <c r="U37" s="1467">
        <f>E37/E38-1</f>
        <v>6.2167683886810154E-2</v>
      </c>
      <c r="V37" s="1467">
        <f>F37/F38-1</f>
        <v>4.5657953741810031E-2</v>
      </c>
      <c r="X37" s="1446"/>
      <c r="Y37" s="1446"/>
      <c r="Z37" s="1446"/>
    </row>
    <row r="38" spans="1:26" ht="13.5" thickBot="1">
      <c r="A38" s="1447" t="s">
        <v>1179</v>
      </c>
      <c r="B38" s="1455">
        <v>220</v>
      </c>
      <c r="C38" s="1455">
        <v>187</v>
      </c>
      <c r="D38" s="1455">
        <f t="shared" si="35"/>
        <v>187</v>
      </c>
      <c r="E38" s="1455">
        <v>301</v>
      </c>
      <c r="F38" s="1456">
        <v>168</v>
      </c>
      <c r="G38" s="3367">
        <v>2009</v>
      </c>
      <c r="H38" s="1468">
        <v>4</v>
      </c>
      <c r="I38" s="1468">
        <v>2.2999999999999998</v>
      </c>
      <c r="J38" s="1468">
        <v>1.04</v>
      </c>
      <c r="K38" s="1468">
        <v>2.84</v>
      </c>
      <c r="L38" s="1469">
        <v>0.67</v>
      </c>
      <c r="N38" s="1470">
        <f t="shared" si="37"/>
        <v>2.3E-2</v>
      </c>
      <c r="O38" s="1471">
        <f t="shared" si="37"/>
        <v>1.04E-2</v>
      </c>
      <c r="P38" s="1471">
        <f t="shared" si="37"/>
        <v>2.8399999999999998E-2</v>
      </c>
      <c r="Q38" s="1471">
        <f t="shared" si="37"/>
        <v>6.7000000000000002E-3</v>
      </c>
      <c r="R38" s="1460"/>
      <c r="S38" s="1461"/>
      <c r="T38" s="1462"/>
      <c r="U38" s="1462"/>
      <c r="V38" s="1462"/>
      <c r="X38" s="1462"/>
      <c r="Y38" s="1462"/>
      <c r="Z38" s="1462"/>
    </row>
    <row r="39" spans="1:26">
      <c r="A39" s="1447" t="s">
        <v>1180</v>
      </c>
      <c r="B39" s="1463">
        <f t="shared" ref="B39:C41" si="51">B38/(1+N38)</f>
        <v>215.05376344086022</v>
      </c>
      <c r="C39" s="1463">
        <f t="shared" si="51"/>
        <v>185.0752177355503</v>
      </c>
      <c r="D39" s="1463">
        <f t="shared" si="35"/>
        <v>185.0752177355503</v>
      </c>
      <c r="E39" s="1463">
        <f t="shared" ref="E39:F41" si="52">E38/(1+P38)</f>
        <v>292.68767016725008</v>
      </c>
      <c r="F39" s="1463">
        <f t="shared" si="52"/>
        <v>166.88189132810174</v>
      </c>
      <c r="G39" s="3368">
        <v>2009</v>
      </c>
      <c r="H39" s="1473">
        <v>3</v>
      </c>
      <c r="I39" s="1473">
        <v>2.1</v>
      </c>
      <c r="J39" s="1473">
        <v>1.86</v>
      </c>
      <c r="K39" s="1473">
        <v>2.29</v>
      </c>
      <c r="L39" s="1474">
        <v>0.85</v>
      </c>
      <c r="N39" s="1458">
        <f t="shared" si="37"/>
        <v>2.1000000000000001E-2</v>
      </c>
      <c r="O39" s="1475">
        <f t="shared" si="37"/>
        <v>1.8600000000000002E-2</v>
      </c>
      <c r="P39" s="1475">
        <f t="shared" si="37"/>
        <v>2.29E-2</v>
      </c>
      <c r="Q39" s="1475">
        <f t="shared" si="37"/>
        <v>8.5000000000000006E-3</v>
      </c>
      <c r="R39" s="1460"/>
      <c r="S39" s="1458"/>
      <c r="T39" s="1459"/>
      <c r="U39" s="1459"/>
      <c r="V39" s="1459"/>
    </row>
    <row r="40" spans="1:26">
      <c r="A40" s="1447" t="s">
        <v>1181</v>
      </c>
      <c r="B40" s="1463">
        <f t="shared" si="51"/>
        <v>210.630522469011</v>
      </c>
      <c r="C40" s="1463">
        <f t="shared" si="51"/>
        <v>181.69567812247232</v>
      </c>
      <c r="D40" s="1463">
        <f t="shared" si="35"/>
        <v>181.69567812247232</v>
      </c>
      <c r="E40" s="1463">
        <f t="shared" si="52"/>
        <v>286.13517466736738</v>
      </c>
      <c r="F40" s="1463">
        <f t="shared" si="52"/>
        <v>165.47535084591149</v>
      </c>
      <c r="G40" s="3368">
        <v>2009</v>
      </c>
      <c r="H40" s="1451">
        <v>2</v>
      </c>
      <c r="I40" s="1451">
        <v>0.86</v>
      </c>
      <c r="J40" s="1451">
        <v>-1.1299999999999999</v>
      </c>
      <c r="K40" s="1451">
        <v>1.79</v>
      </c>
      <c r="L40" s="1465">
        <v>-2.0699999999999998</v>
      </c>
      <c r="N40" s="1458">
        <f t="shared" si="37"/>
        <v>8.6E-3</v>
      </c>
      <c r="O40" s="1475">
        <f t="shared" si="37"/>
        <v>-1.1299999999999999E-2</v>
      </c>
      <c r="P40" s="1475">
        <f t="shared" si="37"/>
        <v>1.7899999999999999E-2</v>
      </c>
      <c r="Q40" s="1475">
        <f t="shared" si="37"/>
        <v>-2.07E-2</v>
      </c>
      <c r="R40" s="1460"/>
      <c r="S40" s="1458"/>
      <c r="T40" s="1459"/>
      <c r="U40" s="1459"/>
      <c r="V40" s="1459"/>
    </row>
    <row r="41" spans="1:26">
      <c r="A41" s="1447" t="s">
        <v>1182</v>
      </c>
      <c r="B41" s="1463">
        <f t="shared" si="51"/>
        <v>208.83454537875372</v>
      </c>
      <c r="C41" s="1463">
        <f t="shared" si="51"/>
        <v>183.77230517090351</v>
      </c>
      <c r="D41" s="1463">
        <f t="shared" si="35"/>
        <v>183.77230517090351</v>
      </c>
      <c r="E41" s="1463">
        <f t="shared" si="52"/>
        <v>281.10342338870947</v>
      </c>
      <c r="F41" s="1463">
        <f t="shared" si="52"/>
        <v>168.97309388942256</v>
      </c>
      <c r="G41" s="3369">
        <v>2009</v>
      </c>
      <c r="H41" s="1450">
        <v>1</v>
      </c>
      <c r="I41" s="1450">
        <v>-2.64</v>
      </c>
      <c r="J41" s="1450">
        <v>-2.5299999999999998</v>
      </c>
      <c r="K41" s="1450">
        <v>-3.02</v>
      </c>
      <c r="L41" s="1464">
        <v>1.52</v>
      </c>
      <c r="N41" s="1466">
        <f t="shared" si="37"/>
        <v>-2.64E-2</v>
      </c>
      <c r="O41" s="1467">
        <f t="shared" si="37"/>
        <v>-2.53E-2</v>
      </c>
      <c r="P41" s="1467">
        <f t="shared" si="37"/>
        <v>-3.0200000000000001E-2</v>
      </c>
      <c r="Q41" s="1467">
        <f t="shared" si="37"/>
        <v>1.52E-2</v>
      </c>
      <c r="R41" s="1460"/>
      <c r="S41" s="1466">
        <f>B41/B42-1</f>
        <v>-2.4137638417038754E-2</v>
      </c>
      <c r="T41" s="1467">
        <f>C41/C42-1</f>
        <v>-2.248773845264096E-2</v>
      </c>
      <c r="U41" s="1467">
        <f>E41/E42-1</f>
        <v>-2.7323794502735366E-2</v>
      </c>
      <c r="V41" s="1467">
        <f>F41/F42-1</f>
        <v>1.7910204153148035E-2</v>
      </c>
      <c r="X41" s="1446"/>
      <c r="Y41" s="1446"/>
      <c r="Z41" s="1446"/>
    </row>
    <row r="42" spans="1:26" ht="13.5" thickBot="1">
      <c r="A42" s="1447" t="s">
        <v>1183</v>
      </c>
      <c r="B42" s="1497">
        <v>214</v>
      </c>
      <c r="C42" s="1497">
        <v>188</v>
      </c>
      <c r="D42" s="1497">
        <f t="shared" si="35"/>
        <v>188</v>
      </c>
      <c r="E42" s="1497">
        <v>289</v>
      </c>
      <c r="F42" s="1498">
        <v>166</v>
      </c>
      <c r="G42" s="3367">
        <v>2008</v>
      </c>
      <c r="H42" s="1468">
        <v>4</v>
      </c>
      <c r="I42" s="1468">
        <v>1.73</v>
      </c>
      <c r="J42" s="1468">
        <v>0.03</v>
      </c>
      <c r="K42" s="1468">
        <v>2.59</v>
      </c>
      <c r="L42" s="1469">
        <v>-1.66</v>
      </c>
      <c r="N42" s="1458">
        <f t="shared" si="37"/>
        <v>1.7299999999999999E-2</v>
      </c>
      <c r="O42" s="1459">
        <f t="shared" si="37"/>
        <v>2.9999999999999997E-4</v>
      </c>
      <c r="P42" s="1459">
        <f t="shared" si="37"/>
        <v>2.5899999999999999E-2</v>
      </c>
      <c r="Q42" s="1459">
        <f t="shared" si="37"/>
        <v>-1.66E-2</v>
      </c>
      <c r="R42" s="1460"/>
      <c r="S42" s="1461"/>
      <c r="T42" s="1462"/>
      <c r="U42" s="1462"/>
      <c r="V42" s="1462"/>
      <c r="X42" s="1462"/>
      <c r="Y42" s="1462"/>
      <c r="Z42" s="1462"/>
    </row>
    <row r="43" spans="1:26">
      <c r="A43" s="1447" t="s">
        <v>1184</v>
      </c>
      <c r="B43" s="1463">
        <f t="shared" ref="B43:C45" si="53">B42/(1+N42)</f>
        <v>210.36075887152265</v>
      </c>
      <c r="C43" s="1463">
        <f t="shared" si="53"/>
        <v>187.94361691492554</v>
      </c>
      <c r="D43" s="1463">
        <f t="shared" si="35"/>
        <v>187.94361691492554</v>
      </c>
      <c r="E43" s="1463">
        <f t="shared" ref="E43:F45" si="54">E42/(1+P42)</f>
        <v>281.70386977288234</v>
      </c>
      <c r="F43" s="1463">
        <f t="shared" si="54"/>
        <v>168.80211511083994</v>
      </c>
      <c r="G43" s="3368">
        <v>2008</v>
      </c>
      <c r="H43" s="1473">
        <v>3</v>
      </c>
      <c r="I43" s="1473">
        <v>1.96</v>
      </c>
      <c r="J43" s="1473">
        <v>2.36</v>
      </c>
      <c r="K43" s="1473">
        <v>1.82</v>
      </c>
      <c r="L43" s="1474">
        <v>2.2200000000000002</v>
      </c>
      <c r="N43" s="1458">
        <f t="shared" si="37"/>
        <v>1.9599999999999999E-2</v>
      </c>
      <c r="O43" s="1459">
        <f t="shared" si="37"/>
        <v>2.3599999999999999E-2</v>
      </c>
      <c r="P43" s="1459">
        <f t="shared" si="37"/>
        <v>1.8200000000000001E-2</v>
      </c>
      <c r="Q43" s="1459">
        <f t="shared" si="37"/>
        <v>2.2200000000000001E-2</v>
      </c>
      <c r="R43" s="1460"/>
      <c r="S43" s="1458"/>
      <c r="T43" s="1459"/>
      <c r="U43" s="1459"/>
      <c r="V43" s="1459"/>
    </row>
    <row r="44" spans="1:26">
      <c r="A44" s="1447" t="s">
        <v>1185</v>
      </c>
      <c r="B44" s="1463">
        <f t="shared" si="53"/>
        <v>206.31694671589116</v>
      </c>
      <c r="C44" s="1463">
        <f t="shared" si="53"/>
        <v>183.61041121036101</v>
      </c>
      <c r="D44" s="1463">
        <f t="shared" si="35"/>
        <v>183.61041121036101</v>
      </c>
      <c r="E44" s="1463">
        <f t="shared" si="54"/>
        <v>276.66850301795557</v>
      </c>
      <c r="F44" s="1463">
        <f t="shared" si="54"/>
        <v>165.1360938278614</v>
      </c>
      <c r="G44" s="3368">
        <v>2008</v>
      </c>
      <c r="H44" s="1451">
        <v>2</v>
      </c>
      <c r="I44" s="1451">
        <v>4.93</v>
      </c>
      <c r="J44" s="1451">
        <v>7.38</v>
      </c>
      <c r="K44" s="1451">
        <v>3.98</v>
      </c>
      <c r="L44" s="1465">
        <v>6.86</v>
      </c>
      <c r="N44" s="1458">
        <f t="shared" si="37"/>
        <v>4.9299999999999997E-2</v>
      </c>
      <c r="O44" s="1459">
        <f t="shared" si="37"/>
        <v>7.3800000000000004E-2</v>
      </c>
      <c r="P44" s="1459">
        <f t="shared" si="37"/>
        <v>3.9800000000000002E-2</v>
      </c>
      <c r="Q44" s="1459">
        <f t="shared" si="37"/>
        <v>6.8600000000000008E-2</v>
      </c>
      <c r="R44" s="1460"/>
      <c r="S44" s="1458"/>
      <c r="T44" s="1459"/>
      <c r="U44" s="1459"/>
      <c r="V44" s="1459"/>
    </row>
    <row r="45" spans="1:26" s="1503" customFormat="1" ht="13.5" thickBot="1">
      <c r="A45" s="1447" t="s">
        <v>1186</v>
      </c>
      <c r="B45" s="1500">
        <f t="shared" si="53"/>
        <v>196.62341248059772</v>
      </c>
      <c r="C45" s="1500">
        <f t="shared" si="53"/>
        <v>170.99125648199012</v>
      </c>
      <c r="D45" s="1500">
        <f t="shared" si="35"/>
        <v>170.99125648199012</v>
      </c>
      <c r="E45" s="1500">
        <f t="shared" si="54"/>
        <v>266.07857570490052</v>
      </c>
      <c r="F45" s="1500">
        <f t="shared" si="54"/>
        <v>154.53499328828505</v>
      </c>
      <c r="G45" s="3369">
        <v>2008</v>
      </c>
      <c r="H45" s="1501">
        <v>1</v>
      </c>
      <c r="I45" s="1501">
        <v>4.1399999999999997</v>
      </c>
      <c r="J45" s="1501">
        <v>3.45</v>
      </c>
      <c r="K45" s="1501">
        <v>4.95</v>
      </c>
      <c r="L45" s="1502">
        <v>4.82</v>
      </c>
      <c r="N45" s="1504">
        <f t="shared" si="37"/>
        <v>4.1399999999999999E-2</v>
      </c>
      <c r="O45" s="1505">
        <f t="shared" si="37"/>
        <v>3.4500000000000003E-2</v>
      </c>
      <c r="P45" s="1505">
        <f t="shared" si="37"/>
        <v>4.9500000000000002E-2</v>
      </c>
      <c r="Q45" s="1505">
        <f t="shared" si="37"/>
        <v>4.82E-2</v>
      </c>
      <c r="R45" s="1506"/>
      <c r="S45" s="1504">
        <f>B45/B46-1</f>
        <v>4.5869215322328349E-2</v>
      </c>
      <c r="T45" s="1505">
        <f>C45/C46-1</f>
        <v>3.6310645345394743E-2</v>
      </c>
      <c r="U45" s="1505">
        <f>E45/E46-1</f>
        <v>4.7553447657088688E-2</v>
      </c>
      <c r="V45" s="1505">
        <f>F45/F46-1</f>
        <v>4.4155360055980086E-2</v>
      </c>
      <c r="X45" s="1507"/>
      <c r="Y45" s="1507"/>
      <c r="Z45" s="1507"/>
    </row>
    <row r="46" spans="1:26" ht="13.5" thickBot="1">
      <c r="A46" s="1447" t="s">
        <v>1187</v>
      </c>
      <c r="B46" s="1455">
        <v>188</v>
      </c>
      <c r="C46" s="1455">
        <v>165</v>
      </c>
      <c r="D46" s="1455">
        <f t="shared" si="35"/>
        <v>165</v>
      </c>
      <c r="E46" s="1455">
        <v>254</v>
      </c>
      <c r="F46" s="1456">
        <v>148</v>
      </c>
      <c r="G46" s="3367">
        <v>2007</v>
      </c>
      <c r="H46" s="1508">
        <v>4</v>
      </c>
      <c r="I46" s="1508">
        <v>5.51</v>
      </c>
      <c r="J46" s="1508">
        <v>4.8899999999999997</v>
      </c>
      <c r="K46" s="1508">
        <v>6.43</v>
      </c>
      <c r="L46" s="1509">
        <v>5.36</v>
      </c>
      <c r="N46" s="1510">
        <f t="shared" ref="N46:O49" si="55">B46/B47-1</f>
        <v>4.1339718365245526E-2</v>
      </c>
      <c r="O46" s="1511">
        <f t="shared" si="55"/>
        <v>4.0324492593776018E-2</v>
      </c>
      <c r="P46" s="1511">
        <f t="shared" ref="P46:Q49" si="56">E46/E47-1</f>
        <v>6.1625555347990968E-2</v>
      </c>
      <c r="Q46" s="1511">
        <f t="shared" si="56"/>
        <v>4.6757569250590603E-2</v>
      </c>
      <c r="R46" s="1460"/>
      <c r="S46" s="1461"/>
      <c r="T46" s="1462"/>
      <c r="U46" s="1462"/>
      <c r="V46" s="1462"/>
      <c r="X46" s="1462"/>
      <c r="Y46" s="1462"/>
      <c r="Z46" s="1462"/>
    </row>
    <row r="47" spans="1:26">
      <c r="A47" s="1447" t="s">
        <v>1188</v>
      </c>
      <c r="B47" s="1463">
        <f t="shared" ref="B47:C49" si="57">B48+(B$46-B$50)*I47/SUM(I$46:I$49)</f>
        <v>180.5366651097618</v>
      </c>
      <c r="C47" s="1463">
        <f t="shared" si="57"/>
        <v>158.60435967302453</v>
      </c>
      <c r="D47" s="1463">
        <f t="shared" si="35"/>
        <v>158.60435967302453</v>
      </c>
      <c r="E47" s="1463">
        <f t="shared" ref="E47:F49" si="58">E48+(E$46-E$50)*K47/SUM(K$46:K$49)</f>
        <v>239.25573260785075</v>
      </c>
      <c r="F47" s="1463">
        <f t="shared" si="58"/>
        <v>141.38899430740037</v>
      </c>
      <c r="G47" s="3368">
        <v>2007</v>
      </c>
      <c r="H47" s="1473">
        <v>3</v>
      </c>
      <c r="I47" s="1473">
        <v>8.65</v>
      </c>
      <c r="J47" s="1473">
        <v>8.06</v>
      </c>
      <c r="K47" s="1473">
        <v>9.94</v>
      </c>
      <c r="L47" s="1474">
        <v>5.8</v>
      </c>
      <c r="N47" s="1510">
        <f t="shared" si="55"/>
        <v>6.940217571740015E-2</v>
      </c>
      <c r="O47" s="1511">
        <f t="shared" si="55"/>
        <v>7.1197482471153428E-2</v>
      </c>
      <c r="P47" s="1511">
        <f t="shared" si="56"/>
        <v>0.10529679922579582</v>
      </c>
      <c r="Q47" s="1511">
        <f t="shared" si="56"/>
        <v>5.3292245059512133E-2</v>
      </c>
      <c r="R47" s="1460"/>
      <c r="S47" s="1458"/>
      <c r="T47" s="1459"/>
      <c r="U47" s="1459"/>
      <c r="V47" s="1459"/>
      <c r="X47" s="1512"/>
      <c r="Y47" s="1512"/>
      <c r="Z47" s="1512"/>
    </row>
    <row r="48" spans="1:26">
      <c r="A48" s="1447" t="s">
        <v>1189</v>
      </c>
      <c r="B48" s="1463">
        <f t="shared" si="57"/>
        <v>168.82017748715555</v>
      </c>
      <c r="C48" s="1463">
        <f t="shared" si="57"/>
        <v>148.06267029972753</v>
      </c>
      <c r="D48" s="1463">
        <f t="shared" si="35"/>
        <v>148.06267029972753</v>
      </c>
      <c r="E48" s="1463">
        <f t="shared" si="58"/>
        <v>216.46288379323747</v>
      </c>
      <c r="F48" s="1463">
        <f t="shared" si="58"/>
        <v>134.23529411764704</v>
      </c>
      <c r="G48" s="3368">
        <v>2007</v>
      </c>
      <c r="H48" s="1451">
        <v>2</v>
      </c>
      <c r="I48" s="1451">
        <v>3.67</v>
      </c>
      <c r="J48" s="1451">
        <v>2.3199999999999998</v>
      </c>
      <c r="K48" s="1451">
        <v>5.0199999999999996</v>
      </c>
      <c r="L48" s="1465">
        <v>6.71</v>
      </c>
      <c r="N48" s="1510">
        <f t="shared" si="55"/>
        <v>3.0339138143848032E-2</v>
      </c>
      <c r="O48" s="1511">
        <f t="shared" si="55"/>
        <v>2.0922341588790472E-2</v>
      </c>
      <c r="P48" s="1511">
        <f t="shared" si="56"/>
        <v>5.6164796592717003E-2</v>
      </c>
      <c r="Q48" s="1511">
        <f t="shared" si="56"/>
        <v>6.5704536723887319E-2</v>
      </c>
      <c r="R48" s="1460"/>
      <c r="S48" s="1458"/>
      <c r="T48" s="1459"/>
      <c r="U48" s="1459"/>
      <c r="V48" s="1459"/>
      <c r="X48" s="1512"/>
      <c r="Y48" s="1512"/>
      <c r="Z48" s="1512"/>
    </row>
    <row r="49" spans="1:26">
      <c r="A49" s="1447" t="s">
        <v>1190</v>
      </c>
      <c r="B49" s="1463">
        <f t="shared" si="57"/>
        <v>163.84913591779542</v>
      </c>
      <c r="C49" s="1463">
        <f t="shared" si="57"/>
        <v>145.0283378746594</v>
      </c>
      <c r="D49" s="1463">
        <f t="shared" si="35"/>
        <v>145.0283378746594</v>
      </c>
      <c r="E49" s="1463">
        <f t="shared" si="58"/>
        <v>204.95180722891567</v>
      </c>
      <c r="F49" s="1463">
        <f t="shared" si="58"/>
        <v>125.95920303605313</v>
      </c>
      <c r="G49" s="3369">
        <v>2007</v>
      </c>
      <c r="H49" s="1450">
        <v>1</v>
      </c>
      <c r="I49" s="1450">
        <v>3.58</v>
      </c>
      <c r="J49" s="1450">
        <v>3.08</v>
      </c>
      <c r="K49" s="1450">
        <v>4.34</v>
      </c>
      <c r="L49" s="1464">
        <v>3.21</v>
      </c>
      <c r="N49" s="1513">
        <f t="shared" si="55"/>
        <v>3.0497710174814063E-2</v>
      </c>
      <c r="O49" s="1514">
        <f t="shared" si="55"/>
        <v>2.8569772160704998E-2</v>
      </c>
      <c r="P49" s="1514">
        <f t="shared" si="56"/>
        <v>5.1034908866234296E-2</v>
      </c>
      <c r="Q49" s="1514">
        <f t="shared" si="56"/>
        <v>3.245248390207478E-2</v>
      </c>
      <c r="R49" s="1460"/>
      <c r="S49" s="1466">
        <f>B49/B50-1</f>
        <v>3.0497710174814063E-2</v>
      </c>
      <c r="T49" s="1467">
        <f>C49/C50-1</f>
        <v>2.8569772160704998E-2</v>
      </c>
      <c r="U49" s="1467">
        <f>E49/E50-1</f>
        <v>5.1034908866234296E-2</v>
      </c>
      <c r="V49" s="1467">
        <f>F49/F50-1</f>
        <v>3.245248390207478E-2</v>
      </c>
      <c r="X49" s="1512"/>
      <c r="Y49" s="1512"/>
      <c r="Z49" s="1512"/>
    </row>
    <row r="50" spans="1:26" ht="13.5" thickBot="1">
      <c r="A50" s="1447" t="s">
        <v>1191</v>
      </c>
      <c r="B50" s="1476">
        <v>159</v>
      </c>
      <c r="C50" s="1476">
        <v>141</v>
      </c>
      <c r="D50" s="1476">
        <f t="shared" si="35"/>
        <v>141</v>
      </c>
      <c r="E50" s="1476">
        <v>195</v>
      </c>
      <c r="F50" s="1477">
        <v>122</v>
      </c>
      <c r="G50" s="3367">
        <v>2006</v>
      </c>
      <c r="H50" s="1468">
        <v>4</v>
      </c>
      <c r="I50" s="1468">
        <v>3.79</v>
      </c>
      <c r="J50" s="1468">
        <v>2.21</v>
      </c>
      <c r="K50" s="1468">
        <v>5.65</v>
      </c>
      <c r="L50" s="1469">
        <v>5.41</v>
      </c>
      <c r="N50" s="1510">
        <f t="shared" ref="N50:O53" si="59">I50/SUM(I$50:I$53)*(B$50/B$54-1)</f>
        <v>7.245466462748526E-2</v>
      </c>
      <c r="O50" s="1511">
        <f t="shared" si="59"/>
        <v>2.3237230038062766E-2</v>
      </c>
      <c r="P50" s="1511">
        <f t="shared" ref="P50:Q53" si="60">K50/SUM(K$50:K$53)*(E$50/E$54-1)</f>
        <v>0.16146893866323722</v>
      </c>
      <c r="Q50" s="1511">
        <f t="shared" si="60"/>
        <v>5.0755230321793784E-2</v>
      </c>
      <c r="R50" s="1460"/>
      <c r="S50" s="1461"/>
      <c r="T50" s="1462"/>
      <c r="U50" s="1462"/>
      <c r="V50" s="1462"/>
      <c r="X50" s="1512"/>
      <c r="Y50" s="1512"/>
      <c r="Z50" s="1512"/>
    </row>
    <row r="51" spans="1:26">
      <c r="A51" s="1447" t="s">
        <v>1192</v>
      </c>
      <c r="B51" s="1463">
        <f t="shared" ref="B51:C53" si="61">B52+(B$50-B$54)*I51/SUM(I$50:I$53)</f>
        <v>149.00125628140702</v>
      </c>
      <c r="C51" s="1463">
        <f t="shared" si="61"/>
        <v>137.95592286501378</v>
      </c>
      <c r="D51" s="1463">
        <f t="shared" si="35"/>
        <v>137.95592286501378</v>
      </c>
      <c r="E51" s="1463">
        <f t="shared" ref="E51:F53" si="62">E52+(E$50-E$54)*K51/SUM(K$50:K$53)</f>
        <v>169.97231450719823</v>
      </c>
      <c r="F51" s="1463">
        <f t="shared" si="62"/>
        <v>116.21390374331551</v>
      </c>
      <c r="G51" s="3368">
        <v>2006</v>
      </c>
      <c r="H51" s="1473">
        <v>3</v>
      </c>
      <c r="I51" s="1473">
        <v>0.92</v>
      </c>
      <c r="J51" s="1473">
        <v>1.08</v>
      </c>
      <c r="K51" s="1473">
        <v>0.73</v>
      </c>
      <c r="L51" s="1474">
        <v>1.08</v>
      </c>
      <c r="N51" s="1510">
        <f t="shared" si="59"/>
        <v>1.7587939698492462E-2</v>
      </c>
      <c r="O51" s="1511">
        <f t="shared" si="59"/>
        <v>1.1355750425840628E-2</v>
      </c>
      <c r="P51" s="1511">
        <f t="shared" si="60"/>
        <v>2.0862358446754544E-2</v>
      </c>
      <c r="Q51" s="1511">
        <f t="shared" si="60"/>
        <v>1.0132282578103011E-2</v>
      </c>
      <c r="R51" s="1460"/>
      <c r="S51" s="1458"/>
      <c r="T51" s="1459"/>
      <c r="U51" s="1459"/>
      <c r="V51" s="1459"/>
      <c r="X51" s="1512"/>
      <c r="Y51" s="1512"/>
      <c r="Z51" s="1512"/>
    </row>
    <row r="52" spans="1:26">
      <c r="A52" s="1447" t="s">
        <v>1193</v>
      </c>
      <c r="B52" s="1463">
        <f t="shared" si="61"/>
        <v>146.57412060301507</v>
      </c>
      <c r="C52" s="1463">
        <f t="shared" si="61"/>
        <v>136.46831955922866</v>
      </c>
      <c r="D52" s="1463">
        <f t="shared" si="35"/>
        <v>136.46831955922866</v>
      </c>
      <c r="E52" s="1463">
        <f t="shared" si="62"/>
        <v>166.73864894795128</v>
      </c>
      <c r="F52" s="1463">
        <f t="shared" si="62"/>
        <v>115.05882352941177</v>
      </c>
      <c r="G52" s="3368">
        <v>2006</v>
      </c>
      <c r="H52" s="1451">
        <v>2</v>
      </c>
      <c r="I52" s="1451">
        <v>0.96</v>
      </c>
      <c r="J52" s="1451">
        <v>0.25</v>
      </c>
      <c r="K52" s="1451">
        <v>1.9</v>
      </c>
      <c r="L52" s="1465">
        <v>0.95</v>
      </c>
      <c r="N52" s="1510">
        <f t="shared" si="59"/>
        <v>1.8352632728861701E-2</v>
      </c>
      <c r="O52" s="1511">
        <f t="shared" si="59"/>
        <v>2.6286459319075526E-3</v>
      </c>
      <c r="P52" s="1511">
        <f t="shared" si="60"/>
        <v>5.4299289107991269E-2</v>
      </c>
      <c r="Q52" s="1511">
        <f t="shared" si="60"/>
        <v>8.9126559714794995E-3</v>
      </c>
      <c r="R52" s="1460"/>
      <c r="S52" s="1458"/>
      <c r="T52" s="1459"/>
      <c r="U52" s="1459"/>
      <c r="V52" s="1459"/>
      <c r="X52" s="1512"/>
      <c r="Y52" s="1512"/>
      <c r="Z52" s="1512"/>
    </row>
    <row r="53" spans="1:26">
      <c r="A53" s="1447" t="s">
        <v>1194</v>
      </c>
      <c r="B53" s="1463">
        <f t="shared" si="61"/>
        <v>144.04145728643215</v>
      </c>
      <c r="C53" s="1463">
        <f t="shared" si="61"/>
        <v>136.12396694214877</v>
      </c>
      <c r="D53" s="1463">
        <f t="shared" si="35"/>
        <v>136.12396694214877</v>
      </c>
      <c r="E53" s="1463">
        <f t="shared" si="62"/>
        <v>158.32225913621264</v>
      </c>
      <c r="F53" s="1463">
        <f t="shared" si="62"/>
        <v>114.04278074866311</v>
      </c>
      <c r="G53" s="3369">
        <v>2006</v>
      </c>
      <c r="H53" s="1450">
        <v>1</v>
      </c>
      <c r="I53" s="1450">
        <v>2.29</v>
      </c>
      <c r="J53" s="1450">
        <v>3.72</v>
      </c>
      <c r="K53" s="1450">
        <v>0.75</v>
      </c>
      <c r="L53" s="1464">
        <v>0.04</v>
      </c>
      <c r="N53" s="1513">
        <f t="shared" si="59"/>
        <v>4.3778675988638847E-2</v>
      </c>
      <c r="O53" s="1514">
        <f t="shared" si="59"/>
        <v>3.9114251466784385E-2</v>
      </c>
      <c r="P53" s="1514">
        <f t="shared" si="60"/>
        <v>2.1433929911049188E-2</v>
      </c>
      <c r="Q53" s="1514">
        <f t="shared" si="60"/>
        <v>3.7526972511492629E-4</v>
      </c>
      <c r="R53" s="1460"/>
      <c r="S53" s="1466">
        <f>B53/B54-1</f>
        <v>4.3778675988638716E-2</v>
      </c>
      <c r="T53" s="1467">
        <f>C53/C54-1</f>
        <v>3.91142514667846E-2</v>
      </c>
      <c r="U53" s="1467">
        <f>E53/E54-1</f>
        <v>2.143392991104931E-2</v>
      </c>
      <c r="V53" s="1467">
        <f>F53/F54-1</f>
        <v>3.7526972511492396E-4</v>
      </c>
      <c r="X53" s="1512"/>
      <c r="Y53" s="1512"/>
      <c r="Z53" s="1512"/>
    </row>
    <row r="54" spans="1:26" ht="13.5" thickBot="1">
      <c r="A54" s="1447" t="s">
        <v>1195</v>
      </c>
      <c r="B54" s="1476">
        <v>138</v>
      </c>
      <c r="C54" s="1476">
        <v>131</v>
      </c>
      <c r="D54" s="1476">
        <f t="shared" si="35"/>
        <v>131</v>
      </c>
      <c r="E54" s="1476">
        <v>155</v>
      </c>
      <c r="F54" s="1477">
        <v>114</v>
      </c>
      <c r="G54" s="3367">
        <v>2005</v>
      </c>
      <c r="H54" s="1468">
        <v>4</v>
      </c>
      <c r="I54" s="1468">
        <v>3.29</v>
      </c>
      <c r="J54" s="1468">
        <v>1.44</v>
      </c>
      <c r="K54" s="1468">
        <v>0.66</v>
      </c>
      <c r="L54" s="1469">
        <v>7.78</v>
      </c>
      <c r="N54" s="1510">
        <f t="shared" ref="N54:O57" si="63">I54/SUM(I$54:I$57)*(B$54/B$58-1)</f>
        <v>9.9404603216919935E-2</v>
      </c>
      <c r="O54" s="1511">
        <f t="shared" si="63"/>
        <v>4.7636550760861554E-2</v>
      </c>
      <c r="P54" s="1511">
        <f t="shared" ref="P54:Q57" si="64">K54/SUM(K$54:K$57)*(E$54/E$58-1)</f>
        <v>8.3756345177664976E-2</v>
      </c>
      <c r="Q54" s="1511">
        <f t="shared" si="64"/>
        <v>5.2148766661559584E-2</v>
      </c>
      <c r="R54" s="1460"/>
      <c r="S54" s="1461"/>
      <c r="T54" s="1462"/>
      <c r="U54" s="1462"/>
      <c r="V54" s="1462"/>
      <c r="X54" s="1512"/>
      <c r="Y54" s="1512"/>
      <c r="Z54" s="1512"/>
    </row>
    <row r="55" spans="1:26">
      <c r="A55" s="1447" t="s">
        <v>1196</v>
      </c>
      <c r="B55" s="1463">
        <f t="shared" ref="B55:C57" si="65">B56+(B$54-B$58)*I55/SUM(I$54:I$57)</f>
        <v>125.9720430107527</v>
      </c>
      <c r="C55" s="1463">
        <f t="shared" si="65"/>
        <v>125.1883408071749</v>
      </c>
      <c r="D55" s="1463">
        <f t="shared" si="35"/>
        <v>125.1883408071749</v>
      </c>
      <c r="E55" s="1463">
        <f t="shared" ref="E55:F57" si="66">E56+(E$54-E$58)*K55/SUM(K$54:K$57)</f>
        <v>144.61421319796952</v>
      </c>
      <c r="F55" s="1463">
        <f t="shared" si="66"/>
        <v>108.42008196721311</v>
      </c>
      <c r="G55" s="3368">
        <v>2005</v>
      </c>
      <c r="H55" s="1473">
        <v>3</v>
      </c>
      <c r="I55" s="1473">
        <v>0.46</v>
      </c>
      <c r="J55" s="1473">
        <v>0.32</v>
      </c>
      <c r="K55" s="1473">
        <v>0.42</v>
      </c>
      <c r="L55" s="1474">
        <v>0.64</v>
      </c>
      <c r="N55" s="1510">
        <f t="shared" si="63"/>
        <v>1.3898515951301874E-2</v>
      </c>
      <c r="O55" s="1511">
        <f t="shared" si="63"/>
        <v>1.0585900169080346E-2</v>
      </c>
      <c r="P55" s="1511">
        <f t="shared" si="64"/>
        <v>5.3299492385786795E-2</v>
      </c>
      <c r="Q55" s="1511">
        <f t="shared" si="64"/>
        <v>4.2898728359123568E-3</v>
      </c>
      <c r="R55" s="1460"/>
      <c r="S55" s="1458"/>
      <c r="T55" s="1459"/>
      <c r="U55" s="1459"/>
      <c r="V55" s="1459"/>
      <c r="X55" s="1512"/>
      <c r="Y55" s="1512"/>
      <c r="Z55" s="1512"/>
    </row>
    <row r="56" spans="1:26">
      <c r="A56" s="1447" t="s">
        <v>1197</v>
      </c>
      <c r="B56" s="1463">
        <f t="shared" si="65"/>
        <v>124.29032258064517</v>
      </c>
      <c r="C56" s="1463">
        <f t="shared" si="65"/>
        <v>123.8968609865471</v>
      </c>
      <c r="D56" s="1463">
        <f t="shared" si="35"/>
        <v>123.8968609865471</v>
      </c>
      <c r="E56" s="1463">
        <f t="shared" si="66"/>
        <v>138.00507614213197</v>
      </c>
      <c r="F56" s="1463">
        <f t="shared" si="66"/>
        <v>107.96106557377048</v>
      </c>
      <c r="G56" s="3368">
        <v>2005</v>
      </c>
      <c r="H56" s="1451">
        <v>2</v>
      </c>
      <c r="I56" s="1451">
        <v>0.47</v>
      </c>
      <c r="J56" s="1451">
        <v>0.1</v>
      </c>
      <c r="K56" s="1451">
        <v>0.52</v>
      </c>
      <c r="L56" s="1465">
        <v>0.79</v>
      </c>
      <c r="N56" s="1510">
        <f t="shared" si="63"/>
        <v>1.420065760241713E-2</v>
      </c>
      <c r="O56" s="1511">
        <f t="shared" si="63"/>
        <v>3.3080938028376083E-3</v>
      </c>
      <c r="P56" s="1511">
        <f t="shared" si="64"/>
        <v>6.598984771573603E-2</v>
      </c>
      <c r="Q56" s="1511">
        <f t="shared" si="64"/>
        <v>5.2953117818293153E-3</v>
      </c>
      <c r="R56" s="1460"/>
      <c r="S56" s="1458"/>
      <c r="T56" s="1459"/>
      <c r="U56" s="1459"/>
      <c r="V56" s="1459"/>
      <c r="X56" s="1512"/>
      <c r="Y56" s="1512"/>
      <c r="Z56" s="1512"/>
    </row>
    <row r="57" spans="1:26">
      <c r="A57" s="1447" t="s">
        <v>1198</v>
      </c>
      <c r="B57" s="1463">
        <f t="shared" si="65"/>
        <v>122.57204301075269</v>
      </c>
      <c r="C57" s="1463">
        <f t="shared" si="65"/>
        <v>123.4932735426009</v>
      </c>
      <c r="D57" s="1463">
        <f t="shared" si="35"/>
        <v>123.4932735426009</v>
      </c>
      <c r="E57" s="1463">
        <f t="shared" si="66"/>
        <v>129.82233502538071</v>
      </c>
      <c r="F57" s="1463">
        <f t="shared" si="66"/>
        <v>107.39446721311475</v>
      </c>
      <c r="G57" s="3369">
        <v>2005</v>
      </c>
      <c r="H57" s="1450">
        <v>1</v>
      </c>
      <c r="I57" s="1450">
        <v>0.43</v>
      </c>
      <c r="J57" s="1450">
        <v>0.37</v>
      </c>
      <c r="K57" s="1450">
        <v>0.37</v>
      </c>
      <c r="L57" s="1464">
        <v>0.55000000000000004</v>
      </c>
      <c r="N57" s="1513">
        <f t="shared" si="63"/>
        <v>1.2992090997956099E-2</v>
      </c>
      <c r="O57" s="1514">
        <f t="shared" si="63"/>
        <v>1.2239947070499151E-2</v>
      </c>
      <c r="P57" s="1514">
        <f t="shared" si="64"/>
        <v>4.6954314720812178E-2</v>
      </c>
      <c r="Q57" s="1514">
        <f t="shared" si="64"/>
        <v>3.6866094683621815E-3</v>
      </c>
      <c r="R57" s="1460"/>
      <c r="S57" s="1466">
        <f>B57/B58-1</f>
        <v>1.2992090997956174E-2</v>
      </c>
      <c r="T57" s="1467">
        <f>C57/C58-1</f>
        <v>1.2239947070499246E-2</v>
      </c>
      <c r="U57" s="1467">
        <f>E57/E58-1</f>
        <v>4.695431472081224E-2</v>
      </c>
      <c r="V57" s="1467">
        <f>F57/F58-1</f>
        <v>3.6866094683620787E-3</v>
      </c>
      <c r="X57" s="1512"/>
      <c r="Y57" s="1512"/>
      <c r="Z57" s="1512"/>
    </row>
    <row r="58" spans="1:26" ht="13.5" thickBot="1">
      <c r="A58" s="1447" t="s">
        <v>1199</v>
      </c>
      <c r="B58" s="1497">
        <v>121</v>
      </c>
      <c r="C58" s="1497">
        <v>122</v>
      </c>
      <c r="D58" s="1497">
        <f t="shared" si="35"/>
        <v>122</v>
      </c>
      <c r="E58" s="1497">
        <v>124</v>
      </c>
      <c r="F58" s="1498">
        <v>107</v>
      </c>
      <c r="G58" s="3367">
        <v>2004</v>
      </c>
      <c r="H58" s="1468">
        <v>4</v>
      </c>
      <c r="I58" s="1468">
        <v>0.33</v>
      </c>
      <c r="J58" s="1468">
        <v>0.5</v>
      </c>
      <c r="K58" s="1468">
        <v>0.5</v>
      </c>
      <c r="L58" s="1469">
        <v>0</v>
      </c>
      <c r="N58" s="1510">
        <f t="shared" ref="N58:O61" si="67">I58/SUM(I$58:I$61)*(B$58/B$62-1)</f>
        <v>1.3391770148526898E-2</v>
      </c>
      <c r="O58" s="1511">
        <f t="shared" si="67"/>
        <v>1.063264221158958E-2</v>
      </c>
      <c r="P58" s="1511">
        <f t="shared" ref="P58:Q61" si="68">K58/SUM(K$58:K$61)*(E$58/E$62-1)</f>
        <v>2.2244466688911134E-2</v>
      </c>
      <c r="Q58" s="1511">
        <f t="shared" si="68"/>
        <v>0</v>
      </c>
      <c r="R58" s="1460"/>
      <c r="S58" s="1461"/>
      <c r="T58" s="1462"/>
      <c r="U58" s="1462"/>
      <c r="V58" s="1462"/>
      <c r="X58" s="1512"/>
      <c r="Y58" s="1512"/>
      <c r="Z58" s="1512"/>
    </row>
    <row r="59" spans="1:26">
      <c r="A59" s="1447" t="s">
        <v>1200</v>
      </c>
      <c r="B59" s="1463">
        <f t="shared" ref="B59:C61" si="69">B60+(B$58-B$62)*I59/SUM(I$58:I$61)</f>
        <v>119.51351351351352</v>
      </c>
      <c r="C59" s="1463">
        <f t="shared" si="69"/>
        <v>120.7878787878788</v>
      </c>
      <c r="D59" s="1463">
        <f t="shared" si="35"/>
        <v>120.7878787878788</v>
      </c>
      <c r="E59" s="1463">
        <f t="shared" ref="E59:F61" si="70">E60+(E$58-E$62)*K59/SUM(K$58:K$61)</f>
        <v>121.5975975975976</v>
      </c>
      <c r="F59" s="1463">
        <f t="shared" si="70"/>
        <v>107</v>
      </c>
      <c r="G59" s="3368">
        <v>2004</v>
      </c>
      <c r="H59" s="1473">
        <v>3</v>
      </c>
      <c r="I59" s="1473">
        <v>0.56000000000000005</v>
      </c>
      <c r="J59" s="1473">
        <v>0.8</v>
      </c>
      <c r="K59" s="1473">
        <v>0.83</v>
      </c>
      <c r="L59" s="1474">
        <v>0.06</v>
      </c>
      <c r="N59" s="1510">
        <f t="shared" si="67"/>
        <v>2.2725428130833527E-2</v>
      </c>
      <c r="O59" s="1511">
        <f t="shared" si="67"/>
        <v>1.7012227538543329E-2</v>
      </c>
      <c r="P59" s="1511">
        <f t="shared" si="68"/>
        <v>3.6925814703592477E-2</v>
      </c>
      <c r="Q59" s="1511">
        <f t="shared" si="68"/>
        <v>2.8846153846153744E-2</v>
      </c>
      <c r="R59" s="1460"/>
      <c r="S59" s="1458"/>
      <c r="T59" s="1459"/>
      <c r="U59" s="1459"/>
      <c r="V59" s="1459"/>
      <c r="X59" s="1512"/>
      <c r="Y59" s="1512"/>
      <c r="Z59" s="1512"/>
    </row>
    <row r="60" spans="1:26">
      <c r="A60" s="1447" t="s">
        <v>1201</v>
      </c>
      <c r="B60" s="1463">
        <f t="shared" si="69"/>
        <v>116.99099099099099</v>
      </c>
      <c r="C60" s="1463">
        <f t="shared" si="69"/>
        <v>118.84848484848486</v>
      </c>
      <c r="D60" s="1463">
        <f t="shared" si="35"/>
        <v>118.84848484848486</v>
      </c>
      <c r="E60" s="1463">
        <f t="shared" si="70"/>
        <v>117.60960960960961</v>
      </c>
      <c r="F60" s="1463">
        <f t="shared" si="70"/>
        <v>104</v>
      </c>
      <c r="G60" s="3368">
        <v>2004</v>
      </c>
      <c r="H60" s="1451">
        <v>2</v>
      </c>
      <c r="I60" s="1451">
        <v>1</v>
      </c>
      <c r="J60" s="1451">
        <v>1.5</v>
      </c>
      <c r="K60" s="1451">
        <v>1.5</v>
      </c>
      <c r="L60" s="1465">
        <v>0</v>
      </c>
      <c r="N60" s="1510">
        <f t="shared" si="67"/>
        <v>4.0581121662202721E-2</v>
      </c>
      <c r="O60" s="1511">
        <f t="shared" si="67"/>
        <v>3.1897926634768738E-2</v>
      </c>
      <c r="P60" s="1511">
        <f t="shared" si="68"/>
        <v>6.6733400066733395E-2</v>
      </c>
      <c r="Q60" s="1511">
        <f t="shared" si="68"/>
        <v>0</v>
      </c>
      <c r="R60" s="1460"/>
      <c r="S60" s="1458"/>
      <c r="T60" s="1459"/>
      <c r="U60" s="1459"/>
      <c r="V60" s="1459"/>
      <c r="X60" s="1512"/>
      <c r="Y60" s="1512"/>
      <c r="Z60" s="1512"/>
    </row>
    <row r="61" spans="1:26" s="1503" customFormat="1" ht="13.5" thickBot="1">
      <c r="A61" s="1447" t="s">
        <v>1202</v>
      </c>
      <c r="B61" s="1500">
        <f t="shared" si="69"/>
        <v>112.48648648648648</v>
      </c>
      <c r="C61" s="1500">
        <f t="shared" si="69"/>
        <v>115.21212121212122</v>
      </c>
      <c r="D61" s="1500">
        <f t="shared" si="35"/>
        <v>115.21212121212122</v>
      </c>
      <c r="E61" s="1500">
        <f t="shared" si="70"/>
        <v>110.4024024024024</v>
      </c>
      <c r="F61" s="1500">
        <f t="shared" si="70"/>
        <v>104</v>
      </c>
      <c r="G61" s="3369">
        <v>2004</v>
      </c>
      <c r="H61" s="1501">
        <v>1</v>
      </c>
      <c r="I61" s="1501">
        <v>0.33</v>
      </c>
      <c r="J61" s="1501">
        <v>0.5</v>
      </c>
      <c r="K61" s="1501">
        <v>0.5</v>
      </c>
      <c r="L61" s="1502">
        <v>0</v>
      </c>
      <c r="N61" s="1515">
        <f t="shared" si="67"/>
        <v>1.3391770148526898E-2</v>
      </c>
      <c r="O61" s="1516">
        <f t="shared" si="67"/>
        <v>1.063264221158958E-2</v>
      </c>
      <c r="P61" s="1516">
        <f t="shared" si="68"/>
        <v>2.2244466688911134E-2</v>
      </c>
      <c r="Q61" s="1516">
        <f t="shared" si="68"/>
        <v>0</v>
      </c>
      <c r="R61" s="1506"/>
      <c r="S61" s="1504">
        <f>B61/B62-1</f>
        <v>1.3391770148526883E-2</v>
      </c>
      <c r="T61" s="1505">
        <f>C61/C62-1</f>
        <v>1.063264221158966E-2</v>
      </c>
      <c r="U61" s="1505">
        <f>E61/E62-1</f>
        <v>2.2244466688911224E-2</v>
      </c>
      <c r="V61" s="1505">
        <f>F61/F62-1</f>
        <v>0</v>
      </c>
      <c r="X61" s="1517"/>
      <c r="Y61" s="1517"/>
      <c r="Z61" s="1517"/>
    </row>
    <row r="62" spans="1:26" ht="13.5" thickBot="1">
      <c r="A62" s="1447" t="s">
        <v>1203</v>
      </c>
      <c r="B62" s="1518">
        <v>111</v>
      </c>
      <c r="C62" s="1518">
        <v>114</v>
      </c>
      <c r="D62" s="1518">
        <f t="shared" si="35"/>
        <v>114</v>
      </c>
      <c r="E62" s="1518">
        <v>108</v>
      </c>
      <c r="F62" s="1519">
        <v>104</v>
      </c>
      <c r="G62" s="3367">
        <v>2003</v>
      </c>
      <c r="H62" s="1508">
        <v>4</v>
      </c>
      <c r="I62" s="1520"/>
      <c r="J62" s="1520"/>
      <c r="K62" s="1520"/>
      <c r="L62" s="1520"/>
      <c r="N62" s="1521"/>
      <c r="O62" s="1520"/>
      <c r="P62" s="1520"/>
      <c r="Q62" s="1520"/>
      <c r="S62" s="1521"/>
      <c r="T62" s="1520"/>
      <c r="U62" s="1520"/>
      <c r="V62" s="1520"/>
      <c r="X62" s="1512"/>
      <c r="Y62" s="1512"/>
      <c r="Z62" s="1512"/>
    </row>
    <row r="63" spans="1:26">
      <c r="A63" s="1447" t="s">
        <v>1204</v>
      </c>
      <c r="B63" s="1522">
        <f t="shared" ref="B63:C65" si="71">B64+(B$62-B$66)/4</f>
        <v>109.75</v>
      </c>
      <c r="C63" s="1522">
        <f t="shared" si="71"/>
        <v>112.25</v>
      </c>
      <c r="D63" s="1522">
        <f t="shared" si="35"/>
        <v>112.25</v>
      </c>
      <c r="E63" s="1522">
        <f t="shared" ref="E63:F65" si="72">E64+(E$62-E$66)/4</f>
        <v>107.25</v>
      </c>
      <c r="F63" s="1522">
        <f t="shared" si="72"/>
        <v>103.5</v>
      </c>
      <c r="G63" s="3368">
        <v>2003</v>
      </c>
      <c r="H63" s="1473">
        <v>3</v>
      </c>
      <c r="I63" s="1520"/>
      <c r="J63" s="1520"/>
      <c r="K63" s="1520"/>
      <c r="L63" s="1520"/>
      <c r="X63" s="1512"/>
      <c r="Y63" s="1512"/>
      <c r="Z63" s="1512"/>
    </row>
    <row r="64" spans="1:26">
      <c r="A64" s="1447" t="s">
        <v>1205</v>
      </c>
      <c r="B64" s="1522">
        <f t="shared" si="71"/>
        <v>108.5</v>
      </c>
      <c r="C64" s="1522">
        <f t="shared" si="71"/>
        <v>110.5</v>
      </c>
      <c r="D64" s="1522">
        <f t="shared" si="35"/>
        <v>110.5</v>
      </c>
      <c r="E64" s="1522">
        <f t="shared" si="72"/>
        <v>106.5</v>
      </c>
      <c r="F64" s="1522">
        <f t="shared" si="72"/>
        <v>103</v>
      </c>
      <c r="G64" s="3368">
        <v>2003</v>
      </c>
      <c r="H64" s="1451">
        <v>2</v>
      </c>
      <c r="I64" s="1520"/>
      <c r="J64" s="1520"/>
      <c r="K64" s="1520"/>
      <c r="L64" s="1520"/>
      <c r="X64" s="1512"/>
      <c r="Y64" s="1512"/>
      <c r="Z64" s="1512"/>
    </row>
    <row r="65" spans="1:26" ht="13.5" thickBot="1">
      <c r="A65" s="1447" t="s">
        <v>1206</v>
      </c>
      <c r="B65" s="1522">
        <f t="shared" si="71"/>
        <v>107.25</v>
      </c>
      <c r="C65" s="1522">
        <f t="shared" si="71"/>
        <v>108.75</v>
      </c>
      <c r="D65" s="1522">
        <f t="shared" si="35"/>
        <v>108.75</v>
      </c>
      <c r="E65" s="1522">
        <f t="shared" si="72"/>
        <v>105.75</v>
      </c>
      <c r="F65" s="1522">
        <f t="shared" si="72"/>
        <v>102.5</v>
      </c>
      <c r="G65" s="3369">
        <v>2003</v>
      </c>
      <c r="H65" s="1523">
        <v>1</v>
      </c>
      <c r="I65" s="1520"/>
      <c r="J65" s="1520"/>
      <c r="K65" s="1520"/>
      <c r="L65" s="1520"/>
      <c r="S65" s="1458"/>
      <c r="T65" s="1459"/>
      <c r="U65" s="1459"/>
      <c r="X65" s="1512"/>
      <c r="Y65" s="1512"/>
      <c r="Z65" s="1512"/>
    </row>
    <row r="66" spans="1:26" ht="13.5" thickBot="1">
      <c r="A66" s="1447" t="s">
        <v>1207</v>
      </c>
      <c r="B66" s="1524">
        <v>106</v>
      </c>
      <c r="C66" s="1524">
        <v>107</v>
      </c>
      <c r="D66" s="1524">
        <f t="shared" si="35"/>
        <v>107</v>
      </c>
      <c r="E66" s="1524">
        <v>105</v>
      </c>
      <c r="F66" s="1525">
        <v>102</v>
      </c>
      <c r="G66" s="3367">
        <v>2002</v>
      </c>
      <c r="H66" s="1468">
        <v>4</v>
      </c>
      <c r="I66" s="1520"/>
      <c r="J66" s="1520"/>
      <c r="K66" s="1520"/>
      <c r="L66" s="1520"/>
      <c r="N66" s="1521"/>
      <c r="O66" s="1520"/>
      <c r="P66" s="1520"/>
      <c r="Q66" s="1520"/>
      <c r="S66" s="1521"/>
      <c r="T66" s="1520"/>
      <c r="U66" s="1520"/>
      <c r="V66" s="1520"/>
      <c r="X66" s="1512"/>
      <c r="Y66" s="1512"/>
      <c r="Z66" s="1512"/>
    </row>
    <row r="67" spans="1:26">
      <c r="A67" s="1447" t="s">
        <v>1208</v>
      </c>
      <c r="B67" s="1522">
        <f t="shared" ref="B67:C69" si="73">B68+(B$66-B$70)/4</f>
        <v>105</v>
      </c>
      <c r="C67" s="1522">
        <f t="shared" si="73"/>
        <v>106</v>
      </c>
      <c r="D67" s="1522">
        <f t="shared" si="35"/>
        <v>106</v>
      </c>
      <c r="E67" s="1522">
        <f t="shared" ref="E67:F69" si="74">E68+(E$66-E$70)/4</f>
        <v>104.5</v>
      </c>
      <c r="F67" s="1522">
        <f t="shared" si="74"/>
        <v>101.5</v>
      </c>
      <c r="G67" s="3368">
        <v>2002</v>
      </c>
      <c r="H67" s="1473">
        <v>3</v>
      </c>
      <c r="I67" s="1520"/>
      <c r="J67" s="1520"/>
      <c r="K67" s="1520"/>
      <c r="L67" s="1520"/>
      <c r="X67" s="1512"/>
      <c r="Y67" s="1512"/>
      <c r="Z67" s="1512"/>
    </row>
    <row r="68" spans="1:26">
      <c r="A68" s="1447" t="s">
        <v>1209</v>
      </c>
      <c r="B68" s="1522">
        <f t="shared" si="73"/>
        <v>104</v>
      </c>
      <c r="C68" s="1522">
        <f t="shared" si="73"/>
        <v>105</v>
      </c>
      <c r="D68" s="1522">
        <f t="shared" si="35"/>
        <v>105</v>
      </c>
      <c r="E68" s="1522">
        <f t="shared" si="74"/>
        <v>104</v>
      </c>
      <c r="F68" s="1522">
        <f t="shared" si="74"/>
        <v>101</v>
      </c>
      <c r="G68" s="3368">
        <v>2002</v>
      </c>
      <c r="H68" s="1451">
        <v>2</v>
      </c>
      <c r="I68" s="1520"/>
      <c r="J68" s="1520"/>
      <c r="K68" s="1520"/>
      <c r="L68" s="1520"/>
      <c r="X68" s="1512"/>
      <c r="Y68" s="1512"/>
      <c r="Z68" s="1512"/>
    </row>
    <row r="69" spans="1:26" s="1484" customFormat="1" ht="13.5" thickBot="1">
      <c r="A69" s="1480" t="s">
        <v>1210</v>
      </c>
      <c r="B69" s="1526">
        <f t="shared" si="73"/>
        <v>103</v>
      </c>
      <c r="C69" s="1526">
        <f t="shared" si="73"/>
        <v>104</v>
      </c>
      <c r="D69" s="1526">
        <f t="shared" si="35"/>
        <v>104</v>
      </c>
      <c r="E69" s="1526">
        <f t="shared" si="74"/>
        <v>103.5</v>
      </c>
      <c r="F69" s="1526">
        <f t="shared" si="74"/>
        <v>100.5</v>
      </c>
      <c r="G69" s="3369">
        <v>2002</v>
      </c>
      <c r="H69" s="1527">
        <v>1</v>
      </c>
      <c r="I69" s="1528"/>
      <c r="J69" s="1528"/>
      <c r="K69" s="1528"/>
      <c r="L69" s="1528"/>
      <c r="N69" s="1529"/>
      <c r="S69" s="1529"/>
      <c r="X69" s="1530"/>
      <c r="Y69" s="1530"/>
      <c r="Z69" s="1530"/>
    </row>
    <row r="70" spans="1:26" ht="13.5" thickBot="1">
      <c r="B70" s="1531">
        <v>102</v>
      </c>
      <c r="C70" s="1532">
        <v>103</v>
      </c>
      <c r="D70" s="1532">
        <f t="shared" si="35"/>
        <v>103</v>
      </c>
      <c r="E70" s="1532">
        <v>103</v>
      </c>
      <c r="F70" s="1533">
        <v>100</v>
      </c>
      <c r="I70" s="1520"/>
      <c r="J70" s="1520"/>
      <c r="K70" s="1520"/>
      <c r="L70" s="1520"/>
      <c r="N70" s="1521"/>
      <c r="O70" s="1520"/>
      <c r="P70" s="1520"/>
      <c r="Q70" s="1520"/>
      <c r="S70" s="1521"/>
      <c r="T70" s="1520"/>
      <c r="U70" s="1520"/>
      <c r="V70" s="1520"/>
      <c r="X70" s="1462"/>
      <c r="Y70" s="1462"/>
      <c r="Z70" s="1462"/>
    </row>
    <row r="72" spans="1:26" s="1535" customFormat="1">
      <c r="A72" s="1534" t="s">
        <v>1211</v>
      </c>
      <c r="G72" s="1536"/>
      <c r="N72" s="1536"/>
      <c r="S72" s="1536"/>
    </row>
    <row r="73" spans="1:26" s="1535" customFormat="1">
      <c r="A73" s="1535" t="s">
        <v>1212</v>
      </c>
      <c r="G73" s="1536"/>
      <c r="N73" s="1536"/>
      <c r="S73" s="1536"/>
    </row>
    <row r="74" spans="1:26" s="1535" customFormat="1">
      <c r="A74" s="1535" t="s">
        <v>1213</v>
      </c>
      <c r="G74" s="1536"/>
      <c r="I74" s="1537"/>
      <c r="J74" s="1537"/>
      <c r="K74" s="1537"/>
      <c r="L74" s="1537"/>
      <c r="N74" s="1538"/>
      <c r="O74" s="1537"/>
      <c r="P74" s="1537"/>
      <c r="Q74" s="1537"/>
      <c r="S74" s="1538"/>
      <c r="T74" s="1537"/>
      <c r="U74" s="1537"/>
      <c r="V74" s="1537"/>
    </row>
    <row r="75" spans="1:26" s="1535" customFormat="1">
      <c r="A75" s="1535" t="s">
        <v>1214</v>
      </c>
      <c r="G75" s="1536"/>
      <c r="N75" s="1536"/>
      <c r="S75" s="1536"/>
    </row>
    <row r="82" spans="7:22" ht="13.5" thickBot="1"/>
    <row r="83" spans="7:22">
      <c r="G83" s="1457"/>
      <c r="S83" s="1539" t="s">
        <v>1215</v>
      </c>
      <c r="T83" s="1540" t="s">
        <v>1216</v>
      </c>
      <c r="U83" s="1540" t="s">
        <v>1217</v>
      </c>
      <c r="V83" s="1540" t="s">
        <v>1218</v>
      </c>
    </row>
    <row r="84" spans="7:22">
      <c r="G84" s="1457"/>
      <c r="N84" s="1461"/>
      <c r="O84" s="1462"/>
      <c r="P84" s="1462"/>
      <c r="Q84" s="1462"/>
      <c r="S84" s="1541">
        <v>2006</v>
      </c>
      <c r="T84" s="1542">
        <v>15.1</v>
      </c>
      <c r="U84" s="1542">
        <v>7.43</v>
      </c>
      <c r="V84" s="1542">
        <v>26.26</v>
      </c>
    </row>
    <row r="85" spans="7:22">
      <c r="G85" s="1457"/>
      <c r="N85" s="1461"/>
      <c r="O85" s="1462"/>
      <c r="P85" s="1462"/>
      <c r="Q85" s="1462"/>
      <c r="S85" s="1543">
        <v>2005</v>
      </c>
      <c r="T85" s="1544">
        <v>13.9</v>
      </c>
      <c r="U85" s="1544">
        <v>7.49</v>
      </c>
      <c r="V85" s="1544">
        <v>24.92</v>
      </c>
    </row>
    <row r="86" spans="7:22">
      <c r="G86" s="1457"/>
      <c r="N86" s="1461"/>
      <c r="O86" s="1462"/>
      <c r="P86" s="1462"/>
      <c r="Q86" s="1462"/>
      <c r="S86" s="1541">
        <v>2004</v>
      </c>
      <c r="T86" s="1542">
        <v>9.48</v>
      </c>
      <c r="U86" s="1542">
        <v>7.2</v>
      </c>
      <c r="V86" s="1542">
        <v>14.68</v>
      </c>
    </row>
    <row r="87" spans="7:22">
      <c r="G87" s="1457"/>
      <c r="N87" s="1461"/>
      <c r="O87" s="1462"/>
      <c r="P87" s="1462"/>
      <c r="Q87" s="1462"/>
      <c r="S87" s="1543">
        <v>2003</v>
      </c>
      <c r="T87" s="1544">
        <v>4.5</v>
      </c>
      <c r="U87" s="1544">
        <v>6.12</v>
      </c>
      <c r="V87" s="1544">
        <v>2.34</v>
      </c>
    </row>
    <row r="88" spans="7:22" ht="13.5" thickBot="1">
      <c r="G88" s="1457"/>
      <c r="N88" s="1461"/>
      <c r="O88" s="1462"/>
      <c r="P88" s="1462"/>
      <c r="Q88" s="1462"/>
      <c r="S88" s="1545">
        <v>2002</v>
      </c>
      <c r="T88" s="1546">
        <v>3.59</v>
      </c>
      <c r="U88" s="1546">
        <v>4.54</v>
      </c>
      <c r="V88" s="1546">
        <v>2.5499999999999998</v>
      </c>
    </row>
    <row r="89" spans="7:22">
      <c r="G89" s="1457"/>
      <c r="N89" s="1461"/>
      <c r="O89" s="1462"/>
      <c r="P89" s="1462"/>
      <c r="Q89" s="1462"/>
    </row>
    <row r="90" spans="7:22">
      <c r="G90" s="1457"/>
      <c r="N90" s="1461"/>
      <c r="O90" s="1462"/>
      <c r="P90" s="1462"/>
      <c r="Q90" s="1462"/>
    </row>
    <row r="91" spans="7:22">
      <c r="G91" s="1457"/>
      <c r="N91" s="1461"/>
      <c r="O91" s="1462"/>
      <c r="P91" s="1462"/>
      <c r="Q91" s="1462"/>
    </row>
    <row r="92" spans="7:22">
      <c r="G92" s="1457"/>
      <c r="N92" s="1461"/>
      <c r="O92" s="1462"/>
      <c r="P92" s="1462"/>
      <c r="Q92" s="1462"/>
    </row>
    <row r="93" spans="7:22">
      <c r="G93" s="1457"/>
      <c r="N93" s="1461"/>
      <c r="O93" s="1462"/>
      <c r="P93" s="1462"/>
      <c r="Q93" s="1462"/>
    </row>
    <row r="94" spans="7:22">
      <c r="G94" s="1457"/>
      <c r="N94" s="1461"/>
      <c r="O94" s="1462"/>
      <c r="P94" s="1462"/>
      <c r="Q94" s="1462"/>
    </row>
    <row r="95" spans="7:22">
      <c r="G95" s="1457"/>
      <c r="N95" s="1461"/>
      <c r="O95" s="1462"/>
      <c r="P95" s="1462"/>
      <c r="Q95" s="1462"/>
    </row>
    <row r="96" spans="7:22">
      <c r="G96" s="1457"/>
      <c r="N96" s="1461"/>
      <c r="O96" s="1462"/>
      <c r="P96" s="1462"/>
      <c r="Q96" s="1462"/>
    </row>
    <row r="97" spans="7:19">
      <c r="G97" s="1457"/>
      <c r="N97" s="1461"/>
      <c r="O97" s="1462"/>
      <c r="P97" s="1462"/>
      <c r="Q97" s="1462"/>
    </row>
    <row r="98" spans="7:19">
      <c r="G98" s="1457"/>
      <c r="N98" s="1461"/>
      <c r="O98" s="1462"/>
      <c r="P98" s="1462"/>
      <c r="Q98" s="1462"/>
    </row>
    <row r="99" spans="7:19">
      <c r="G99" s="1457"/>
      <c r="N99" s="1461"/>
      <c r="O99" s="1462"/>
      <c r="P99" s="1462"/>
      <c r="Q99" s="1462"/>
      <c r="S99" s="1457"/>
    </row>
    <row r="100" spans="7:19">
      <c r="G100" s="1457"/>
      <c r="N100" s="1461"/>
      <c r="O100" s="1462"/>
      <c r="P100" s="1462"/>
      <c r="Q100" s="1462"/>
      <c r="S100" s="1457"/>
    </row>
    <row r="101" spans="7:19">
      <c r="G101" s="1457"/>
      <c r="N101" s="1461"/>
      <c r="O101" s="1462"/>
      <c r="P101" s="1462"/>
      <c r="Q101" s="1462"/>
      <c r="S101" s="1457"/>
    </row>
    <row r="102" spans="7:19">
      <c r="G102" s="1457"/>
      <c r="N102" s="1461"/>
      <c r="O102" s="1462"/>
      <c r="P102" s="1462"/>
      <c r="Q102" s="1462"/>
      <c r="S102" s="1457"/>
    </row>
    <row r="103" spans="7:19">
      <c r="G103" s="1457"/>
      <c r="N103" s="1461"/>
      <c r="O103" s="1462"/>
      <c r="P103" s="1462"/>
      <c r="Q103" s="1462"/>
      <c r="S103" s="1457"/>
    </row>
    <row r="104" spans="7:19">
      <c r="G104" s="1457"/>
      <c r="N104" s="1461"/>
      <c r="O104" s="1462"/>
      <c r="P104" s="1462"/>
      <c r="Q104" s="1462"/>
      <c r="S104" s="145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50909</v>
      </c>
      <c r="C2" s="2" t="s">
        <v>133</v>
      </c>
      <c r="D2" s="243"/>
      <c r="E2" s="243"/>
      <c r="F2" s="243"/>
      <c r="G2" s="243"/>
    </row>
    <row r="3" spans="1:7" s="244" customFormat="1" ht="18" customHeight="1" thickBot="1">
      <c r="A3" s="247" t="s">
        <v>85</v>
      </c>
      <c r="B3" s="248">
        <f ca="1">ROUND(B2*10000/'数据-汇总表'!E3,0)</f>
        <v>18879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539</v>
      </c>
      <c r="D10" s="1033">
        <f>'数据-汇总表'!E6</f>
        <v>26965.789999999986</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539</v>
      </c>
      <c r="D19" s="1037">
        <f>'数据-汇总表'!E3</f>
        <v>26965.789999999986</v>
      </c>
      <c r="E19" s="255">
        <f>'数据-取费表'!B31</f>
        <v>200</v>
      </c>
      <c r="F19" s="275"/>
      <c r="G19" s="1" t="s">
        <v>1074</v>
      </c>
    </row>
    <row r="20" spans="1:7" s="258" customFormat="1" ht="13.5" customHeight="1">
      <c r="A20" s="949" t="s">
        <v>1057</v>
      </c>
      <c r="B20" s="254" t="s">
        <v>104</v>
      </c>
      <c r="C20" s="276">
        <f>ROUND((C5+C19)*F20,0)</f>
        <v>634</v>
      </c>
      <c r="D20" s="276"/>
      <c r="E20" s="276"/>
      <c r="F20" s="277">
        <f>'数据-取费表'!B37</f>
        <v>0.03</v>
      </c>
      <c r="G20" s="1276" t="s">
        <v>1068</v>
      </c>
    </row>
    <row r="21" spans="1:7" s="258" customFormat="1" ht="13.5" customHeight="1">
      <c r="A21" s="949" t="s">
        <v>1059</v>
      </c>
      <c r="B21" s="254" t="s">
        <v>105</v>
      </c>
      <c r="C21" s="279">
        <f>F21</f>
        <v>0.03</v>
      </c>
      <c r="D21" s="280" t="s">
        <v>126</v>
      </c>
      <c r="E21" s="276"/>
      <c r="F21" s="277">
        <f>'数据-取费表'!B38</f>
        <v>0.03</v>
      </c>
      <c r="G21" s="278" t="s">
        <v>106</v>
      </c>
    </row>
    <row r="22" spans="1:7" s="258" customFormat="1" ht="13.5" customHeight="1">
      <c r="A22" s="949" t="s">
        <v>786</v>
      </c>
      <c r="B22" s="254" t="s">
        <v>107</v>
      </c>
      <c r="C22" s="1341">
        <f ca="1">ROUND(SUM(C23:C25),0)</f>
        <v>2639</v>
      </c>
      <c r="D22" s="279">
        <f ca="1">C26</f>
        <v>1.8E-3</v>
      </c>
      <c r="E22" s="280" t="s">
        <v>126</v>
      </c>
      <c r="F22" s="281">
        <f ca="1">'数据-取费表'!B40</f>
        <v>4.7500000000000001E-2</v>
      </c>
      <c r="G22" s="1276" t="str">
        <f>IF('数据-取费表'!B22&lt;=1,"单利计息","复利计息")</f>
        <v>复利计息</v>
      </c>
    </row>
    <row r="23" spans="1:7" s="258" customFormat="1" ht="13.5" customHeight="1">
      <c r="A23" s="952" t="s">
        <v>794</v>
      </c>
      <c r="B23" s="259" t="s">
        <v>1061</v>
      </c>
      <c r="C23" s="1342">
        <f ca="1">ROUND(IF('数据-取费表'!B22&lt;=1,C5*F22*'数据-取费表'!B23,C5*(POWER((1+F22),'数据-取费表'!B23)-1)),0)</f>
        <v>2535</v>
      </c>
      <c r="D23" s="282"/>
      <c r="E23" s="282"/>
      <c r="F23" s="283"/>
      <c r="G23" s="284" t="s">
        <v>108</v>
      </c>
    </row>
    <row r="24" spans="1:7" s="258" customFormat="1" ht="13.5" customHeight="1">
      <c r="A24" s="952" t="s">
        <v>792</v>
      </c>
      <c r="B24" s="259" t="s">
        <v>1056</v>
      </c>
      <c r="C24" s="1342">
        <f ca="1">ROUND(IF('数据-取费表'!B22&lt;=1,C19*F22*('数据-取费表'!B19/2+'数据-取费表'!B21),C19*(POWER((1+F22),('数据-取费表'!B19/2+'数据-取费表'!B21))-1)),0)</f>
        <v>66</v>
      </c>
      <c r="D24" s="282"/>
      <c r="E24" s="282"/>
      <c r="F24" s="283"/>
      <c r="G24" s="284" t="s">
        <v>109</v>
      </c>
    </row>
    <row r="25" spans="1:7" s="258" customFormat="1" ht="24">
      <c r="A25" s="952" t="s">
        <v>793</v>
      </c>
      <c r="B25" s="259" t="s">
        <v>1058</v>
      </c>
      <c r="C25" s="1342">
        <f ca="1">ROUND(IF('数据-取费表'!B22&lt;=1,C20*F22*'数据-取费表'!B23/2,C20*(POWER((1+F22),'数据-取费表'!B23/2)-1)),0)</f>
        <v>38</v>
      </c>
      <c r="D25" s="282"/>
      <c r="E25" s="285"/>
      <c r="F25" s="283"/>
      <c r="G25" s="286" t="s">
        <v>110</v>
      </c>
    </row>
    <row r="26" spans="1:7" s="258" customFormat="1">
      <c r="A26" s="952" t="s">
        <v>795</v>
      </c>
      <c r="B26" s="259" t="s">
        <v>1060</v>
      </c>
      <c r="C26" s="282">
        <f ca="1">ROUND(IF('数据-取费表'!B22&lt;=1,F21*F22*'数据-取费表'!B23/2,F21*(POWER((1+F22),'数据-取费表'!B23/2)-1)),4)</f>
        <v>1.8E-3</v>
      </c>
      <c r="D26" s="282"/>
      <c r="E26" s="285"/>
      <c r="F26" s="283"/>
      <c r="G26" s="287"/>
    </row>
    <row r="27" spans="1:7" s="258" customFormat="1" ht="24.75">
      <c r="A27" s="949" t="s">
        <v>787</v>
      </c>
      <c r="B27" s="288" t="s">
        <v>112</v>
      </c>
      <c r="C27" s="289">
        <f>C28</f>
        <v>5446</v>
      </c>
      <c r="D27" s="279">
        <f>C29</f>
        <v>7.4999999999999997E-3</v>
      </c>
      <c r="E27" s="280" t="s">
        <v>126</v>
      </c>
      <c r="F27" s="290">
        <f>'数据-取费表'!Q16</f>
        <v>0.25</v>
      </c>
      <c r="G27" s="291" t="s">
        <v>1069</v>
      </c>
    </row>
    <row r="28" spans="1:7" s="258" customFormat="1" ht="13.5" customHeight="1">
      <c r="A28" s="952" t="s">
        <v>794</v>
      </c>
      <c r="B28" s="292" t="s">
        <v>1062</v>
      </c>
      <c r="C28" s="293">
        <f>ROUND((C5+C19+C20)*F27*'数据-取费表'!B21/'数据-取费表'!B20,0)</f>
        <v>5446</v>
      </c>
      <c r="D28" s="279"/>
      <c r="E28" s="280"/>
      <c r="F28" s="290"/>
      <c r="G28" s="291"/>
    </row>
    <row r="29" spans="1:7" s="258" customFormat="1" ht="13.5" customHeight="1">
      <c r="A29" s="952" t="s">
        <v>792</v>
      </c>
      <c r="B29" s="292" t="s">
        <v>1063</v>
      </c>
      <c r="C29" s="282">
        <f>ROUND(C21*F27*'数据-取费表'!B21/'数据-取费表'!B20,4)</f>
        <v>7.4999999999999997E-3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32917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13751</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11405</v>
      </c>
      <c r="D34" s="261"/>
      <c r="E34" s="264"/>
      <c r="F34" s="301">
        <f>IF('数据-取费表'!B24=0,1,'数据-取费表'!N16)</f>
        <v>1</v>
      </c>
      <c r="G34" s="263" t="s">
        <v>116</v>
      </c>
    </row>
    <row r="35" spans="1:7" ht="13.5" customHeight="1">
      <c r="A35" s="952" t="s">
        <v>796</v>
      </c>
      <c r="B35" s="259" t="s">
        <v>60</v>
      </c>
      <c r="C35" s="264">
        <f>ROUND(C34*F35,0)</f>
        <v>570</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1066</v>
      </c>
      <c r="D36" s="264"/>
      <c r="E36" s="264"/>
      <c r="F36" s="303">
        <f>'数据-取费表'!B34</f>
        <v>0.1</v>
      </c>
      <c r="G36" s="304" t="s">
        <v>62</v>
      </c>
    </row>
    <row r="37" spans="1:7" s="302" customFormat="1" ht="13.5" customHeight="1">
      <c r="A37" s="952" t="s">
        <v>798</v>
      </c>
      <c r="B37" s="259" t="s">
        <v>118</v>
      </c>
      <c r="C37" s="293">
        <f>ROUND(E37*D37*F34/10000,0)</f>
        <v>539</v>
      </c>
      <c r="D37" s="261">
        <f>'数据-汇总表'!E3</f>
        <v>26965.789999999986</v>
      </c>
      <c r="E37" s="293">
        <f>'数据-取费表'!B35</f>
        <v>200</v>
      </c>
      <c r="F37" s="303"/>
      <c r="G37" s="305" t="s">
        <v>119</v>
      </c>
    </row>
    <row r="38" spans="1:7" ht="13.5" customHeight="1">
      <c r="A38" s="952" t="s">
        <v>799</v>
      </c>
      <c r="B38" s="259" t="s">
        <v>63</v>
      </c>
      <c r="C38" s="264">
        <f>ROUND(C34*F38,0)</f>
        <v>171</v>
      </c>
      <c r="D38" s="264"/>
      <c r="E38" s="264"/>
      <c r="F38" s="303">
        <f>'数据-取费表'!B36</f>
        <v>1.4999999999999999E-2</v>
      </c>
      <c r="G38" s="263" t="s">
        <v>117</v>
      </c>
    </row>
    <row r="39" spans="1:7" s="258" customFormat="1" ht="13.5" customHeight="1">
      <c r="A39" s="949" t="s">
        <v>783</v>
      </c>
      <c r="B39" s="254" t="s">
        <v>104</v>
      </c>
      <c r="C39" s="276">
        <f>ROUND(C33*F20,0)</f>
        <v>413</v>
      </c>
      <c r="D39" s="276"/>
      <c r="E39" s="276"/>
      <c r="F39" s="277"/>
      <c r="G39" s="1276" t="s">
        <v>1071</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846</v>
      </c>
      <c r="D41" s="279">
        <f ca="1">C44</f>
        <v>1.8E-3</v>
      </c>
      <c r="E41" s="280" t="s">
        <v>129</v>
      </c>
      <c r="F41" s="281"/>
      <c r="G41" s="1276" t="str">
        <f>IF('数据-取费表'!B22&lt;=1,"单利计息","复利计息")</f>
        <v>复利计息</v>
      </c>
    </row>
    <row r="42" spans="1:7" ht="13.5" customHeight="1">
      <c r="A42" s="952" t="s">
        <v>794</v>
      </c>
      <c r="B42" s="259" t="s">
        <v>1061</v>
      </c>
      <c r="C42" s="282">
        <f ca="1">ROUND(IF('数据-取费表'!B22&lt;=1,C33*F22*'数据-取费表'!B21/2,C33*(POWER((1+F22),'数据-取费表'!B21/2)-1)),0)</f>
        <v>821</v>
      </c>
      <c r="D42" s="282"/>
      <c r="E42" s="282"/>
      <c r="F42" s="283"/>
      <c r="G42" s="3239" t="s">
        <v>121</v>
      </c>
    </row>
    <row r="43" spans="1:7" ht="13.5" customHeight="1">
      <c r="A43" s="952" t="s">
        <v>792</v>
      </c>
      <c r="B43" s="259" t="s">
        <v>1064</v>
      </c>
      <c r="C43" s="282">
        <f ca="1">ROUND(IF('数据-取费表'!B22&lt;=1,C39*F22*'数据-取费表'!B21/2,C39*(POWER((1+F22),'数据-取费表'!B21/2)-1)),0)</f>
        <v>25</v>
      </c>
      <c r="D43" s="282"/>
      <c r="E43" s="282"/>
      <c r="F43" s="283"/>
      <c r="G43" s="3240"/>
    </row>
    <row r="44" spans="1:7" ht="13.5" customHeight="1">
      <c r="A44" s="952" t="s">
        <v>793</v>
      </c>
      <c r="B44" s="259" t="s">
        <v>1066</v>
      </c>
      <c r="C44" s="282">
        <f ca="1">ROUND(IF('数据-取费表'!B22&lt;=1,C40*F22*'数据-取费表'!B21/2,C40*(POWER((1+F22),'数据-取费表'!B21/2)-1)),4)</f>
        <v>1.8E-3</v>
      </c>
      <c r="D44" s="282"/>
      <c r="E44" s="282"/>
      <c r="F44" s="283"/>
      <c r="G44" s="3241"/>
    </row>
    <row r="45" spans="1:7" s="258" customFormat="1" ht="13.5" customHeight="1">
      <c r="A45" s="949" t="s">
        <v>786</v>
      </c>
      <c r="B45" s="288" t="s">
        <v>112</v>
      </c>
      <c r="C45" s="289">
        <f>C46</f>
        <v>3541</v>
      </c>
      <c r="D45" s="279">
        <f>C47</f>
        <v>7.4999999999999997E-3</v>
      </c>
      <c r="E45" s="280" t="s">
        <v>129</v>
      </c>
      <c r="F45" s="290"/>
      <c r="G45" s="291" t="s">
        <v>1072</v>
      </c>
    </row>
    <row r="46" spans="1:7" s="258" customFormat="1" ht="13.5" customHeight="1">
      <c r="A46" s="952" t="s">
        <v>794</v>
      </c>
      <c r="B46" s="292" t="s">
        <v>1065</v>
      </c>
      <c r="C46" s="293">
        <f>ROUND((C33+C39)*F27,0)</f>
        <v>3541</v>
      </c>
      <c r="D46" s="307"/>
      <c r="E46" s="280"/>
      <c r="F46" s="290"/>
      <c r="G46" s="291"/>
    </row>
    <row r="47" spans="1:7" s="258" customFormat="1" ht="13.5" customHeight="1">
      <c r="A47" s="952" t="s">
        <v>792</v>
      </c>
      <c r="B47" s="292" t="s">
        <v>1067</v>
      </c>
      <c r="C47" s="282">
        <f>ROUND(C40*F27,4)</f>
        <v>7.4999999999999997E-3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20445</v>
      </c>
      <c r="D49" s="276"/>
      <c r="E49" s="276"/>
      <c r="F49" s="308"/>
      <c r="G49" s="278" t="s">
        <v>1073</v>
      </c>
    </row>
    <row r="50" spans="1:7" s="302" customFormat="1" ht="24">
      <c r="A50" s="949" t="s">
        <v>789</v>
      </c>
      <c r="B50" s="254" t="s">
        <v>124</v>
      </c>
      <c r="C50" s="276"/>
      <c r="D50" s="276"/>
      <c r="E50" s="276"/>
      <c r="F50" s="308">
        <f>IF('数据-取费表'!B24=0,'数据-取费表'!N16,1)</f>
        <v>0.88</v>
      </c>
      <c r="G50" s="291" t="s">
        <v>125</v>
      </c>
    </row>
    <row r="51" spans="1:7" ht="16.5" customHeight="1">
      <c r="A51" s="949" t="s">
        <v>790</v>
      </c>
      <c r="B51" s="254" t="s">
        <v>132</v>
      </c>
      <c r="C51" s="276">
        <f ca="1">ROUND(C49*F50,0)</f>
        <v>17992</v>
      </c>
      <c r="D51" s="276"/>
      <c r="E51" s="276"/>
      <c r="F51" s="308"/>
      <c r="G51" s="278" t="s">
        <v>64</v>
      </c>
    </row>
    <row r="52" spans="1:7" s="252" customFormat="1" ht="16.5" thickBot="1">
      <c r="A52" s="309" t="s">
        <v>65</v>
      </c>
      <c r="B52" s="310"/>
      <c r="C52" s="311">
        <f ca="1">C31+C51</f>
        <v>50909</v>
      </c>
      <c r="D52" s="310"/>
      <c r="E52" s="310"/>
      <c r="F52" s="310"/>
      <c r="G52" s="312"/>
    </row>
    <row r="55" spans="1:7" ht="15">
      <c r="B55" s="314" t="s">
        <v>66</v>
      </c>
      <c r="C55" s="315"/>
    </row>
    <row r="56" spans="1:7">
      <c r="B56" s="317" t="s">
        <v>67</v>
      </c>
      <c r="C56" s="318">
        <f ca="1">ROUND(C51/C52,3)</f>
        <v>0.35299999999999998</v>
      </c>
    </row>
    <row r="57" spans="1:7">
      <c r="B57" s="317" t="s">
        <v>68</v>
      </c>
      <c r="C57" s="319">
        <f ca="1">1-C56</f>
        <v>0.64700000000000002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77" t="s">
        <v>156</v>
      </c>
      <c r="B1" s="3377"/>
      <c r="C1" s="3377"/>
      <c r="D1" s="3377"/>
      <c r="E1" s="3377"/>
      <c r="F1" s="337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78" t="s">
        <v>169</v>
      </c>
      <c r="B2" s="3378"/>
      <c r="C2" s="3378"/>
      <c r="D2" s="3378"/>
      <c r="E2" s="3378"/>
      <c r="F2" s="337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7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8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77" t="s">
        <v>871</v>
      </c>
      <c r="B1" s="3377"/>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8" t="s">
        <v>878</v>
      </c>
      <c r="B5" s="839" t="s">
        <v>879</v>
      </c>
      <c r="C5" s="1057">
        <v>8.8999999999999996E-2</v>
      </c>
      <c r="D5" s="1057">
        <v>7.3999999999999996E-2</v>
      </c>
      <c r="E5" s="1057">
        <v>7.4999999999999997E-2</v>
      </c>
      <c r="F5" s="1058">
        <v>0.1</v>
      </c>
    </row>
    <row r="6" spans="1:6" ht="14.25" thickBot="1">
      <c r="A6" s="838" t="s">
        <v>212</v>
      </c>
      <c r="B6" s="832" t="s">
        <v>880</v>
      </c>
      <c r="C6" s="1059">
        <v>0.1</v>
      </c>
      <c r="D6" s="1059">
        <v>9.0999999999999998E-2</v>
      </c>
      <c r="E6" s="1059">
        <v>9.0999999999999998E-2</v>
      </c>
      <c r="F6" s="1060">
        <v>0.1</v>
      </c>
    </row>
    <row r="7" spans="1:6" ht="14.25" thickBot="1">
      <c r="A7" s="838" t="s">
        <v>212</v>
      </c>
      <c r="B7" s="842" t="s">
        <v>201</v>
      </c>
      <c r="C7" s="1059">
        <v>8.5999999999999993E-2</v>
      </c>
      <c r="D7" s="1059">
        <v>9.6000000000000002E-2</v>
      </c>
      <c r="E7" s="1059">
        <v>7.5999999999999998E-2</v>
      </c>
      <c r="F7" s="1060">
        <v>0.1</v>
      </c>
    </row>
    <row r="8" spans="1:6" ht="14.25" thickBot="1">
      <c r="A8" s="838" t="s">
        <v>212</v>
      </c>
      <c r="B8" s="832" t="s">
        <v>213</v>
      </c>
      <c r="C8" s="1059">
        <v>9.9000000000000005E-2</v>
      </c>
      <c r="D8" s="1059">
        <v>9.8000000000000004E-2</v>
      </c>
      <c r="E8" s="1059">
        <v>9.8000000000000004E-2</v>
      </c>
      <c r="F8" s="1060">
        <v>0.1</v>
      </c>
    </row>
    <row r="9" spans="1:6" ht="14.25" thickBot="1">
      <c r="A9" s="848" t="s">
        <v>212</v>
      </c>
      <c r="B9" s="843" t="s">
        <v>225</v>
      </c>
      <c r="C9" s="1061">
        <v>0.05</v>
      </c>
      <c r="D9" s="1069"/>
      <c r="E9" s="1069"/>
      <c r="F9" s="1070"/>
    </row>
    <row r="10" spans="1:6" ht="14.25" thickBot="1">
      <c r="A10" s="838" t="s">
        <v>269</v>
      </c>
      <c r="B10" s="839" t="s">
        <v>881</v>
      </c>
      <c r="C10" s="1057">
        <v>8.8999999999999996E-2</v>
      </c>
      <c r="D10" s="1057">
        <v>7.2999999999999995E-2</v>
      </c>
      <c r="E10" s="1057">
        <v>8.2000000000000003E-2</v>
      </c>
      <c r="F10" s="1058">
        <v>0.1</v>
      </c>
    </row>
    <row r="11" spans="1:6" ht="14.25" thickBot="1">
      <c r="A11" s="838" t="s">
        <v>269</v>
      </c>
      <c r="B11" s="842" t="s">
        <v>188</v>
      </c>
      <c r="C11" s="1059">
        <v>8.8999999999999996E-2</v>
      </c>
      <c r="D11" s="1059">
        <v>7.2999999999999995E-2</v>
      </c>
      <c r="E11" s="1059">
        <v>8.2000000000000003E-2</v>
      </c>
      <c r="F11" s="1060">
        <v>0.1</v>
      </c>
    </row>
    <row r="12" spans="1:6" ht="14.25" thickBot="1">
      <c r="A12" s="838" t="s">
        <v>269</v>
      </c>
      <c r="B12" s="842" t="s">
        <v>138</v>
      </c>
      <c r="C12" s="1059">
        <v>6.0999999999999999E-2</v>
      </c>
      <c r="D12" s="1059">
        <v>7.0999999999999994E-2</v>
      </c>
      <c r="E12" s="1059">
        <v>9.6000000000000002E-2</v>
      </c>
      <c r="F12" s="1060">
        <v>0.1</v>
      </c>
    </row>
    <row r="13" spans="1:6" ht="14.25" thickBot="1">
      <c r="A13" s="838" t="s">
        <v>269</v>
      </c>
      <c r="B13" s="842" t="s">
        <v>214</v>
      </c>
      <c r="C13" s="1059">
        <v>6.9000000000000006E-2</v>
      </c>
      <c r="D13" s="1059">
        <v>6.5000000000000002E-2</v>
      </c>
      <c r="E13" s="1059">
        <v>6.6000000000000003E-2</v>
      </c>
      <c r="F13" s="1060">
        <v>0.1</v>
      </c>
    </row>
    <row r="14" spans="1:6" ht="14.25" thickBot="1">
      <c r="A14" s="838" t="s">
        <v>269</v>
      </c>
      <c r="B14" s="842" t="s">
        <v>226</v>
      </c>
      <c r="C14" s="1059">
        <v>0.1</v>
      </c>
      <c r="D14" s="1059">
        <v>6.5000000000000002E-2</v>
      </c>
      <c r="E14" s="1059">
        <v>7.0000000000000007E-2</v>
      </c>
      <c r="F14" s="1060">
        <v>0.1</v>
      </c>
    </row>
    <row r="15" spans="1:6" ht="14.25" thickBot="1">
      <c r="A15" s="838" t="s">
        <v>269</v>
      </c>
      <c r="B15" s="842" t="s">
        <v>237</v>
      </c>
      <c r="C15" s="1059">
        <v>9.8000000000000004E-2</v>
      </c>
      <c r="D15" s="1059">
        <v>8.8999999999999996E-2</v>
      </c>
      <c r="E15" s="1059">
        <v>8.8999999999999996E-2</v>
      </c>
      <c r="F15" s="1060">
        <v>0.1</v>
      </c>
    </row>
    <row r="16" spans="1:6" ht="14.25" thickBot="1">
      <c r="A16" s="838" t="s">
        <v>269</v>
      </c>
      <c r="B16" s="842" t="s">
        <v>248</v>
      </c>
      <c r="C16" s="1059">
        <v>7.0000000000000007E-2</v>
      </c>
      <c r="D16" s="1059">
        <v>9.2999999999999999E-2</v>
      </c>
      <c r="E16" s="1059">
        <v>9.6000000000000002E-2</v>
      </c>
      <c r="F16" s="1060">
        <v>0.1</v>
      </c>
    </row>
    <row r="17" spans="1:6" ht="14.25" thickBot="1">
      <c r="A17" s="838" t="s">
        <v>269</v>
      </c>
      <c r="B17" s="842" t="s">
        <v>259</v>
      </c>
      <c r="C17" s="1059">
        <v>9.5000000000000001E-2</v>
      </c>
      <c r="D17" s="1059">
        <v>0.1</v>
      </c>
      <c r="E17" s="1059">
        <v>0.1</v>
      </c>
      <c r="F17" s="1071"/>
    </row>
    <row r="18" spans="1:6" ht="14.25" thickBot="1">
      <c r="A18" s="838" t="s">
        <v>269</v>
      </c>
      <c r="B18" s="842" t="s">
        <v>271</v>
      </c>
      <c r="C18" s="1059">
        <v>7.3999999999999996E-2</v>
      </c>
      <c r="D18" s="1059">
        <v>9.9000000000000005E-2</v>
      </c>
      <c r="E18" s="1059">
        <v>0.1</v>
      </c>
      <c r="F18" s="1071"/>
    </row>
    <row r="19" spans="1:6" ht="14.25" thickBot="1">
      <c r="A19" s="838" t="s">
        <v>269</v>
      </c>
      <c r="B19" s="842" t="s">
        <v>281</v>
      </c>
      <c r="C19" s="1059">
        <v>9.9000000000000005E-2</v>
      </c>
      <c r="D19" s="1059">
        <v>7.5999999999999998E-2</v>
      </c>
      <c r="E19" s="1059">
        <v>8.6999999999999994E-2</v>
      </c>
      <c r="F19" s="1071"/>
    </row>
    <row r="20" spans="1:6" ht="14.25" thickBot="1">
      <c r="A20" s="838" t="s">
        <v>269</v>
      </c>
      <c r="B20" s="842" t="s">
        <v>291</v>
      </c>
      <c r="C20" s="1059">
        <v>9.8000000000000004E-2</v>
      </c>
      <c r="D20" s="1059">
        <v>8.5000000000000006E-2</v>
      </c>
      <c r="E20" s="1059">
        <v>8.2000000000000003E-2</v>
      </c>
      <c r="F20" s="1071"/>
    </row>
    <row r="21" spans="1:6" ht="14.25" thickBot="1">
      <c r="A21" s="838" t="s">
        <v>269</v>
      </c>
      <c r="B21" s="842" t="s">
        <v>301</v>
      </c>
      <c r="C21" s="1059">
        <v>6.6000000000000003E-2</v>
      </c>
      <c r="D21" s="1059">
        <v>6.4000000000000001E-2</v>
      </c>
      <c r="E21" s="1059">
        <v>6.5000000000000002E-2</v>
      </c>
      <c r="F21" s="1071"/>
    </row>
    <row r="22" spans="1:6" ht="14.25" thickBot="1">
      <c r="A22" s="838" t="s">
        <v>269</v>
      </c>
      <c r="B22" s="842" t="s">
        <v>882</v>
      </c>
      <c r="C22" s="1059">
        <v>0.08</v>
      </c>
      <c r="D22" s="1059">
        <v>9.8000000000000004E-2</v>
      </c>
      <c r="E22" s="1059">
        <v>9.8000000000000004E-2</v>
      </c>
      <c r="F22" s="1071"/>
    </row>
    <row r="23" spans="1:6" ht="14.25" thickBot="1">
      <c r="A23" s="838" t="s">
        <v>269</v>
      </c>
      <c r="B23" s="842" t="s">
        <v>322</v>
      </c>
      <c r="C23" s="1059">
        <v>9.9000000000000005E-2</v>
      </c>
      <c r="D23" s="1059">
        <v>9.8000000000000004E-2</v>
      </c>
      <c r="E23" s="1059">
        <v>9.0999999999999998E-2</v>
      </c>
      <c r="F23" s="1071"/>
    </row>
    <row r="24" spans="1:6" ht="14.25" thickBot="1">
      <c r="A24" s="838" t="s">
        <v>269</v>
      </c>
      <c r="B24" s="842" t="s">
        <v>333</v>
      </c>
      <c r="C24" s="1059">
        <v>8.8999999999999996E-2</v>
      </c>
      <c r="D24" s="1059">
        <v>9.7000000000000003E-2</v>
      </c>
      <c r="E24" s="1059">
        <v>7.0000000000000007E-2</v>
      </c>
      <c r="F24" s="1071"/>
    </row>
    <row r="25" spans="1:6" ht="14.25" thickBot="1">
      <c r="A25" s="838" t="s">
        <v>269</v>
      </c>
      <c r="B25" s="842" t="s">
        <v>343</v>
      </c>
      <c r="C25" s="1059">
        <v>8.8999999999999996E-2</v>
      </c>
      <c r="D25" s="1059">
        <v>0.1</v>
      </c>
      <c r="E25" s="1059">
        <v>8.1000000000000003E-2</v>
      </c>
      <c r="F25" s="1071"/>
    </row>
    <row r="26" spans="1:6" ht="14.25" thickBot="1">
      <c r="A26" s="838" t="s">
        <v>269</v>
      </c>
      <c r="B26" s="842" t="s">
        <v>353</v>
      </c>
      <c r="C26" s="1072"/>
      <c r="D26" s="1059">
        <v>9.6000000000000002E-2</v>
      </c>
      <c r="E26" s="1059">
        <v>9.2999999999999999E-2</v>
      </c>
      <c r="F26" s="1071"/>
    </row>
    <row r="27" spans="1:6" ht="14.25" thickBot="1">
      <c r="A27" s="838" t="s">
        <v>269</v>
      </c>
      <c r="B27" s="842" t="s">
        <v>363</v>
      </c>
      <c r="C27" s="1072"/>
      <c r="D27" s="1059">
        <v>7.5999999999999998E-2</v>
      </c>
      <c r="E27" s="1059">
        <v>9.1999999999999998E-2</v>
      </c>
      <c r="F27" s="1071"/>
    </row>
    <row r="28" spans="1:6" ht="14.25" thickBot="1">
      <c r="A28" s="848" t="s">
        <v>269</v>
      </c>
      <c r="B28" s="843" t="s">
        <v>373</v>
      </c>
      <c r="C28" s="1069"/>
      <c r="D28" s="1061">
        <v>7.5999999999999998E-2</v>
      </c>
      <c r="E28" s="1061">
        <v>9.1999999999999998E-2</v>
      </c>
      <c r="F28" s="1070"/>
    </row>
    <row r="29" spans="1:6" ht="14.25" thickBot="1">
      <c r="A29" s="838" t="s">
        <v>442</v>
      </c>
      <c r="B29" s="839" t="s">
        <v>883</v>
      </c>
      <c r="C29" s="1057">
        <v>6.4000000000000001E-2</v>
      </c>
      <c r="D29" s="1057">
        <v>6.5000000000000002E-2</v>
      </c>
      <c r="E29" s="1057">
        <v>6.9000000000000006E-2</v>
      </c>
      <c r="F29" s="1058">
        <v>0.1</v>
      </c>
    </row>
    <row r="30" spans="1:6" ht="14.25" thickBot="1">
      <c r="A30" s="838" t="s">
        <v>442</v>
      </c>
      <c r="B30" s="842" t="s">
        <v>189</v>
      </c>
      <c r="C30" s="1059">
        <v>6.4000000000000001E-2</v>
      </c>
      <c r="D30" s="1059">
        <v>9.9000000000000005E-2</v>
      </c>
      <c r="E30" s="1059">
        <v>0.1</v>
      </c>
      <c r="F30" s="1060">
        <v>0.1</v>
      </c>
    </row>
    <row r="31" spans="1:6" ht="14.25" thickBot="1">
      <c r="A31" s="838" t="s">
        <v>442</v>
      </c>
      <c r="B31" s="842" t="s">
        <v>202</v>
      </c>
      <c r="C31" s="1059">
        <v>0.1</v>
      </c>
      <c r="D31" s="1059">
        <v>9.5000000000000001E-2</v>
      </c>
      <c r="E31" s="1059">
        <v>8.8999999999999996E-2</v>
      </c>
      <c r="F31" s="1060">
        <v>0.1</v>
      </c>
    </row>
    <row r="32" spans="1:6" ht="14.25" thickBot="1">
      <c r="A32" s="838" t="s">
        <v>442</v>
      </c>
      <c r="B32" s="842" t="s">
        <v>215</v>
      </c>
      <c r="C32" s="1059">
        <v>0.05</v>
      </c>
      <c r="D32" s="1059">
        <v>0.05</v>
      </c>
      <c r="E32" s="1059">
        <v>8.7999999999999995E-2</v>
      </c>
      <c r="F32" s="1060">
        <v>0.1</v>
      </c>
    </row>
    <row r="33" spans="1:6" ht="14.25" thickBot="1">
      <c r="A33" s="838" t="s">
        <v>442</v>
      </c>
      <c r="B33" s="842" t="s">
        <v>227</v>
      </c>
      <c r="C33" s="1059">
        <v>7.4999999999999997E-2</v>
      </c>
      <c r="D33" s="1059">
        <v>9.4E-2</v>
      </c>
      <c r="E33" s="1059">
        <v>9.7000000000000003E-2</v>
      </c>
      <c r="F33" s="1060">
        <v>0.1</v>
      </c>
    </row>
    <row r="34" spans="1:6" ht="14.25" thickBot="1">
      <c r="A34" s="838" t="s">
        <v>442</v>
      </c>
      <c r="B34" s="842" t="s">
        <v>238</v>
      </c>
      <c r="C34" s="1059">
        <v>9.8000000000000004E-2</v>
      </c>
      <c r="D34" s="1059">
        <v>8.5999999999999993E-2</v>
      </c>
      <c r="E34" s="1059">
        <v>9.7000000000000003E-2</v>
      </c>
      <c r="F34" s="1060">
        <v>0.1</v>
      </c>
    </row>
    <row r="35" spans="1:6" ht="14.25" thickBot="1">
      <c r="A35" s="838" t="s">
        <v>442</v>
      </c>
      <c r="B35" s="842" t="s">
        <v>249</v>
      </c>
      <c r="C35" s="1059">
        <v>5.8999999999999997E-2</v>
      </c>
      <c r="D35" s="1059">
        <v>6.5000000000000002E-2</v>
      </c>
      <c r="E35" s="1059">
        <v>7.0000000000000007E-2</v>
      </c>
      <c r="F35" s="1060">
        <v>0.1</v>
      </c>
    </row>
    <row r="36" spans="1:6" ht="14.25" thickBot="1">
      <c r="A36" s="838" t="s">
        <v>442</v>
      </c>
      <c r="B36" s="842" t="s">
        <v>260</v>
      </c>
      <c r="C36" s="1059">
        <v>6.3E-2</v>
      </c>
      <c r="D36" s="1059">
        <v>0.1</v>
      </c>
      <c r="E36" s="1059">
        <v>0.1</v>
      </c>
      <c r="F36" s="1060">
        <v>0.1</v>
      </c>
    </row>
    <row r="37" spans="1:6" ht="14.25" thickBot="1">
      <c r="A37" s="838" t="s">
        <v>442</v>
      </c>
      <c r="B37" s="842" t="s">
        <v>272</v>
      </c>
      <c r="C37" s="1059">
        <v>7.3999999999999996E-2</v>
      </c>
      <c r="D37" s="1059">
        <v>0.1</v>
      </c>
      <c r="E37" s="1059">
        <v>0.1</v>
      </c>
      <c r="F37" s="1060">
        <v>0.1</v>
      </c>
    </row>
    <row r="38" spans="1:6" ht="14.25" thickBot="1">
      <c r="A38" s="838" t="s">
        <v>442</v>
      </c>
      <c r="B38" s="842" t="s">
        <v>282</v>
      </c>
      <c r="C38" s="1059">
        <v>0.1</v>
      </c>
      <c r="D38" s="1059">
        <v>9.6000000000000002E-2</v>
      </c>
      <c r="E38" s="1059">
        <v>9.6000000000000002E-2</v>
      </c>
      <c r="F38" s="1071"/>
    </row>
    <row r="39" spans="1:6" ht="14.25" thickBot="1">
      <c r="A39" s="838" t="s">
        <v>442</v>
      </c>
      <c r="B39" s="842" t="s">
        <v>292</v>
      </c>
      <c r="C39" s="1059">
        <v>0.1</v>
      </c>
      <c r="D39" s="1059">
        <v>9.6000000000000002E-2</v>
      </c>
      <c r="E39" s="1059">
        <v>9.6000000000000002E-2</v>
      </c>
      <c r="F39" s="1071"/>
    </row>
    <row r="40" spans="1:6" ht="14.25" thickBot="1">
      <c r="A40" s="838" t="s">
        <v>442</v>
      </c>
      <c r="B40" s="842" t="s">
        <v>302</v>
      </c>
      <c r="C40" s="1059">
        <v>9.6000000000000002E-2</v>
      </c>
      <c r="D40" s="1059">
        <v>0.1</v>
      </c>
      <c r="E40" s="1059">
        <v>9.9000000000000005E-2</v>
      </c>
      <c r="F40" s="1071"/>
    </row>
    <row r="41" spans="1:6" ht="14.25" thickBot="1">
      <c r="A41" s="838" t="s">
        <v>442</v>
      </c>
      <c r="B41" s="842" t="s">
        <v>312</v>
      </c>
      <c r="C41" s="1059">
        <v>9.6000000000000002E-2</v>
      </c>
      <c r="D41" s="1059">
        <v>9.8000000000000004E-2</v>
      </c>
      <c r="E41" s="1059">
        <v>9.8000000000000004E-2</v>
      </c>
      <c r="F41" s="1071"/>
    </row>
    <row r="42" spans="1:6" ht="14.25" thickBot="1">
      <c r="A42" s="838" t="s">
        <v>442</v>
      </c>
      <c r="B42" s="842" t="s">
        <v>323</v>
      </c>
      <c r="C42" s="1059">
        <v>0.1</v>
      </c>
      <c r="D42" s="1059">
        <v>8.7999999999999995E-2</v>
      </c>
      <c r="E42" s="1059">
        <v>0.1</v>
      </c>
      <c r="F42" s="1071"/>
    </row>
    <row r="43" spans="1:6" ht="14.25" thickBot="1">
      <c r="A43" s="838" t="s">
        <v>442</v>
      </c>
      <c r="B43" s="842" t="s">
        <v>334</v>
      </c>
      <c r="C43" s="1059">
        <v>9.8000000000000004E-2</v>
      </c>
      <c r="D43" s="1059">
        <v>9.7000000000000003E-2</v>
      </c>
      <c r="E43" s="1059">
        <v>9.6000000000000002E-2</v>
      </c>
      <c r="F43" s="1071"/>
    </row>
    <row r="44" spans="1:6" ht="14.25" thickBot="1">
      <c r="A44" s="838" t="s">
        <v>442</v>
      </c>
      <c r="B44" s="842" t="s">
        <v>344</v>
      </c>
      <c r="C44" s="1059">
        <v>8.5999999999999993E-2</v>
      </c>
      <c r="D44" s="1059">
        <v>7.9000000000000001E-2</v>
      </c>
      <c r="E44" s="1059">
        <v>7.0999999999999994E-2</v>
      </c>
      <c r="F44" s="1071"/>
    </row>
    <row r="45" spans="1:6" ht="14.25" thickBot="1">
      <c r="A45" s="838" t="s">
        <v>442</v>
      </c>
      <c r="B45" s="842" t="s">
        <v>354</v>
      </c>
      <c r="C45" s="1059">
        <v>9.8000000000000004E-2</v>
      </c>
      <c r="D45" s="1059">
        <v>9.6000000000000002E-2</v>
      </c>
      <c r="E45" s="1059">
        <v>9.6000000000000002E-2</v>
      </c>
      <c r="F45" s="1071"/>
    </row>
    <row r="46" spans="1:6" ht="14.25" thickBot="1">
      <c r="A46" s="838" t="s">
        <v>442</v>
      </c>
      <c r="B46" s="842" t="s">
        <v>364</v>
      </c>
      <c r="C46" s="1059">
        <v>8.5999999999999993E-2</v>
      </c>
      <c r="D46" s="1059">
        <v>9.8000000000000004E-2</v>
      </c>
      <c r="E46" s="1059">
        <v>8.7999999999999995E-2</v>
      </c>
      <c r="F46" s="1071"/>
    </row>
    <row r="47" spans="1:6" ht="14.25" thickBot="1">
      <c r="A47" s="838" t="s">
        <v>442</v>
      </c>
      <c r="B47" s="842" t="s">
        <v>374</v>
      </c>
      <c r="C47" s="1059">
        <v>9.6000000000000002E-2</v>
      </c>
      <c r="D47" s="1072"/>
      <c r="E47" s="1059">
        <v>6.9000000000000006E-2</v>
      </c>
      <c r="F47" s="1071"/>
    </row>
    <row r="48" spans="1:6" ht="14.25" thickBot="1">
      <c r="A48" s="848" t="s">
        <v>442</v>
      </c>
      <c r="B48" s="843" t="s">
        <v>383</v>
      </c>
      <c r="C48" s="1061">
        <v>9.8000000000000004E-2</v>
      </c>
      <c r="D48" s="1069"/>
      <c r="E48" s="1061">
        <v>9.5000000000000001E-2</v>
      </c>
      <c r="F48" s="1070"/>
    </row>
    <row r="49" spans="1:6" ht="14.25" thickBot="1">
      <c r="A49" s="838" t="s">
        <v>137</v>
      </c>
      <c r="B49" s="839" t="s">
        <v>884</v>
      </c>
      <c r="C49" s="1057">
        <v>9.7000000000000003E-2</v>
      </c>
      <c r="D49" s="1057">
        <v>9.5000000000000001E-2</v>
      </c>
      <c r="E49" s="1057">
        <v>9.7000000000000003E-2</v>
      </c>
      <c r="F49" s="1058">
        <v>0.1</v>
      </c>
    </row>
    <row r="50" spans="1:6" ht="14.25" thickBot="1">
      <c r="A50" s="838" t="s">
        <v>137</v>
      </c>
      <c r="B50" s="832" t="s">
        <v>190</v>
      </c>
      <c r="C50" s="1059">
        <v>7.4999999999999997E-2</v>
      </c>
      <c r="D50" s="1059">
        <v>9.5000000000000001E-2</v>
      </c>
      <c r="E50" s="1059">
        <v>0.1</v>
      </c>
      <c r="F50" s="1060">
        <v>0.1</v>
      </c>
    </row>
    <row r="51" spans="1:6" ht="14.25" thickBot="1">
      <c r="A51" s="838" t="s">
        <v>137</v>
      </c>
      <c r="B51" s="832" t="s">
        <v>203</v>
      </c>
      <c r="C51" s="1059">
        <v>9.8000000000000004E-2</v>
      </c>
      <c r="D51" s="1059">
        <v>8.8999999999999996E-2</v>
      </c>
      <c r="E51" s="1059">
        <v>0.1</v>
      </c>
      <c r="F51" s="1060">
        <v>0.1</v>
      </c>
    </row>
    <row r="52" spans="1:6" ht="14.25" thickBot="1">
      <c r="A52" s="838" t="s">
        <v>137</v>
      </c>
      <c r="B52" s="832" t="s">
        <v>216</v>
      </c>
      <c r="C52" s="1059">
        <v>9.8000000000000004E-2</v>
      </c>
      <c r="D52" s="1059">
        <v>9.7000000000000003E-2</v>
      </c>
      <c r="E52" s="1059">
        <v>8.1000000000000003E-2</v>
      </c>
      <c r="F52" s="1060">
        <v>0.1</v>
      </c>
    </row>
    <row r="53" spans="1:6" ht="14.25" thickBot="1">
      <c r="A53" s="838" t="s">
        <v>137</v>
      </c>
      <c r="B53" s="832" t="s">
        <v>228</v>
      </c>
      <c r="C53" s="1059">
        <v>9.7000000000000003E-2</v>
      </c>
      <c r="D53" s="1059">
        <v>7.5999999999999998E-2</v>
      </c>
      <c r="E53" s="1059">
        <v>7.0999999999999994E-2</v>
      </c>
      <c r="F53" s="1060">
        <v>0.1</v>
      </c>
    </row>
    <row r="54" spans="1:6" ht="14.25" thickBot="1">
      <c r="A54" s="838" t="s">
        <v>137</v>
      </c>
      <c r="B54" s="832" t="s">
        <v>239</v>
      </c>
      <c r="C54" s="1059">
        <v>7.5999999999999998E-2</v>
      </c>
      <c r="D54" s="1059">
        <v>0.1</v>
      </c>
      <c r="E54" s="1059">
        <v>9.9000000000000005E-2</v>
      </c>
      <c r="F54" s="1060">
        <v>0.1</v>
      </c>
    </row>
    <row r="55" spans="1:6" ht="14.25" thickBot="1">
      <c r="A55" s="838" t="s">
        <v>137</v>
      </c>
      <c r="B55" s="832" t="s">
        <v>250</v>
      </c>
      <c r="C55" s="1059">
        <v>0.1</v>
      </c>
      <c r="D55" s="1059">
        <v>0.1</v>
      </c>
      <c r="E55" s="1059">
        <v>9.6000000000000002E-2</v>
      </c>
      <c r="F55" s="1060">
        <v>0.1</v>
      </c>
    </row>
    <row r="56" spans="1:6" ht="14.25" thickBot="1">
      <c r="A56" s="838" t="s">
        <v>137</v>
      </c>
      <c r="B56" s="832" t="s">
        <v>261</v>
      </c>
      <c r="C56" s="1059">
        <v>0.1</v>
      </c>
      <c r="D56" s="1059">
        <v>9.6000000000000002E-2</v>
      </c>
      <c r="E56" s="1059">
        <v>5.1999999999999998E-2</v>
      </c>
      <c r="F56" s="1060">
        <v>0.1</v>
      </c>
    </row>
    <row r="57" spans="1:6" ht="14.25" thickBot="1">
      <c r="A57" s="838" t="s">
        <v>137</v>
      </c>
      <c r="B57" s="832" t="s">
        <v>273</v>
      </c>
      <c r="C57" s="1059">
        <v>9.7000000000000003E-2</v>
      </c>
      <c r="D57" s="1059">
        <v>9.6000000000000002E-2</v>
      </c>
      <c r="E57" s="1059">
        <v>9.6000000000000002E-2</v>
      </c>
      <c r="F57" s="1060">
        <v>0.1</v>
      </c>
    </row>
    <row r="58" spans="1:6" ht="14.25" thickBot="1">
      <c r="A58" s="838" t="s">
        <v>137</v>
      </c>
      <c r="B58" s="832" t="s">
        <v>283</v>
      </c>
      <c r="C58" s="1059">
        <v>9.6000000000000002E-2</v>
      </c>
      <c r="D58" s="1059">
        <v>9.9000000000000005E-2</v>
      </c>
      <c r="E58" s="1059">
        <v>9.6000000000000002E-2</v>
      </c>
      <c r="F58" s="1060">
        <v>0.1</v>
      </c>
    </row>
    <row r="59" spans="1:6" ht="14.25" thickBot="1">
      <c r="A59" s="838" t="s">
        <v>137</v>
      </c>
      <c r="B59" s="832" t="s">
        <v>293</v>
      </c>
      <c r="C59" s="1059">
        <v>7.1999999999999995E-2</v>
      </c>
      <c r="D59" s="1059">
        <v>9.6000000000000002E-2</v>
      </c>
      <c r="E59" s="1059">
        <v>7.0999999999999994E-2</v>
      </c>
      <c r="F59" s="1060">
        <v>0.1</v>
      </c>
    </row>
    <row r="60" spans="1:6" ht="14.25" thickBot="1">
      <c r="A60" s="838" t="s">
        <v>137</v>
      </c>
      <c r="B60" s="832" t="s">
        <v>303</v>
      </c>
      <c r="C60" s="1059">
        <v>9.6000000000000002E-2</v>
      </c>
      <c r="D60" s="1059">
        <v>8.8999999999999996E-2</v>
      </c>
      <c r="E60" s="1059">
        <v>9.6000000000000002E-2</v>
      </c>
      <c r="F60" s="1060">
        <v>0.1</v>
      </c>
    </row>
    <row r="61" spans="1:6" ht="14.25" thickBot="1">
      <c r="A61" s="838" t="s">
        <v>137</v>
      </c>
      <c r="B61" s="832" t="s">
        <v>313</v>
      </c>
      <c r="C61" s="1059">
        <v>8.8999999999999996E-2</v>
      </c>
      <c r="D61" s="1059">
        <v>9.8000000000000004E-2</v>
      </c>
      <c r="E61" s="1059">
        <v>8.7999999999999995E-2</v>
      </c>
      <c r="F61" s="1071"/>
    </row>
    <row r="62" spans="1:6" ht="14.25" thickBot="1">
      <c r="A62" s="838" t="s">
        <v>137</v>
      </c>
      <c r="B62" s="832" t="s">
        <v>324</v>
      </c>
      <c r="C62" s="1059">
        <v>9.8000000000000004E-2</v>
      </c>
      <c r="D62" s="1059">
        <v>9.2999999999999999E-2</v>
      </c>
      <c r="E62" s="1059">
        <v>9.7000000000000003E-2</v>
      </c>
      <c r="F62" s="1071"/>
    </row>
    <row r="63" spans="1:6" ht="14.25" thickBot="1">
      <c r="A63" s="838" t="s">
        <v>137</v>
      </c>
      <c r="B63" s="832" t="s">
        <v>335</v>
      </c>
      <c r="C63" s="1059">
        <v>9.6000000000000002E-2</v>
      </c>
      <c r="D63" s="1059">
        <v>9.8000000000000004E-2</v>
      </c>
      <c r="E63" s="1059">
        <v>0.09</v>
      </c>
      <c r="F63" s="1071"/>
    </row>
    <row r="64" spans="1:6" ht="14.25" thickBot="1">
      <c r="A64" s="838" t="s">
        <v>137</v>
      </c>
      <c r="B64" s="832" t="s">
        <v>345</v>
      </c>
      <c r="C64" s="1059">
        <v>9.9000000000000005E-2</v>
      </c>
      <c r="D64" s="1059">
        <v>9.7000000000000003E-2</v>
      </c>
      <c r="E64" s="1059">
        <v>9.9000000000000005E-2</v>
      </c>
      <c r="F64" s="1071"/>
    </row>
    <row r="65" spans="1:6" ht="14.25" thickBot="1">
      <c r="A65" s="838" t="s">
        <v>137</v>
      </c>
      <c r="B65" s="832" t="s">
        <v>355</v>
      </c>
      <c r="C65" s="1059">
        <v>9.8000000000000004E-2</v>
      </c>
      <c r="D65" s="1059">
        <v>9.6000000000000002E-2</v>
      </c>
      <c r="E65" s="1059">
        <v>9.6000000000000002E-2</v>
      </c>
      <c r="F65" s="1071"/>
    </row>
    <row r="66" spans="1:6" ht="14.25" thickBot="1">
      <c r="A66" s="838" t="s">
        <v>137</v>
      </c>
      <c r="B66" s="832" t="s">
        <v>365</v>
      </c>
      <c r="C66" s="1059">
        <v>9.6000000000000002E-2</v>
      </c>
      <c r="D66" s="1059">
        <v>9.1999999999999998E-2</v>
      </c>
      <c r="E66" s="1059">
        <v>9.6000000000000002E-2</v>
      </c>
      <c r="F66" s="1071"/>
    </row>
    <row r="67" spans="1:6" ht="14.25" thickBot="1">
      <c r="A67" s="838" t="s">
        <v>137</v>
      </c>
      <c r="B67" s="832" t="s">
        <v>375</v>
      </c>
      <c r="C67" s="1059">
        <v>9.4E-2</v>
      </c>
      <c r="D67" s="1059">
        <v>0.1</v>
      </c>
      <c r="E67" s="1059">
        <v>8.7999999999999995E-2</v>
      </c>
      <c r="F67" s="1071"/>
    </row>
    <row r="68" spans="1:6" ht="14.25" thickBot="1">
      <c r="A68" s="838" t="s">
        <v>137</v>
      </c>
      <c r="B68" s="832" t="s">
        <v>384</v>
      </c>
      <c r="C68" s="1059">
        <v>0.1</v>
      </c>
      <c r="D68" s="1059">
        <v>8.7999999999999995E-2</v>
      </c>
      <c r="E68" s="1059">
        <v>9.7000000000000003E-2</v>
      </c>
      <c r="F68" s="1071"/>
    </row>
    <row r="69" spans="1:6" ht="14.25" thickBot="1">
      <c r="A69" s="838" t="s">
        <v>137</v>
      </c>
      <c r="B69" s="832" t="s">
        <v>393</v>
      </c>
      <c r="C69" s="1059">
        <v>6.4000000000000001E-2</v>
      </c>
      <c r="D69" s="1059">
        <v>0.1</v>
      </c>
      <c r="E69" s="1059">
        <v>0.1</v>
      </c>
      <c r="F69" s="1071"/>
    </row>
    <row r="70" spans="1:6" ht="14.25" thickBot="1">
      <c r="A70" s="838" t="s">
        <v>137</v>
      </c>
      <c r="B70" s="832" t="s">
        <v>401</v>
      </c>
      <c r="C70" s="1059">
        <v>9.0999999999999998E-2</v>
      </c>
      <c r="D70" s="1072"/>
      <c r="E70" s="1072"/>
      <c r="F70" s="1071"/>
    </row>
    <row r="71" spans="1:6" ht="14.25" thickBot="1">
      <c r="A71" s="838" t="s">
        <v>137</v>
      </c>
      <c r="B71" s="832" t="s">
        <v>408</v>
      </c>
      <c r="C71" s="1059">
        <v>0.1</v>
      </c>
      <c r="D71" s="1072"/>
      <c r="E71" s="1072"/>
      <c r="F71" s="1071"/>
    </row>
    <row r="72" spans="1:6" ht="14.25" thickBot="1">
      <c r="A72" s="838" t="s">
        <v>137</v>
      </c>
      <c r="B72" s="832" t="s">
        <v>885</v>
      </c>
      <c r="C72" s="1072"/>
      <c r="D72" s="1072"/>
      <c r="E72" s="1072"/>
      <c r="F72" s="1060">
        <v>0.05</v>
      </c>
    </row>
    <row r="73" spans="1:6" ht="14.25" thickBot="1">
      <c r="A73" s="838" t="s">
        <v>137</v>
      </c>
      <c r="B73" s="832" t="s">
        <v>886</v>
      </c>
      <c r="C73" s="1072"/>
      <c r="D73" s="1072"/>
      <c r="E73" s="1072"/>
      <c r="F73" s="1060">
        <v>0.05</v>
      </c>
    </row>
    <row r="74" spans="1:6" ht="14.25" thickBot="1">
      <c r="A74" s="838" t="s">
        <v>137</v>
      </c>
      <c r="B74" s="832" t="s">
        <v>887</v>
      </c>
      <c r="C74" s="1072"/>
      <c r="D74" s="1072"/>
      <c r="E74" s="1072"/>
      <c r="F74" s="1060">
        <v>0.05</v>
      </c>
    </row>
    <row r="75" spans="1:6" ht="14.25" thickBot="1">
      <c r="A75" s="848" t="s">
        <v>137</v>
      </c>
      <c r="B75" s="844" t="s">
        <v>888</v>
      </c>
      <c r="C75" s="1069"/>
      <c r="D75" s="1069"/>
      <c r="E75" s="1069"/>
      <c r="F75" s="1062">
        <v>0.05</v>
      </c>
    </row>
    <row r="76" spans="1:6" ht="14.25" thickBot="1">
      <c r="A76" s="838" t="s">
        <v>523</v>
      </c>
      <c r="B76" s="839" t="s">
        <v>889</v>
      </c>
      <c r="C76" s="1057">
        <v>0.1</v>
      </c>
      <c r="D76" s="1057">
        <v>0.1</v>
      </c>
      <c r="E76" s="1057">
        <v>0.1</v>
      </c>
      <c r="F76" s="1058">
        <v>0.1</v>
      </c>
    </row>
    <row r="77" spans="1:6" ht="14.25" thickBot="1">
      <c r="A77" s="838" t="s">
        <v>523</v>
      </c>
      <c r="B77" s="832" t="s">
        <v>191</v>
      </c>
      <c r="C77" s="1059">
        <v>8.7999999999999995E-2</v>
      </c>
      <c r="D77" s="1059">
        <v>8.6999999999999994E-2</v>
      </c>
      <c r="E77" s="1059">
        <v>7.9000000000000001E-2</v>
      </c>
      <c r="F77" s="1060">
        <v>0.1</v>
      </c>
    </row>
    <row r="78" spans="1:6" ht="14.25" thickBot="1">
      <c r="A78" s="838" t="s">
        <v>523</v>
      </c>
      <c r="B78" s="832" t="s">
        <v>204</v>
      </c>
      <c r="C78" s="1059">
        <v>8.6999999999999994E-2</v>
      </c>
      <c r="D78" s="1059">
        <v>8.4000000000000005E-2</v>
      </c>
      <c r="E78" s="1059">
        <v>9.6000000000000002E-2</v>
      </c>
      <c r="F78" s="1060">
        <v>0.1</v>
      </c>
    </row>
    <row r="79" spans="1:6" ht="14.25" thickBot="1">
      <c r="A79" s="838" t="s">
        <v>523</v>
      </c>
      <c r="B79" s="832" t="s">
        <v>217</v>
      </c>
      <c r="C79" s="1059">
        <v>9.8000000000000004E-2</v>
      </c>
      <c r="D79" s="1059">
        <v>9.8000000000000004E-2</v>
      </c>
      <c r="E79" s="1059">
        <v>9.0999999999999998E-2</v>
      </c>
      <c r="F79" s="1060">
        <v>0.1</v>
      </c>
    </row>
    <row r="80" spans="1:6" ht="14.25" thickBot="1">
      <c r="A80" s="838" t="s">
        <v>523</v>
      </c>
      <c r="B80" s="832" t="s">
        <v>229</v>
      </c>
      <c r="C80" s="1059">
        <v>9.6000000000000002E-2</v>
      </c>
      <c r="D80" s="1059">
        <v>9.6000000000000002E-2</v>
      </c>
      <c r="E80" s="1059">
        <v>0.1</v>
      </c>
      <c r="F80" s="1060">
        <v>0.1</v>
      </c>
    </row>
    <row r="81" spans="1:6" ht="14.25" thickBot="1">
      <c r="A81" s="838" t="s">
        <v>523</v>
      </c>
      <c r="B81" s="832" t="s">
        <v>240</v>
      </c>
      <c r="C81" s="1059">
        <v>9.9000000000000005E-2</v>
      </c>
      <c r="D81" s="1059">
        <v>9.9000000000000005E-2</v>
      </c>
      <c r="E81" s="1059">
        <v>9.8000000000000004E-2</v>
      </c>
      <c r="F81" s="1060">
        <v>0.1</v>
      </c>
    </row>
    <row r="82" spans="1:6" ht="14.25" thickBot="1">
      <c r="A82" s="838" t="s">
        <v>523</v>
      </c>
      <c r="B82" s="832" t="s">
        <v>251</v>
      </c>
      <c r="C82" s="1059">
        <v>9.9000000000000005E-2</v>
      </c>
      <c r="D82" s="1059">
        <v>9.9000000000000005E-2</v>
      </c>
      <c r="E82" s="1059">
        <v>9.7000000000000003E-2</v>
      </c>
      <c r="F82" s="1060">
        <v>0.1</v>
      </c>
    </row>
    <row r="83" spans="1:6" ht="14.25" thickBot="1">
      <c r="A83" s="838" t="s">
        <v>523</v>
      </c>
      <c r="B83" s="832" t="s">
        <v>262</v>
      </c>
      <c r="C83" s="1059">
        <v>9.8000000000000004E-2</v>
      </c>
      <c r="D83" s="1059">
        <v>9.8000000000000004E-2</v>
      </c>
      <c r="E83" s="1059">
        <v>9.8000000000000004E-2</v>
      </c>
      <c r="F83" s="1060">
        <v>0.1</v>
      </c>
    </row>
    <row r="84" spans="1:6" ht="14.25" thickBot="1">
      <c r="A84" s="838" t="s">
        <v>523</v>
      </c>
      <c r="B84" s="832" t="s">
        <v>274</v>
      </c>
      <c r="C84" s="1059">
        <v>9.9000000000000005E-2</v>
      </c>
      <c r="D84" s="1059">
        <v>9.9000000000000005E-2</v>
      </c>
      <c r="E84" s="1059">
        <v>9.9000000000000005E-2</v>
      </c>
      <c r="F84" s="1060">
        <v>0.1</v>
      </c>
    </row>
    <row r="85" spans="1:6" ht="14.25" thickBot="1">
      <c r="A85" s="838" t="s">
        <v>523</v>
      </c>
      <c r="B85" s="832" t="s">
        <v>284</v>
      </c>
      <c r="C85" s="1059">
        <v>9.9000000000000005E-2</v>
      </c>
      <c r="D85" s="1059">
        <v>9.9000000000000005E-2</v>
      </c>
      <c r="E85" s="1059">
        <v>9.9000000000000005E-2</v>
      </c>
      <c r="F85" s="1060">
        <v>0.1</v>
      </c>
    </row>
    <row r="86" spans="1:6" ht="14.25" thickBot="1">
      <c r="A86" s="838" t="s">
        <v>523</v>
      </c>
      <c r="B86" s="832" t="s">
        <v>294</v>
      </c>
      <c r="C86" s="1059">
        <v>0.1</v>
      </c>
      <c r="D86" s="1059">
        <v>0.1</v>
      </c>
      <c r="E86" s="1059">
        <v>7.6999999999999999E-2</v>
      </c>
      <c r="F86" s="1060">
        <v>0.1</v>
      </c>
    </row>
    <row r="87" spans="1:6" ht="14.25" thickBot="1">
      <c r="A87" s="838" t="s">
        <v>523</v>
      </c>
      <c r="B87" s="832" t="s">
        <v>304</v>
      </c>
      <c r="C87" s="1059">
        <v>0.1</v>
      </c>
      <c r="D87" s="1059">
        <v>0.1</v>
      </c>
      <c r="E87" s="1059">
        <v>9.8000000000000004E-2</v>
      </c>
      <c r="F87" s="1071"/>
    </row>
    <row r="88" spans="1:6" ht="14.25" thickBot="1">
      <c r="A88" s="838" t="s">
        <v>523</v>
      </c>
      <c r="B88" s="832" t="s">
        <v>314</v>
      </c>
      <c r="C88" s="1059">
        <v>9.1999999999999998E-2</v>
      </c>
      <c r="D88" s="1059">
        <v>8.5000000000000006E-2</v>
      </c>
      <c r="E88" s="1059">
        <v>9.6000000000000002E-2</v>
      </c>
      <c r="F88" s="1071"/>
    </row>
    <row r="89" spans="1:6" ht="14.25" thickBot="1">
      <c r="A89" s="838" t="s">
        <v>523</v>
      </c>
      <c r="B89" s="832" t="s">
        <v>325</v>
      </c>
      <c r="C89" s="1059">
        <v>0.1</v>
      </c>
      <c r="D89" s="1059">
        <v>0.1</v>
      </c>
      <c r="E89" s="1059">
        <v>9.7000000000000003E-2</v>
      </c>
      <c r="F89" s="1071"/>
    </row>
    <row r="90" spans="1:6" ht="14.25" thickBot="1">
      <c r="A90" s="838" t="s">
        <v>523</v>
      </c>
      <c r="B90" s="832" t="s">
        <v>336</v>
      </c>
      <c r="C90" s="1059">
        <v>9.8000000000000004E-2</v>
      </c>
      <c r="D90" s="1059">
        <v>9.8000000000000004E-2</v>
      </c>
      <c r="E90" s="1059">
        <v>8.7999999999999995E-2</v>
      </c>
      <c r="F90" s="1071"/>
    </row>
    <row r="91" spans="1:6" ht="14.25" thickBot="1">
      <c r="A91" s="838" t="s">
        <v>523</v>
      </c>
      <c r="B91" s="832" t="s">
        <v>346</v>
      </c>
      <c r="C91" s="1059">
        <v>9.9000000000000005E-2</v>
      </c>
      <c r="D91" s="1059">
        <v>9.9000000000000005E-2</v>
      </c>
      <c r="E91" s="1059">
        <v>9.0999999999999998E-2</v>
      </c>
      <c r="F91" s="1071"/>
    </row>
    <row r="92" spans="1:6" ht="14.25" thickBot="1">
      <c r="A92" s="838" t="s">
        <v>523</v>
      </c>
      <c r="B92" s="832" t="s">
        <v>356</v>
      </c>
      <c r="C92" s="1059">
        <v>9.6000000000000002E-2</v>
      </c>
      <c r="D92" s="1059">
        <v>9.6000000000000002E-2</v>
      </c>
      <c r="E92" s="1059">
        <v>7.2999999999999995E-2</v>
      </c>
      <c r="F92" s="1071"/>
    </row>
    <row r="93" spans="1:6" ht="14.25" thickBot="1">
      <c r="A93" s="838" t="s">
        <v>523</v>
      </c>
      <c r="B93" s="832" t="s">
        <v>366</v>
      </c>
      <c r="C93" s="1059">
        <v>9.6000000000000002E-2</v>
      </c>
      <c r="D93" s="1059">
        <v>9.6000000000000002E-2</v>
      </c>
      <c r="E93" s="1059">
        <v>9.9000000000000005E-2</v>
      </c>
      <c r="F93" s="1071"/>
    </row>
    <row r="94" spans="1:6" ht="14.25" thickBot="1">
      <c r="A94" s="838" t="s">
        <v>523</v>
      </c>
      <c r="B94" s="832" t="s">
        <v>376</v>
      </c>
      <c r="C94" s="1059">
        <v>7.5999999999999998E-2</v>
      </c>
      <c r="D94" s="1059">
        <v>7.3999999999999996E-2</v>
      </c>
      <c r="E94" s="1059">
        <v>9.7000000000000003E-2</v>
      </c>
      <c r="F94" s="1071"/>
    </row>
    <row r="95" spans="1:6" ht="14.25" thickBot="1">
      <c r="A95" s="838" t="s">
        <v>523</v>
      </c>
      <c r="B95" s="832" t="s">
        <v>385</v>
      </c>
      <c r="C95" s="1059">
        <v>9.9000000000000005E-2</v>
      </c>
      <c r="D95" s="1059">
        <v>9.4E-2</v>
      </c>
      <c r="E95" s="1059">
        <v>9.6000000000000002E-2</v>
      </c>
      <c r="F95" s="1071"/>
    </row>
    <row r="96" spans="1:6" ht="14.25" thickBot="1">
      <c r="A96" s="838" t="s">
        <v>523</v>
      </c>
      <c r="B96" s="832" t="s">
        <v>394</v>
      </c>
      <c r="C96" s="1059">
        <v>9.9000000000000005E-2</v>
      </c>
      <c r="D96" s="1059">
        <v>9.9000000000000005E-2</v>
      </c>
      <c r="E96" s="1059">
        <v>9.9000000000000005E-2</v>
      </c>
      <c r="F96" s="1071"/>
    </row>
    <row r="97" spans="1:6" ht="14.25" thickBot="1">
      <c r="A97" s="838" t="s">
        <v>523</v>
      </c>
      <c r="B97" s="832" t="s">
        <v>402</v>
      </c>
      <c r="C97" s="1059">
        <v>9.8000000000000004E-2</v>
      </c>
      <c r="D97" s="1059">
        <v>9.8000000000000004E-2</v>
      </c>
      <c r="E97" s="1059">
        <v>9.7000000000000003E-2</v>
      </c>
      <c r="F97" s="1071"/>
    </row>
    <row r="98" spans="1:6" ht="14.25" thickBot="1">
      <c r="A98" s="838" t="s">
        <v>523</v>
      </c>
      <c r="B98" s="832" t="s">
        <v>409</v>
      </c>
      <c r="C98" s="1059">
        <v>0.1</v>
      </c>
      <c r="D98" s="1059">
        <v>0.1</v>
      </c>
      <c r="E98" s="1059">
        <v>9.7000000000000003E-2</v>
      </c>
      <c r="F98" s="1071"/>
    </row>
    <row r="99" spans="1:6" ht="14.25" thickBot="1">
      <c r="A99" s="838" t="s">
        <v>523</v>
      </c>
      <c r="B99" s="832" t="s">
        <v>416</v>
      </c>
      <c r="C99" s="1059">
        <v>0.1</v>
      </c>
      <c r="D99" s="1059">
        <v>0.1</v>
      </c>
      <c r="E99" s="1072"/>
      <c r="F99" s="1071"/>
    </row>
    <row r="100" spans="1:6" ht="14.25" thickBot="1">
      <c r="A100" s="838" t="s">
        <v>523</v>
      </c>
      <c r="B100" s="832" t="s">
        <v>423</v>
      </c>
      <c r="C100" s="1059">
        <v>0.09</v>
      </c>
      <c r="D100" s="1059">
        <v>8.8999999999999996E-2</v>
      </c>
      <c r="E100" s="1072"/>
      <c r="F100" s="1071"/>
    </row>
    <row r="101" spans="1:6" ht="14.25" thickBot="1">
      <c r="A101" s="838" t="s">
        <v>523</v>
      </c>
      <c r="B101" s="832" t="s">
        <v>430</v>
      </c>
      <c r="C101" s="1059">
        <v>9.8000000000000004E-2</v>
      </c>
      <c r="D101" s="1059">
        <v>9.7000000000000003E-2</v>
      </c>
      <c r="E101" s="1072"/>
      <c r="F101" s="1071"/>
    </row>
    <row r="102" spans="1:6" ht="14.25" thickBot="1">
      <c r="A102" s="838" t="s">
        <v>523</v>
      </c>
      <c r="B102" s="832" t="s">
        <v>890</v>
      </c>
      <c r="C102" s="1072"/>
      <c r="D102" s="1072"/>
      <c r="E102" s="1072"/>
      <c r="F102" s="1060">
        <v>0.05</v>
      </c>
    </row>
    <row r="103" spans="1:6" ht="24.75" thickBot="1">
      <c r="A103" s="838" t="s">
        <v>523</v>
      </c>
      <c r="B103" s="832" t="s">
        <v>891</v>
      </c>
      <c r="C103" s="1072"/>
      <c r="D103" s="1072"/>
      <c r="E103" s="1072"/>
      <c r="F103" s="1060">
        <v>0.05</v>
      </c>
    </row>
    <row r="104" spans="1:6" ht="14.25" thickBot="1">
      <c r="A104" s="838" t="s">
        <v>523</v>
      </c>
      <c r="B104" s="832" t="s">
        <v>892</v>
      </c>
      <c r="C104" s="1072"/>
      <c r="D104" s="1072"/>
      <c r="E104" s="1072"/>
      <c r="F104" s="1060">
        <v>0.05</v>
      </c>
    </row>
    <row r="105" spans="1:6" ht="14.25" thickBot="1">
      <c r="A105" s="838" t="s">
        <v>523</v>
      </c>
      <c r="B105" s="832" t="s">
        <v>893</v>
      </c>
      <c r="C105" s="1072"/>
      <c r="D105" s="1072"/>
      <c r="E105" s="1072"/>
      <c r="F105" s="1060">
        <v>0.05</v>
      </c>
    </row>
    <row r="106" spans="1:6" ht="14.25" thickBot="1">
      <c r="A106" s="838" t="s">
        <v>523</v>
      </c>
      <c r="B106" s="832" t="s">
        <v>894</v>
      </c>
      <c r="C106" s="1072"/>
      <c r="D106" s="1072"/>
      <c r="E106" s="1072"/>
      <c r="F106" s="1060">
        <v>0.05</v>
      </c>
    </row>
    <row r="107" spans="1:6" ht="24.75" thickBot="1">
      <c r="A107" s="838" t="s">
        <v>523</v>
      </c>
      <c r="B107" s="832" t="s">
        <v>895</v>
      </c>
      <c r="C107" s="1072"/>
      <c r="D107" s="1072"/>
      <c r="E107" s="1072"/>
      <c r="F107" s="1060">
        <v>0.05</v>
      </c>
    </row>
    <row r="108" spans="1:6" ht="24.75" thickBot="1">
      <c r="A108" s="838" t="s">
        <v>523</v>
      </c>
      <c r="B108" s="832" t="s">
        <v>896</v>
      </c>
      <c r="C108" s="1072"/>
      <c r="D108" s="1072"/>
      <c r="E108" s="1072"/>
      <c r="F108" s="1060">
        <v>0.05</v>
      </c>
    </row>
    <row r="109" spans="1:6" ht="24.75" thickBot="1">
      <c r="A109" s="848" t="s">
        <v>523</v>
      </c>
      <c r="B109" s="844" t="s">
        <v>897</v>
      </c>
      <c r="C109" s="1069"/>
      <c r="D109" s="1069"/>
      <c r="E109" s="1069"/>
      <c r="F109" s="1062">
        <v>0.05</v>
      </c>
    </row>
    <row r="110" spans="1:6" ht="14.25" thickBot="1">
      <c r="A110" s="838" t="s">
        <v>56</v>
      </c>
      <c r="B110" s="839" t="s">
        <v>898</v>
      </c>
      <c r="C110" s="1057">
        <v>0.129</v>
      </c>
      <c r="D110" s="1057">
        <v>0.129</v>
      </c>
      <c r="E110" s="1057">
        <v>0.126</v>
      </c>
      <c r="F110" s="1058">
        <v>0.13</v>
      </c>
    </row>
    <row r="111" spans="1:6" ht="14.25" thickBot="1">
      <c r="A111" s="838" t="s">
        <v>56</v>
      </c>
      <c r="B111" s="832" t="s">
        <v>192</v>
      </c>
      <c r="C111" s="1059">
        <v>0.11</v>
      </c>
      <c r="D111" s="1059">
        <v>0.11</v>
      </c>
      <c r="E111" s="1059">
        <v>9.9000000000000005E-2</v>
      </c>
      <c r="F111" s="1060">
        <v>0.128</v>
      </c>
    </row>
    <row r="112" spans="1:6" ht="14.25" thickBot="1">
      <c r="A112" s="838" t="s">
        <v>56</v>
      </c>
      <c r="B112" s="832" t="s">
        <v>205</v>
      </c>
      <c r="C112" s="1059">
        <v>0.125</v>
      </c>
      <c r="D112" s="1059">
        <v>0.125</v>
      </c>
      <c r="E112" s="1059">
        <v>0.12</v>
      </c>
      <c r="F112" s="1060">
        <v>0.125</v>
      </c>
    </row>
    <row r="113" spans="1:6" ht="14.25" thickBot="1">
      <c r="A113" s="838" t="s">
        <v>56</v>
      </c>
      <c r="B113" s="832" t="s">
        <v>218</v>
      </c>
      <c r="C113" s="1059">
        <v>0.13</v>
      </c>
      <c r="D113" s="1059">
        <v>0.13</v>
      </c>
      <c r="E113" s="1059">
        <v>0.13</v>
      </c>
      <c r="F113" s="1060">
        <v>0.13</v>
      </c>
    </row>
    <row r="114" spans="1:6" ht="14.25" thickBot="1">
      <c r="A114" s="838" t="s">
        <v>56</v>
      </c>
      <c r="B114" s="832" t="s">
        <v>230</v>
      </c>
      <c r="C114" s="1059">
        <v>0.123</v>
      </c>
      <c r="D114" s="1059">
        <v>0.123</v>
      </c>
      <c r="E114" s="1059">
        <v>0.12</v>
      </c>
      <c r="F114" s="1060">
        <v>0.13</v>
      </c>
    </row>
    <row r="115" spans="1:6" ht="14.25" thickBot="1">
      <c r="A115" s="838" t="s">
        <v>56</v>
      </c>
      <c r="B115" s="832" t="s">
        <v>241</v>
      </c>
      <c r="C115" s="1059">
        <v>0.125</v>
      </c>
      <c r="D115" s="1059">
        <v>0.125</v>
      </c>
      <c r="E115" s="1059">
        <v>0.11700000000000001</v>
      </c>
      <c r="F115" s="1060">
        <v>0.13</v>
      </c>
    </row>
    <row r="116" spans="1:6" ht="14.25" thickBot="1">
      <c r="A116" s="838" t="s">
        <v>56</v>
      </c>
      <c r="B116" s="832" t="s">
        <v>252</v>
      </c>
      <c r="C116" s="1059">
        <v>0.11700000000000001</v>
      </c>
      <c r="D116" s="1059">
        <v>0.11700000000000001</v>
      </c>
      <c r="E116" s="1059">
        <v>8.7999999999999995E-2</v>
      </c>
      <c r="F116" s="1060">
        <v>0.13</v>
      </c>
    </row>
    <row r="117" spans="1:6" ht="14.25" thickBot="1">
      <c r="A117" s="838" t="s">
        <v>56</v>
      </c>
      <c r="B117" s="832" t="s">
        <v>263</v>
      </c>
      <c r="C117" s="1059">
        <v>0.13</v>
      </c>
      <c r="D117" s="1059">
        <v>0.13</v>
      </c>
      <c r="E117" s="1059">
        <v>0.129</v>
      </c>
      <c r="F117" s="1060">
        <v>0.13</v>
      </c>
    </row>
    <row r="118" spans="1:6" ht="14.25" thickBot="1">
      <c r="A118" s="838" t="s">
        <v>56</v>
      </c>
      <c r="B118" s="832" t="s">
        <v>275</v>
      </c>
      <c r="C118" s="1059">
        <v>0.123</v>
      </c>
      <c r="D118" s="1059">
        <v>0.123</v>
      </c>
      <c r="E118" s="1059">
        <v>0.11600000000000001</v>
      </c>
      <c r="F118" s="1060">
        <v>0.13</v>
      </c>
    </row>
    <row r="119" spans="1:6" ht="14.25" thickBot="1">
      <c r="A119" s="838" t="s">
        <v>56</v>
      </c>
      <c r="B119" s="832" t="s">
        <v>285</v>
      </c>
      <c r="C119" s="1059">
        <v>0.127</v>
      </c>
      <c r="D119" s="1059">
        <v>0.127</v>
      </c>
      <c r="E119" s="1059">
        <v>0.124</v>
      </c>
      <c r="F119" s="1060">
        <v>0.13</v>
      </c>
    </row>
    <row r="120" spans="1:6" ht="14.25" thickBot="1">
      <c r="A120" s="838" t="s">
        <v>56</v>
      </c>
      <c r="B120" s="832" t="s">
        <v>295</v>
      </c>
      <c r="C120" s="1059">
        <v>0.125</v>
      </c>
      <c r="D120" s="1059">
        <v>0.125</v>
      </c>
      <c r="E120" s="1059">
        <v>0.122</v>
      </c>
      <c r="F120" s="1060">
        <v>0.13</v>
      </c>
    </row>
    <row r="121" spans="1:6" ht="14.25" thickBot="1">
      <c r="A121" s="838" t="s">
        <v>56</v>
      </c>
      <c r="B121" s="832" t="s">
        <v>305</v>
      </c>
      <c r="C121" s="1059">
        <v>0.13</v>
      </c>
      <c r="D121" s="1059">
        <v>0.13</v>
      </c>
      <c r="E121" s="1059">
        <v>0.13</v>
      </c>
      <c r="F121" s="1060">
        <v>0.13</v>
      </c>
    </row>
    <row r="122" spans="1:6" ht="14.25" thickBot="1">
      <c r="A122" s="838" t="s">
        <v>56</v>
      </c>
      <c r="B122" s="832" t="s">
        <v>315</v>
      </c>
      <c r="C122" s="1059">
        <v>0.13</v>
      </c>
      <c r="D122" s="1059">
        <v>0.13</v>
      </c>
      <c r="E122" s="1059">
        <v>0.125</v>
      </c>
      <c r="F122" s="1060">
        <v>0.13</v>
      </c>
    </row>
    <row r="123" spans="1:6" ht="14.25" thickBot="1">
      <c r="A123" s="838" t="s">
        <v>56</v>
      </c>
      <c r="B123" s="832" t="s">
        <v>326</v>
      </c>
      <c r="C123" s="1059">
        <v>0.129</v>
      </c>
      <c r="D123" s="1059">
        <v>0.129</v>
      </c>
      <c r="E123" s="1059">
        <v>0.123</v>
      </c>
      <c r="F123" s="1060">
        <v>0.13</v>
      </c>
    </row>
    <row r="124" spans="1:6" ht="14.25" thickBot="1">
      <c r="A124" s="838" t="s">
        <v>56</v>
      </c>
      <c r="B124" s="832" t="s">
        <v>337</v>
      </c>
      <c r="C124" s="1059">
        <v>0.10199999999999999</v>
      </c>
      <c r="D124" s="1059">
        <v>0.10100000000000001</v>
      </c>
      <c r="E124" s="1059">
        <v>0.08</v>
      </c>
      <c r="F124" s="1071"/>
    </row>
    <row r="125" spans="1:6" ht="14.25" thickBot="1">
      <c r="A125" s="838" t="s">
        <v>56</v>
      </c>
      <c r="B125" s="832" t="s">
        <v>347</v>
      </c>
      <c r="C125" s="1059">
        <v>0.13</v>
      </c>
      <c r="D125" s="1059">
        <v>0.13</v>
      </c>
      <c r="E125" s="1059">
        <v>0.129</v>
      </c>
      <c r="F125" s="1071"/>
    </row>
    <row r="126" spans="1:6" ht="14.25" thickBot="1">
      <c r="A126" s="838" t="s">
        <v>56</v>
      </c>
      <c r="B126" s="832" t="s">
        <v>357</v>
      </c>
      <c r="C126" s="1059">
        <v>0.13</v>
      </c>
      <c r="D126" s="1059">
        <v>0.13</v>
      </c>
      <c r="E126" s="1059">
        <v>0.126</v>
      </c>
      <c r="F126" s="1071"/>
    </row>
    <row r="127" spans="1:6" ht="14.25" thickBot="1">
      <c r="A127" s="838" t="s">
        <v>56</v>
      </c>
      <c r="B127" s="832" t="s">
        <v>367</v>
      </c>
      <c r="C127" s="1059">
        <v>0.125</v>
      </c>
      <c r="D127" s="1059">
        <v>0.125</v>
      </c>
      <c r="E127" s="1059">
        <v>0.121</v>
      </c>
      <c r="F127" s="1071"/>
    </row>
    <row r="128" spans="1:6" ht="14.25" thickBot="1">
      <c r="A128" s="838" t="s">
        <v>56</v>
      </c>
      <c r="B128" s="832" t="s">
        <v>377</v>
      </c>
      <c r="C128" s="1059">
        <v>0.12</v>
      </c>
      <c r="D128" s="1059">
        <v>0.12</v>
      </c>
      <c r="E128" s="1059">
        <v>0.105</v>
      </c>
      <c r="F128" s="1071"/>
    </row>
    <row r="129" spans="1:6" ht="14.25" thickBot="1">
      <c r="A129" s="838" t="s">
        <v>56</v>
      </c>
      <c r="B129" s="832" t="s">
        <v>386</v>
      </c>
      <c r="C129" s="1059">
        <v>0.13</v>
      </c>
      <c r="D129" s="1059">
        <v>0.13</v>
      </c>
      <c r="E129" s="1059">
        <v>0.126</v>
      </c>
      <c r="F129" s="1071"/>
    </row>
    <row r="130" spans="1:6" ht="14.25" thickBot="1">
      <c r="A130" s="838" t="s">
        <v>56</v>
      </c>
      <c r="B130" s="832" t="s">
        <v>395</v>
      </c>
      <c r="C130" s="1059">
        <v>0.125</v>
      </c>
      <c r="D130" s="1059">
        <v>0.125</v>
      </c>
      <c r="E130" s="1059">
        <v>0.122</v>
      </c>
      <c r="F130" s="1071"/>
    </row>
    <row r="131" spans="1:6" ht="14.25" thickBot="1">
      <c r="A131" s="838" t="s">
        <v>56</v>
      </c>
      <c r="B131" s="832" t="s">
        <v>403</v>
      </c>
      <c r="C131" s="1059">
        <v>0.127</v>
      </c>
      <c r="D131" s="1059">
        <v>0.126</v>
      </c>
      <c r="E131" s="1059">
        <v>0.123</v>
      </c>
      <c r="F131" s="1071"/>
    </row>
    <row r="132" spans="1:6" ht="14.25" thickBot="1">
      <c r="A132" s="838" t="s">
        <v>56</v>
      </c>
      <c r="B132" s="832" t="s">
        <v>410</v>
      </c>
      <c r="C132" s="1059">
        <v>9.0999999999999998E-2</v>
      </c>
      <c r="D132" s="1059">
        <v>0.121</v>
      </c>
      <c r="E132" s="1059">
        <v>9.9000000000000005E-2</v>
      </c>
      <c r="F132" s="1071"/>
    </row>
    <row r="133" spans="1:6" ht="14.25" thickBot="1">
      <c r="A133" s="838" t="s">
        <v>56</v>
      </c>
      <c r="B133" s="832" t="s">
        <v>417</v>
      </c>
      <c r="C133" s="1059">
        <v>0.13</v>
      </c>
      <c r="D133" s="1059">
        <v>0.13</v>
      </c>
      <c r="E133" s="1059">
        <v>0.129</v>
      </c>
      <c r="F133" s="1071"/>
    </row>
    <row r="134" spans="1:6" ht="14.25" thickBot="1">
      <c r="A134" s="838" t="s">
        <v>56</v>
      </c>
      <c r="B134" s="832" t="s">
        <v>899</v>
      </c>
      <c r="C134" s="1059">
        <v>6.8000000000000005E-2</v>
      </c>
      <c r="D134" s="1059">
        <v>6.5000000000000002E-2</v>
      </c>
      <c r="E134" s="1059">
        <v>6.5000000000000002E-2</v>
      </c>
      <c r="F134" s="1060">
        <v>0.13</v>
      </c>
    </row>
    <row r="135" spans="1:6" ht="14.25" thickBot="1">
      <c r="A135" s="838" t="s">
        <v>56</v>
      </c>
      <c r="B135" s="832" t="s">
        <v>431</v>
      </c>
      <c r="C135" s="1059">
        <v>0.123</v>
      </c>
      <c r="D135" s="1059">
        <v>0.123</v>
      </c>
      <c r="E135" s="1059">
        <v>0.11</v>
      </c>
      <c r="F135" s="1071"/>
    </row>
    <row r="136" spans="1:6" ht="14.25" thickBot="1">
      <c r="A136" s="838" t="s">
        <v>56</v>
      </c>
      <c r="B136" s="832" t="s">
        <v>438</v>
      </c>
      <c r="C136" s="1059">
        <v>0.13</v>
      </c>
      <c r="D136" s="1059">
        <v>0.13</v>
      </c>
      <c r="E136" s="1059">
        <v>0.125</v>
      </c>
      <c r="F136" s="1071"/>
    </row>
    <row r="137" spans="1:6" ht="14.25" thickBot="1">
      <c r="A137" s="838" t="s">
        <v>56</v>
      </c>
      <c r="B137" s="832" t="s">
        <v>445</v>
      </c>
      <c r="C137" s="1059">
        <v>0.121</v>
      </c>
      <c r="D137" s="1059">
        <v>0.122</v>
      </c>
      <c r="E137" s="1059">
        <v>0.115</v>
      </c>
      <c r="F137" s="1071"/>
    </row>
    <row r="138" spans="1:6" ht="14.25" thickBot="1">
      <c r="A138" s="838" t="s">
        <v>56</v>
      </c>
      <c r="B138" s="832" t="s">
        <v>900</v>
      </c>
      <c r="C138" s="1059">
        <v>0.105</v>
      </c>
      <c r="D138" s="1059">
        <v>0.125</v>
      </c>
      <c r="E138" s="1059">
        <v>0.112</v>
      </c>
      <c r="F138" s="1071"/>
    </row>
    <row r="139" spans="1:6" ht="14.25" thickBot="1">
      <c r="A139" s="838" t="s">
        <v>56</v>
      </c>
      <c r="B139" s="832" t="s">
        <v>901</v>
      </c>
      <c r="C139" s="1059">
        <v>0.127</v>
      </c>
      <c r="D139" s="1059">
        <v>0.127</v>
      </c>
      <c r="E139" s="1059">
        <v>0.122</v>
      </c>
      <c r="F139" s="1060">
        <v>0.13</v>
      </c>
    </row>
    <row r="140" spans="1:6" ht="14.25" thickBot="1">
      <c r="A140" s="838" t="s">
        <v>56</v>
      </c>
      <c r="B140" s="832" t="s">
        <v>902</v>
      </c>
      <c r="C140" s="1059">
        <v>0.125</v>
      </c>
      <c r="D140" s="1059">
        <v>0.125</v>
      </c>
      <c r="E140" s="1059">
        <v>0.11899999999999999</v>
      </c>
      <c r="F140" s="1060">
        <v>0.13</v>
      </c>
    </row>
    <row r="141" spans="1:6" ht="14.25" thickBot="1">
      <c r="A141" s="838" t="s">
        <v>56</v>
      </c>
      <c r="B141" s="832" t="s">
        <v>464</v>
      </c>
      <c r="C141" s="1059">
        <v>0.125</v>
      </c>
      <c r="D141" s="1059">
        <v>0.125</v>
      </c>
      <c r="E141" s="1059">
        <v>0.11700000000000001</v>
      </c>
      <c r="F141" s="1071"/>
    </row>
    <row r="142" spans="1:6" ht="14.25" thickBot="1">
      <c r="A142" s="838" t="s">
        <v>56</v>
      </c>
      <c r="B142" s="832" t="s">
        <v>469</v>
      </c>
      <c r="C142" s="1059">
        <v>0.125</v>
      </c>
      <c r="D142" s="1059">
        <v>0.125</v>
      </c>
      <c r="E142" s="1059">
        <v>0.115</v>
      </c>
      <c r="F142" s="1071"/>
    </row>
    <row r="143" spans="1:6" ht="14.25" thickBot="1">
      <c r="A143" s="838" t="s">
        <v>56</v>
      </c>
      <c r="B143" s="832" t="s">
        <v>474</v>
      </c>
      <c r="C143" s="1059">
        <v>0.121</v>
      </c>
      <c r="D143" s="1059">
        <v>0.121</v>
      </c>
      <c r="E143" s="1059">
        <v>0.108</v>
      </c>
      <c r="F143" s="1071"/>
    </row>
    <row r="144" spans="1:6" ht="14.25" thickBot="1">
      <c r="A144" s="838" t="s">
        <v>56</v>
      </c>
      <c r="B144" s="1063" t="s">
        <v>903</v>
      </c>
      <c r="C144" s="1064">
        <v>0.126</v>
      </c>
      <c r="D144" s="1064">
        <v>0.126</v>
      </c>
      <c r="E144" s="1064">
        <v>0.121</v>
      </c>
      <c r="F144" s="1071"/>
    </row>
    <row r="145" spans="1:6" ht="14.25" thickBot="1">
      <c r="A145" s="848" t="s">
        <v>56</v>
      </c>
      <c r="B145" s="1065" t="s">
        <v>904</v>
      </c>
      <c r="C145" s="1073"/>
      <c r="D145" s="1073"/>
      <c r="E145" s="1073"/>
      <c r="F145" s="1066">
        <v>0.05</v>
      </c>
    </row>
    <row r="146" spans="1:6" ht="24.75" thickBot="1">
      <c r="A146" s="1067" t="s">
        <v>56</v>
      </c>
      <c r="B146" s="842" t="s">
        <v>905</v>
      </c>
      <c r="C146" s="1072"/>
      <c r="D146" s="1072"/>
      <c r="E146" s="1072"/>
      <c r="F146" s="1068">
        <v>0.05</v>
      </c>
    </row>
    <row r="147" spans="1:6" ht="24.75" thickBot="1">
      <c r="A147" s="838" t="s">
        <v>56</v>
      </c>
      <c r="B147" s="832" t="s">
        <v>906</v>
      </c>
      <c r="C147" s="1072"/>
      <c r="D147" s="1072"/>
      <c r="E147" s="1072"/>
      <c r="F147" s="1060">
        <v>0.05</v>
      </c>
    </row>
    <row r="148" spans="1:6" ht="24.75" thickBot="1">
      <c r="A148" s="838" t="s">
        <v>56</v>
      </c>
      <c r="B148" s="832" t="s">
        <v>907</v>
      </c>
      <c r="C148" s="1072"/>
      <c r="D148" s="1072"/>
      <c r="E148" s="1072"/>
      <c r="F148" s="1060">
        <v>0.05</v>
      </c>
    </row>
    <row r="149" spans="1:6" ht="24.75" thickBot="1">
      <c r="A149" s="838" t="s">
        <v>56</v>
      </c>
      <c r="B149" s="832" t="s">
        <v>908</v>
      </c>
      <c r="C149" s="1072"/>
      <c r="D149" s="1072"/>
      <c r="E149" s="1072"/>
      <c r="F149" s="1060">
        <v>0.05</v>
      </c>
    </row>
    <row r="150" spans="1:6" ht="24.75" thickBot="1">
      <c r="A150" s="838" t="s">
        <v>56</v>
      </c>
      <c r="B150" s="832" t="s">
        <v>909</v>
      </c>
      <c r="C150" s="1072"/>
      <c r="D150" s="1072"/>
      <c r="E150" s="1072"/>
      <c r="F150" s="1060">
        <v>0.05</v>
      </c>
    </row>
    <row r="151" spans="1:6" ht="24.75" thickBot="1">
      <c r="A151" s="838" t="s">
        <v>56</v>
      </c>
      <c r="B151" s="832" t="s">
        <v>910</v>
      </c>
      <c r="C151" s="1072"/>
      <c r="D151" s="1072"/>
      <c r="E151" s="1072"/>
      <c r="F151" s="1060">
        <v>0.05</v>
      </c>
    </row>
    <row r="152" spans="1:6" ht="24.75" thickBot="1">
      <c r="A152" s="838" t="s">
        <v>56</v>
      </c>
      <c r="B152" s="832" t="s">
        <v>507</v>
      </c>
      <c r="C152" s="1072"/>
      <c r="D152" s="1072"/>
      <c r="E152" s="1072"/>
      <c r="F152" s="1060">
        <v>0.05</v>
      </c>
    </row>
    <row r="153" spans="1:6" ht="14.25" thickBot="1">
      <c r="A153" s="838" t="s">
        <v>56</v>
      </c>
      <c r="B153" s="832" t="s">
        <v>911</v>
      </c>
      <c r="C153" s="1072"/>
      <c r="D153" s="1072"/>
      <c r="E153" s="1072"/>
      <c r="F153" s="1060">
        <v>0.05</v>
      </c>
    </row>
    <row r="154" spans="1:6" ht="14.25" thickBot="1">
      <c r="A154" s="838" t="s">
        <v>56</v>
      </c>
      <c r="B154" s="832" t="s">
        <v>912</v>
      </c>
      <c r="C154" s="1072"/>
      <c r="D154" s="1072"/>
      <c r="E154" s="1072"/>
      <c r="F154" s="1060">
        <v>0.05</v>
      </c>
    </row>
    <row r="155" spans="1:6" ht="24.75" thickBot="1">
      <c r="A155" s="838" t="s">
        <v>56</v>
      </c>
      <c r="B155" s="832" t="s">
        <v>913</v>
      </c>
      <c r="C155" s="1072"/>
      <c r="D155" s="1072"/>
      <c r="E155" s="1072"/>
      <c r="F155" s="1060">
        <v>0.05</v>
      </c>
    </row>
    <row r="156" spans="1:6" ht="24.75" thickBot="1">
      <c r="A156" s="838" t="s">
        <v>56</v>
      </c>
      <c r="B156" s="832" t="s">
        <v>914</v>
      </c>
      <c r="C156" s="1072"/>
      <c r="D156" s="1072"/>
      <c r="E156" s="1072"/>
      <c r="F156" s="1060">
        <v>0.05</v>
      </c>
    </row>
    <row r="157" spans="1:6" ht="14.25" thickBot="1">
      <c r="A157" s="848" t="s">
        <v>56</v>
      </c>
      <c r="B157" s="844" t="s">
        <v>915</v>
      </c>
      <c r="C157" s="1069"/>
      <c r="D157" s="1069"/>
      <c r="E157" s="1069"/>
      <c r="F157" s="1062">
        <v>0.05</v>
      </c>
    </row>
    <row r="158" spans="1:6" ht="14.25" thickBot="1">
      <c r="A158" s="838" t="s">
        <v>526</v>
      </c>
      <c r="B158" s="839" t="s">
        <v>916</v>
      </c>
      <c r="C158" s="1057">
        <v>0.13</v>
      </c>
      <c r="D158" s="1057">
        <v>0.13</v>
      </c>
      <c r="E158" s="1057">
        <v>0.13</v>
      </c>
      <c r="F158" s="1058">
        <v>0.13</v>
      </c>
    </row>
    <row r="159" spans="1:6" ht="14.25" thickBot="1">
      <c r="A159" s="838" t="s">
        <v>526</v>
      </c>
      <c r="B159" s="832" t="s">
        <v>193</v>
      </c>
      <c r="C159" s="1059">
        <v>0.13</v>
      </c>
      <c r="D159" s="1059">
        <v>0.13</v>
      </c>
      <c r="E159" s="1059">
        <v>0.13</v>
      </c>
      <c r="F159" s="1060">
        <v>0.13</v>
      </c>
    </row>
    <row r="160" spans="1:6" ht="14.25" thickBot="1">
      <c r="A160" s="838" t="s">
        <v>526</v>
      </c>
      <c r="B160" s="832" t="s">
        <v>206</v>
      </c>
      <c r="C160" s="1059">
        <v>0.13</v>
      </c>
      <c r="D160" s="1059">
        <v>0.13</v>
      </c>
      <c r="E160" s="1059">
        <v>0.129</v>
      </c>
      <c r="F160" s="1060">
        <v>0.13</v>
      </c>
    </row>
    <row r="161" spans="1:6" ht="14.25" thickBot="1">
      <c r="A161" s="838" t="s">
        <v>526</v>
      </c>
      <c r="B161" s="832" t="s">
        <v>219</v>
      </c>
      <c r="C161" s="1059">
        <v>0.128</v>
      </c>
      <c r="D161" s="1059">
        <v>0.128</v>
      </c>
      <c r="E161" s="1059">
        <v>0.125</v>
      </c>
      <c r="F161" s="1060">
        <v>0.13</v>
      </c>
    </row>
    <row r="162" spans="1:6" ht="14.25" thickBot="1">
      <c r="A162" s="838" t="s">
        <v>526</v>
      </c>
      <c r="B162" s="832" t="s">
        <v>231</v>
      </c>
      <c r="C162" s="1059">
        <v>0.122</v>
      </c>
      <c r="D162" s="1059">
        <v>0.122</v>
      </c>
      <c r="E162" s="1059">
        <v>0.126</v>
      </c>
      <c r="F162" s="1060">
        <v>0.122</v>
      </c>
    </row>
    <row r="163" spans="1:6" ht="14.25" thickBot="1">
      <c r="A163" s="838" t="s">
        <v>526</v>
      </c>
      <c r="B163" s="832" t="s">
        <v>242</v>
      </c>
      <c r="C163" s="1059">
        <v>0.13</v>
      </c>
      <c r="D163" s="1059">
        <v>0.13</v>
      </c>
      <c r="E163" s="1059">
        <v>0.125</v>
      </c>
      <c r="F163" s="1060">
        <v>0.13</v>
      </c>
    </row>
    <row r="164" spans="1:6" ht="14.25" thickBot="1">
      <c r="A164" s="838" t="s">
        <v>526</v>
      </c>
      <c r="B164" s="832" t="s">
        <v>253</v>
      </c>
      <c r="C164" s="1059">
        <v>0.13</v>
      </c>
      <c r="D164" s="1059">
        <v>0.13</v>
      </c>
      <c r="E164" s="1059">
        <v>0.13</v>
      </c>
      <c r="F164" s="1060">
        <v>0.13</v>
      </c>
    </row>
    <row r="165" spans="1:6" ht="14.25" thickBot="1">
      <c r="A165" s="838" t="s">
        <v>526</v>
      </c>
      <c r="B165" s="832" t="s">
        <v>264</v>
      </c>
      <c r="C165" s="1059">
        <v>0.13</v>
      </c>
      <c r="D165" s="1059">
        <v>0.13</v>
      </c>
      <c r="E165" s="1059">
        <v>0.124</v>
      </c>
      <c r="F165" s="1060">
        <v>0.13</v>
      </c>
    </row>
    <row r="166" spans="1:6" ht="14.25" thickBot="1">
      <c r="A166" s="838" t="s">
        <v>526</v>
      </c>
      <c r="B166" s="832" t="s">
        <v>276</v>
      </c>
      <c r="C166" s="1059">
        <v>0.13</v>
      </c>
      <c r="D166" s="1059">
        <v>0.13</v>
      </c>
      <c r="E166" s="1059">
        <v>0.13</v>
      </c>
      <c r="F166" s="1060">
        <v>0.13</v>
      </c>
    </row>
    <row r="167" spans="1:6" ht="14.25" thickBot="1">
      <c r="A167" s="838" t="s">
        <v>526</v>
      </c>
      <c r="B167" s="832" t="s">
        <v>286</v>
      </c>
      <c r="C167" s="1059">
        <v>0.125</v>
      </c>
      <c r="D167" s="1059">
        <v>0.125</v>
      </c>
      <c r="E167" s="1059">
        <v>0.121</v>
      </c>
      <c r="F167" s="1071"/>
    </row>
    <row r="168" spans="1:6" ht="14.25" thickBot="1">
      <c r="A168" s="838" t="s">
        <v>526</v>
      </c>
      <c r="B168" s="832" t="s">
        <v>296</v>
      </c>
      <c r="C168" s="1059">
        <v>0.13</v>
      </c>
      <c r="D168" s="1059">
        <v>0.13</v>
      </c>
      <c r="E168" s="1059">
        <v>0.126</v>
      </c>
      <c r="F168" s="1071"/>
    </row>
    <row r="169" spans="1:6" ht="14.25" thickBot="1">
      <c r="A169" s="838" t="s">
        <v>526</v>
      </c>
      <c r="B169" s="832" t="s">
        <v>306</v>
      </c>
      <c r="C169" s="1059">
        <v>0.128</v>
      </c>
      <c r="D169" s="1059">
        <v>0.129</v>
      </c>
      <c r="E169" s="1059">
        <v>0.13</v>
      </c>
      <c r="F169" s="1071"/>
    </row>
    <row r="170" spans="1:6" ht="14.25" thickBot="1">
      <c r="A170" s="838" t="s">
        <v>526</v>
      </c>
      <c r="B170" s="832" t="s">
        <v>316</v>
      </c>
      <c r="C170" s="1059">
        <v>0.14099999999999999</v>
      </c>
      <c r="D170" s="1059">
        <v>0.13</v>
      </c>
      <c r="E170" s="1059">
        <v>0.125</v>
      </c>
      <c r="F170" s="1071"/>
    </row>
    <row r="171" spans="1:6" ht="14.25" thickBot="1">
      <c r="A171" s="838" t="s">
        <v>526</v>
      </c>
      <c r="B171" s="832" t="s">
        <v>917</v>
      </c>
      <c r="C171" s="1059">
        <v>0.127</v>
      </c>
      <c r="D171" s="1059">
        <v>0.126</v>
      </c>
      <c r="E171" s="1059">
        <v>0.126</v>
      </c>
      <c r="F171" s="1060">
        <v>0.11799999999999999</v>
      </c>
    </row>
    <row r="172" spans="1:6" ht="14.25" thickBot="1">
      <c r="A172" s="838" t="s">
        <v>526</v>
      </c>
      <c r="B172" s="832" t="s">
        <v>918</v>
      </c>
      <c r="C172" s="1059">
        <v>0.13</v>
      </c>
      <c r="D172" s="1059">
        <v>0.13</v>
      </c>
      <c r="E172" s="1059">
        <v>0.13</v>
      </c>
      <c r="F172" s="1071"/>
    </row>
    <row r="173" spans="1:6" ht="14.25" thickBot="1">
      <c r="A173" s="838" t="s">
        <v>526</v>
      </c>
      <c r="B173" s="832" t="s">
        <v>348</v>
      </c>
      <c r="C173" s="1059">
        <v>0.13</v>
      </c>
      <c r="D173" s="1059">
        <v>0.13</v>
      </c>
      <c r="E173" s="1059">
        <v>0.13</v>
      </c>
      <c r="F173" s="1071"/>
    </row>
    <row r="174" spans="1:6" ht="14.25" thickBot="1">
      <c r="A174" s="838" t="s">
        <v>526</v>
      </c>
      <c r="B174" s="832" t="s">
        <v>919</v>
      </c>
      <c r="C174" s="1059">
        <v>0.13</v>
      </c>
      <c r="D174" s="1059">
        <v>0.13</v>
      </c>
      <c r="E174" s="1059">
        <v>0.13</v>
      </c>
      <c r="F174" s="1060">
        <v>0.13</v>
      </c>
    </row>
    <row r="175" spans="1:6" ht="14.25" thickBot="1">
      <c r="A175" s="838" t="s">
        <v>526</v>
      </c>
      <c r="B175" s="832" t="s">
        <v>920</v>
      </c>
      <c r="C175" s="1059">
        <v>0.13</v>
      </c>
      <c r="D175" s="1059">
        <v>0.13</v>
      </c>
      <c r="E175" s="1059">
        <v>0.13</v>
      </c>
      <c r="F175" s="1060">
        <v>0.13</v>
      </c>
    </row>
    <row r="176" spans="1:6" ht="14.25" thickBot="1">
      <c r="A176" s="838" t="s">
        <v>526</v>
      </c>
      <c r="B176" s="832" t="s">
        <v>378</v>
      </c>
      <c r="C176" s="1059">
        <v>0.13</v>
      </c>
      <c r="D176" s="1059">
        <v>0.13</v>
      </c>
      <c r="E176" s="1059">
        <v>0.13</v>
      </c>
      <c r="F176" s="1060">
        <v>0.13</v>
      </c>
    </row>
    <row r="177" spans="1:6" ht="14.25" thickBot="1">
      <c r="A177" s="838" t="s">
        <v>526</v>
      </c>
      <c r="B177" s="832" t="s">
        <v>921</v>
      </c>
      <c r="C177" s="1059">
        <v>0.13</v>
      </c>
      <c r="D177" s="1059">
        <v>0.13</v>
      </c>
      <c r="E177" s="1059">
        <v>0.13</v>
      </c>
      <c r="F177" s="1060">
        <v>0.13</v>
      </c>
    </row>
    <row r="178" spans="1:6" ht="14.25" thickBot="1">
      <c r="A178" s="838" t="s">
        <v>526</v>
      </c>
      <c r="B178" s="832" t="s">
        <v>396</v>
      </c>
      <c r="C178" s="1059">
        <v>0.13</v>
      </c>
      <c r="D178" s="1059">
        <v>0.13</v>
      </c>
      <c r="E178" s="1059">
        <v>0.13</v>
      </c>
      <c r="F178" s="1060">
        <v>0.127</v>
      </c>
    </row>
    <row r="179" spans="1:6" ht="14.25" thickBot="1">
      <c r="A179" s="838" t="s">
        <v>526</v>
      </c>
      <c r="B179" s="832" t="s">
        <v>404</v>
      </c>
      <c r="C179" s="1059">
        <v>0.13</v>
      </c>
      <c r="D179" s="1059">
        <v>0.13</v>
      </c>
      <c r="E179" s="1059">
        <v>0.13</v>
      </c>
      <c r="F179" s="1071"/>
    </row>
    <row r="180" spans="1:6" ht="14.25" thickBot="1">
      <c r="A180" s="838" t="s">
        <v>526</v>
      </c>
      <c r="B180" s="832" t="s">
        <v>922</v>
      </c>
      <c r="C180" s="1059">
        <v>0.13</v>
      </c>
      <c r="D180" s="1059">
        <v>0.13</v>
      </c>
      <c r="E180" s="1059">
        <v>0.125</v>
      </c>
      <c r="F180" s="1060">
        <v>0.13</v>
      </c>
    </row>
    <row r="181" spans="1:6" ht="14.25" thickBot="1">
      <c r="A181" s="838" t="s">
        <v>526</v>
      </c>
      <c r="B181" s="832" t="s">
        <v>418</v>
      </c>
      <c r="C181" s="1059">
        <v>0.122</v>
      </c>
      <c r="D181" s="1059">
        <v>0.123</v>
      </c>
      <c r="E181" s="1059">
        <v>0.126</v>
      </c>
      <c r="F181" s="1060">
        <v>0.121</v>
      </c>
    </row>
    <row r="182" spans="1:6" ht="14.25" thickBot="1">
      <c r="A182" s="838" t="s">
        <v>526</v>
      </c>
      <c r="B182" s="832" t="s">
        <v>425</v>
      </c>
      <c r="C182" s="1059">
        <v>0.125</v>
      </c>
      <c r="D182" s="1059">
        <v>0.125</v>
      </c>
      <c r="E182" s="1059">
        <v>0.11700000000000001</v>
      </c>
      <c r="F182" s="1060">
        <v>0.13</v>
      </c>
    </row>
    <row r="183" spans="1:6" ht="14.25" thickBot="1">
      <c r="A183" s="838" t="s">
        <v>526</v>
      </c>
      <c r="B183" s="832" t="s">
        <v>432</v>
      </c>
      <c r="C183" s="1059">
        <v>0.127</v>
      </c>
      <c r="D183" s="1059">
        <v>0.127</v>
      </c>
      <c r="E183" s="1059">
        <v>0.128</v>
      </c>
      <c r="F183" s="1071"/>
    </row>
    <row r="184" spans="1:6" ht="14.25" thickBot="1">
      <c r="A184" s="838" t="s">
        <v>526</v>
      </c>
      <c r="B184" s="832" t="s">
        <v>439</v>
      </c>
      <c r="C184" s="1059">
        <v>0.125</v>
      </c>
      <c r="D184" s="1059">
        <v>0.125</v>
      </c>
      <c r="E184" s="1059">
        <v>0.127</v>
      </c>
      <c r="F184" s="1071"/>
    </row>
    <row r="185" spans="1:6" ht="14.25" thickBot="1">
      <c r="A185" s="838" t="s">
        <v>526</v>
      </c>
      <c r="B185" s="832" t="s">
        <v>923</v>
      </c>
      <c r="C185" s="1059">
        <v>0.127</v>
      </c>
      <c r="D185" s="1059">
        <v>0.127</v>
      </c>
      <c r="E185" s="1059">
        <v>0.128</v>
      </c>
      <c r="F185" s="1060">
        <v>0.13</v>
      </c>
    </row>
    <row r="186" spans="1:6" ht="24.75" thickBot="1">
      <c r="A186" s="838" t="s">
        <v>526</v>
      </c>
      <c r="B186" s="832" t="s">
        <v>924</v>
      </c>
      <c r="C186" s="1072"/>
      <c r="D186" s="1072"/>
      <c r="E186" s="1072"/>
      <c r="F186" s="1060">
        <v>0.05</v>
      </c>
    </row>
    <row r="187" spans="1:6" ht="14.25" thickBot="1">
      <c r="A187" s="838" t="s">
        <v>526</v>
      </c>
      <c r="B187" s="832" t="s">
        <v>925</v>
      </c>
      <c r="C187" s="1072"/>
      <c r="D187" s="1072"/>
      <c r="E187" s="1072"/>
      <c r="F187" s="1060">
        <v>0.05</v>
      </c>
    </row>
    <row r="188" spans="1:6" ht="14.25" thickBot="1">
      <c r="A188" s="838" t="s">
        <v>526</v>
      </c>
      <c r="B188" s="832" t="s">
        <v>926</v>
      </c>
      <c r="C188" s="1072"/>
      <c r="D188" s="1072"/>
      <c r="E188" s="1072"/>
      <c r="F188" s="1060">
        <v>0.05</v>
      </c>
    </row>
    <row r="189" spans="1:6" ht="24.75" thickBot="1">
      <c r="A189" s="838" t="s">
        <v>526</v>
      </c>
      <c r="B189" s="832" t="s">
        <v>927</v>
      </c>
      <c r="C189" s="1072"/>
      <c r="D189" s="1072"/>
      <c r="E189" s="1072"/>
      <c r="F189" s="1060">
        <v>0.05</v>
      </c>
    </row>
    <row r="190" spans="1:6" ht="24.75" thickBot="1">
      <c r="A190" s="838" t="s">
        <v>526</v>
      </c>
      <c r="B190" s="832" t="s">
        <v>928</v>
      </c>
      <c r="C190" s="1072"/>
      <c r="D190" s="1072"/>
      <c r="E190" s="1072"/>
      <c r="F190" s="1060">
        <v>0.05</v>
      </c>
    </row>
    <row r="191" spans="1:6" ht="24.75" thickBot="1">
      <c r="A191" s="838" t="s">
        <v>526</v>
      </c>
      <c r="B191" s="832" t="s">
        <v>929</v>
      </c>
      <c r="C191" s="1072"/>
      <c r="D191" s="1072"/>
      <c r="E191" s="1072"/>
      <c r="F191" s="1060">
        <v>0.05</v>
      </c>
    </row>
    <row r="192" spans="1:6" ht="24.75" thickBot="1">
      <c r="A192" s="838" t="s">
        <v>526</v>
      </c>
      <c r="B192" s="832" t="s">
        <v>930</v>
      </c>
      <c r="C192" s="1072"/>
      <c r="D192" s="1072"/>
      <c r="E192" s="1072"/>
      <c r="F192" s="1060">
        <v>0.05</v>
      </c>
    </row>
    <row r="193" spans="1:6" ht="24.75" thickBot="1">
      <c r="A193" s="838" t="s">
        <v>526</v>
      </c>
      <c r="B193" s="832" t="s">
        <v>931</v>
      </c>
      <c r="C193" s="1072"/>
      <c r="D193" s="1072"/>
      <c r="E193" s="1072"/>
      <c r="F193" s="1060">
        <v>0.05</v>
      </c>
    </row>
    <row r="194" spans="1:6" ht="24.75" thickBot="1">
      <c r="A194" s="838" t="s">
        <v>526</v>
      </c>
      <c r="B194" s="832" t="s">
        <v>932</v>
      </c>
      <c r="C194" s="1072"/>
      <c r="D194" s="1072"/>
      <c r="E194" s="1072"/>
      <c r="F194" s="1060">
        <v>0.05</v>
      </c>
    </row>
    <row r="195" spans="1:6" ht="14.25" thickBot="1">
      <c r="A195" s="838" t="s">
        <v>526</v>
      </c>
      <c r="B195" s="832" t="s">
        <v>933</v>
      </c>
      <c r="C195" s="1072"/>
      <c r="D195" s="1072"/>
      <c r="E195" s="1072"/>
      <c r="F195" s="1060">
        <v>0.05</v>
      </c>
    </row>
    <row r="196" spans="1:6" ht="24.75" thickBot="1">
      <c r="A196" s="838" t="s">
        <v>526</v>
      </c>
      <c r="B196" s="832" t="s">
        <v>934</v>
      </c>
      <c r="C196" s="1072"/>
      <c r="D196" s="1072"/>
      <c r="E196" s="1072"/>
      <c r="F196" s="1060">
        <v>0.05</v>
      </c>
    </row>
    <row r="197" spans="1:6" ht="24.75" thickBot="1">
      <c r="A197" s="838" t="s">
        <v>526</v>
      </c>
      <c r="B197" s="832" t="s">
        <v>935</v>
      </c>
      <c r="C197" s="1072"/>
      <c r="D197" s="1072"/>
      <c r="E197" s="1072"/>
      <c r="F197" s="1060">
        <v>0.05</v>
      </c>
    </row>
    <row r="198" spans="1:6" ht="24.75" thickBot="1">
      <c r="A198" s="838" t="s">
        <v>526</v>
      </c>
      <c r="B198" s="832" t="s">
        <v>936</v>
      </c>
      <c r="C198" s="1072"/>
      <c r="D198" s="1072"/>
      <c r="E198" s="1072"/>
      <c r="F198" s="1060">
        <v>0.05</v>
      </c>
    </row>
    <row r="199" spans="1:6" ht="24.75" thickBot="1">
      <c r="A199" s="838" t="s">
        <v>526</v>
      </c>
      <c r="B199" s="832" t="s">
        <v>937</v>
      </c>
      <c r="C199" s="1072"/>
      <c r="D199" s="1072"/>
      <c r="E199" s="1072"/>
      <c r="F199" s="1060">
        <v>0.05</v>
      </c>
    </row>
    <row r="200" spans="1:6" ht="24.75" thickBot="1">
      <c r="A200" s="838" t="s">
        <v>526</v>
      </c>
      <c r="B200" s="832" t="s">
        <v>938</v>
      </c>
      <c r="C200" s="1072"/>
      <c r="D200" s="1072"/>
      <c r="E200" s="1072"/>
      <c r="F200" s="1060">
        <v>0.05</v>
      </c>
    </row>
    <row r="201" spans="1:6" ht="24.75" thickBot="1">
      <c r="A201" s="838" t="s">
        <v>526</v>
      </c>
      <c r="B201" s="832" t="s">
        <v>939</v>
      </c>
      <c r="C201" s="1072"/>
      <c r="D201" s="1072"/>
      <c r="E201" s="1072"/>
      <c r="F201" s="1060">
        <v>0.05</v>
      </c>
    </row>
    <row r="202" spans="1:6" ht="24.75" thickBot="1">
      <c r="A202" s="838" t="s">
        <v>526</v>
      </c>
      <c r="B202" s="832" t="s">
        <v>940</v>
      </c>
      <c r="C202" s="1072"/>
      <c r="D202" s="1072"/>
      <c r="E202" s="1072"/>
      <c r="F202" s="1060">
        <v>0.05</v>
      </c>
    </row>
    <row r="203" spans="1:6" ht="24.75" thickBot="1">
      <c r="A203" s="838" t="s">
        <v>526</v>
      </c>
      <c r="B203" s="832" t="s">
        <v>941</v>
      </c>
      <c r="C203" s="1072"/>
      <c r="D203" s="1072"/>
      <c r="E203" s="1072"/>
      <c r="F203" s="1060">
        <v>0.05</v>
      </c>
    </row>
    <row r="204" spans="1:6" ht="14.25" thickBot="1">
      <c r="A204" s="838" t="s">
        <v>526</v>
      </c>
      <c r="B204" s="832" t="s">
        <v>942</v>
      </c>
      <c r="C204" s="1072"/>
      <c r="D204" s="1072"/>
      <c r="E204" s="1072"/>
      <c r="F204" s="1060">
        <v>0.05</v>
      </c>
    </row>
    <row r="205" spans="1:6" ht="14.25" thickBot="1">
      <c r="A205" s="848" t="s">
        <v>526</v>
      </c>
      <c r="B205" s="844" t="s">
        <v>943</v>
      </c>
      <c r="C205" s="1069"/>
      <c r="D205" s="1069"/>
      <c r="E205" s="1069"/>
      <c r="F205" s="1062">
        <v>0.05</v>
      </c>
    </row>
    <row r="206" spans="1:6" ht="14.25" thickBot="1">
      <c r="A206" s="838" t="s">
        <v>528</v>
      </c>
      <c r="B206" s="839" t="s">
        <v>944</v>
      </c>
      <c r="C206" s="1057">
        <v>0.15</v>
      </c>
      <c r="D206" s="1057">
        <v>0.15</v>
      </c>
      <c r="E206" s="1057">
        <v>0.15</v>
      </c>
      <c r="F206" s="1058">
        <v>0.15</v>
      </c>
    </row>
    <row r="207" spans="1:6" ht="14.25" thickBot="1">
      <c r="A207" s="838" t="s">
        <v>528</v>
      </c>
      <c r="B207" s="832" t="s">
        <v>194</v>
      </c>
      <c r="C207" s="1059">
        <v>0.15</v>
      </c>
      <c r="D207" s="1059">
        <v>0.15</v>
      </c>
      <c r="E207" s="1059">
        <v>0.15</v>
      </c>
      <c r="F207" s="1060">
        <v>0.14399999999999999</v>
      </c>
    </row>
    <row r="208" spans="1:6" ht="14.25" thickBot="1">
      <c r="A208" s="838" t="s">
        <v>528</v>
      </c>
      <c r="B208" s="832" t="s">
        <v>207</v>
      </c>
      <c r="C208" s="1059">
        <v>0.15</v>
      </c>
      <c r="D208" s="1059">
        <v>0.15</v>
      </c>
      <c r="E208" s="1059">
        <v>0.15</v>
      </c>
      <c r="F208" s="1060">
        <v>0.15</v>
      </c>
    </row>
    <row r="209" spans="1:6" ht="14.25" thickBot="1">
      <c r="A209" s="838" t="s">
        <v>528</v>
      </c>
      <c r="B209" s="832" t="s">
        <v>220</v>
      </c>
      <c r="C209" s="1059">
        <v>0.13700000000000001</v>
      </c>
      <c r="D209" s="1059">
        <v>0.13700000000000001</v>
      </c>
      <c r="E209" s="1059">
        <v>0.14000000000000001</v>
      </c>
      <c r="F209" s="1060">
        <v>0.11700000000000001</v>
      </c>
    </row>
    <row r="210" spans="1:6" ht="14.25" thickBot="1">
      <c r="A210" s="838" t="s">
        <v>528</v>
      </c>
      <c r="B210" s="832" t="s">
        <v>945</v>
      </c>
      <c r="C210" s="1059">
        <v>0.15</v>
      </c>
      <c r="D210" s="1059">
        <v>0.15</v>
      </c>
      <c r="E210" s="1059">
        <v>0.15</v>
      </c>
      <c r="F210" s="1060">
        <v>0.13800000000000001</v>
      </c>
    </row>
    <row r="211" spans="1:6" ht="14.25" thickBot="1">
      <c r="A211" s="838" t="s">
        <v>528</v>
      </c>
      <c r="B211" s="832" t="s">
        <v>946</v>
      </c>
      <c r="C211" s="1059">
        <v>0.13700000000000001</v>
      </c>
      <c r="D211" s="1059">
        <v>0.13500000000000001</v>
      </c>
      <c r="E211" s="1059">
        <v>0.13600000000000001</v>
      </c>
      <c r="F211" s="1060">
        <v>0.1</v>
      </c>
    </row>
    <row r="212" spans="1:6" ht="14.25" thickBot="1">
      <c r="A212" s="838" t="s">
        <v>528</v>
      </c>
      <c r="B212" s="832" t="s">
        <v>947</v>
      </c>
      <c r="C212" s="1059">
        <v>0.15</v>
      </c>
      <c r="D212" s="1059">
        <v>0.15</v>
      </c>
      <c r="E212" s="1059">
        <v>0.14799999999999999</v>
      </c>
      <c r="F212" s="1060">
        <v>0.13600000000000001</v>
      </c>
    </row>
    <row r="213" spans="1:6" ht="14.25" thickBot="1">
      <c r="A213" s="838" t="s">
        <v>528</v>
      </c>
      <c r="B213" s="832" t="s">
        <v>265</v>
      </c>
      <c r="C213" s="1059">
        <v>0.15</v>
      </c>
      <c r="D213" s="1059">
        <v>0.15</v>
      </c>
      <c r="E213" s="1059">
        <v>0.15</v>
      </c>
      <c r="F213" s="1060">
        <v>0.13800000000000001</v>
      </c>
    </row>
    <row r="214" spans="1:6" ht="14.25" thickBot="1">
      <c r="A214" s="838" t="s">
        <v>528</v>
      </c>
      <c r="B214" s="832" t="s">
        <v>277</v>
      </c>
      <c r="C214" s="1059">
        <v>9.0999999999999998E-2</v>
      </c>
      <c r="D214" s="1059">
        <v>0.09</v>
      </c>
      <c r="E214" s="1059">
        <v>9.1999999999999998E-2</v>
      </c>
      <c r="F214" s="1071"/>
    </row>
    <row r="215" spans="1:6" ht="14.25" thickBot="1">
      <c r="A215" s="838" t="s">
        <v>528</v>
      </c>
      <c r="B215" s="832" t="s">
        <v>948</v>
      </c>
      <c r="C215" s="1059">
        <v>0.15</v>
      </c>
      <c r="D215" s="1059">
        <v>0.15</v>
      </c>
      <c r="E215" s="1059">
        <v>0.15</v>
      </c>
      <c r="F215" s="1060">
        <v>0.15</v>
      </c>
    </row>
    <row r="216" spans="1:6" ht="14.25" thickBot="1">
      <c r="A216" s="838" t="s">
        <v>528</v>
      </c>
      <c r="B216" s="832" t="s">
        <v>297</v>
      </c>
      <c r="C216" s="1059">
        <v>0.14699999999999999</v>
      </c>
      <c r="D216" s="1059">
        <v>0.14699999999999999</v>
      </c>
      <c r="E216" s="1059">
        <v>0.15</v>
      </c>
      <c r="F216" s="1060">
        <v>0.14000000000000001</v>
      </c>
    </row>
    <row r="217" spans="1:6" ht="14.25" thickBot="1">
      <c r="A217" s="838" t="s">
        <v>528</v>
      </c>
      <c r="B217" s="832" t="s">
        <v>307</v>
      </c>
      <c r="C217" s="1059">
        <v>0.15</v>
      </c>
      <c r="D217" s="1059">
        <v>0.15</v>
      </c>
      <c r="E217" s="1059">
        <v>0.15</v>
      </c>
      <c r="F217" s="1060">
        <v>0.15</v>
      </c>
    </row>
    <row r="218" spans="1:6" ht="14.25" thickBot="1">
      <c r="A218" s="838" t="s">
        <v>528</v>
      </c>
      <c r="B218" s="832" t="s">
        <v>949</v>
      </c>
      <c r="C218" s="1059">
        <v>0.15</v>
      </c>
      <c r="D218" s="1059">
        <v>0.15</v>
      </c>
      <c r="E218" s="1059">
        <v>0.15</v>
      </c>
      <c r="F218" s="1060">
        <v>0.15</v>
      </c>
    </row>
    <row r="219" spans="1:6" ht="14.25" thickBot="1">
      <c r="A219" s="838" t="s">
        <v>528</v>
      </c>
      <c r="B219" s="832" t="s">
        <v>328</v>
      </c>
      <c r="C219" s="1059">
        <v>0.15</v>
      </c>
      <c r="D219" s="1059">
        <v>0.15</v>
      </c>
      <c r="E219" s="1059">
        <v>0.15</v>
      </c>
      <c r="F219" s="1060">
        <v>0.14799999999999999</v>
      </c>
    </row>
    <row r="220" spans="1:6" ht="14.25" thickBot="1">
      <c r="A220" s="838" t="s">
        <v>528</v>
      </c>
      <c r="B220" s="832" t="s">
        <v>950</v>
      </c>
      <c r="C220" s="1059">
        <v>0.15</v>
      </c>
      <c r="D220" s="1059">
        <v>0.15</v>
      </c>
      <c r="E220" s="1059">
        <v>0.15</v>
      </c>
      <c r="F220" s="1060">
        <v>0.15</v>
      </c>
    </row>
    <row r="221" spans="1:6" ht="14.25" thickBot="1">
      <c r="A221" s="838" t="s">
        <v>528</v>
      </c>
      <c r="B221" s="832" t="s">
        <v>349</v>
      </c>
      <c r="C221" s="1059"/>
      <c r="D221" s="1072"/>
      <c r="E221" s="1072"/>
      <c r="F221" s="1060">
        <v>0.14799999999999999</v>
      </c>
    </row>
    <row r="222" spans="1:6" ht="14.25" thickBot="1">
      <c r="A222" s="838" t="s">
        <v>528</v>
      </c>
      <c r="B222" s="832" t="s">
        <v>359</v>
      </c>
      <c r="C222" s="1059"/>
      <c r="D222" s="1072"/>
      <c r="E222" s="1072"/>
      <c r="F222" s="1060">
        <v>0.1</v>
      </c>
    </row>
    <row r="223" spans="1:6" ht="14.25" thickBot="1">
      <c r="A223" s="838" t="s">
        <v>528</v>
      </c>
      <c r="B223" s="832" t="s">
        <v>369</v>
      </c>
      <c r="C223" s="1059"/>
      <c r="D223" s="1072"/>
      <c r="E223" s="1072"/>
      <c r="F223" s="1060">
        <v>0.15</v>
      </c>
    </row>
    <row r="224" spans="1:6" ht="14.25" thickBot="1">
      <c r="A224" s="838" t="s">
        <v>528</v>
      </c>
      <c r="B224" s="832" t="s">
        <v>379</v>
      </c>
      <c r="C224" s="1059"/>
      <c r="D224" s="1072"/>
      <c r="E224" s="1072"/>
      <c r="F224" s="1060">
        <v>0.15</v>
      </c>
    </row>
    <row r="225" spans="1:6" ht="14.25" thickBot="1">
      <c r="A225" s="838" t="s">
        <v>528</v>
      </c>
      <c r="B225" s="832" t="s">
        <v>951</v>
      </c>
      <c r="C225" s="1059">
        <v>0.15</v>
      </c>
      <c r="D225" s="1059">
        <v>0.15</v>
      </c>
      <c r="E225" s="1059">
        <v>0.15</v>
      </c>
      <c r="F225" s="1060">
        <v>0.15</v>
      </c>
    </row>
    <row r="226" spans="1:6" ht="14.25" thickBot="1">
      <c r="A226" s="838" t="s">
        <v>528</v>
      </c>
      <c r="B226" s="832" t="s">
        <v>397</v>
      </c>
      <c r="C226" s="1059">
        <v>0.15</v>
      </c>
      <c r="D226" s="1059">
        <v>0.15</v>
      </c>
      <c r="E226" s="1059">
        <v>0.15</v>
      </c>
      <c r="F226" s="1060">
        <v>0.14799999999999999</v>
      </c>
    </row>
    <row r="227" spans="1:6" ht="14.25" thickBot="1">
      <c r="A227" s="838" t="s">
        <v>528</v>
      </c>
      <c r="B227" s="832" t="s">
        <v>952</v>
      </c>
      <c r="C227" s="1059">
        <v>0.15</v>
      </c>
      <c r="D227" s="1059">
        <v>0.15</v>
      </c>
      <c r="E227" s="1059">
        <v>0.15</v>
      </c>
      <c r="F227" s="1060">
        <v>0.15</v>
      </c>
    </row>
    <row r="228" spans="1:6" ht="14.25" thickBot="1">
      <c r="A228" s="838" t="s">
        <v>528</v>
      </c>
      <c r="B228" s="832" t="s">
        <v>412</v>
      </c>
      <c r="C228" s="1059">
        <v>0.15</v>
      </c>
      <c r="D228" s="1059">
        <v>0.15</v>
      </c>
      <c r="E228" s="1059">
        <v>0.15</v>
      </c>
      <c r="F228" s="1060">
        <v>0.15</v>
      </c>
    </row>
    <row r="229" spans="1:6" ht="14.25" thickBot="1">
      <c r="A229" s="838" t="s">
        <v>528</v>
      </c>
      <c r="B229" s="832" t="s">
        <v>419</v>
      </c>
      <c r="C229" s="1059">
        <v>0.15</v>
      </c>
      <c r="D229" s="1059">
        <v>0.15</v>
      </c>
      <c r="E229" s="1059">
        <v>0.15</v>
      </c>
      <c r="F229" s="1071"/>
    </row>
    <row r="230" spans="1:6" ht="14.25" thickBot="1">
      <c r="A230" s="838" t="s">
        <v>528</v>
      </c>
      <c r="B230" s="832" t="s">
        <v>426</v>
      </c>
      <c r="C230" s="1059">
        <v>0.14499999999999999</v>
      </c>
      <c r="D230" s="1059">
        <v>0.14499999999999999</v>
      </c>
      <c r="E230" s="1059">
        <v>0.14399999999999999</v>
      </c>
      <c r="F230" s="1071"/>
    </row>
    <row r="231" spans="1:6" ht="14.25" thickBot="1">
      <c r="A231" s="838" t="s">
        <v>528</v>
      </c>
      <c r="B231" s="832" t="s">
        <v>953</v>
      </c>
      <c r="C231" s="1059">
        <v>0.128</v>
      </c>
      <c r="D231" s="1059">
        <v>0.125</v>
      </c>
      <c r="E231" s="1059">
        <v>0.13200000000000001</v>
      </c>
      <c r="F231" s="1071"/>
    </row>
    <row r="232" spans="1:6" ht="14.25" thickBot="1">
      <c r="A232" s="838" t="s">
        <v>528</v>
      </c>
      <c r="B232" s="832" t="s">
        <v>954</v>
      </c>
      <c r="C232" s="1059">
        <v>0.14499999999999999</v>
      </c>
      <c r="D232" s="1059">
        <v>0.14399999999999999</v>
      </c>
      <c r="E232" s="1059">
        <v>0.14599999999999999</v>
      </c>
      <c r="F232" s="1060">
        <v>0.13800000000000001</v>
      </c>
    </row>
    <row r="233" spans="1:6" ht="14.25" thickBot="1">
      <c r="A233" s="838" t="s">
        <v>528</v>
      </c>
      <c r="B233" s="832" t="s">
        <v>955</v>
      </c>
      <c r="C233" s="1059">
        <v>0.14499999999999999</v>
      </c>
      <c r="D233" s="1059">
        <v>0.14299999999999999</v>
      </c>
      <c r="E233" s="1059">
        <v>0.14199999999999999</v>
      </c>
      <c r="F233" s="1071"/>
    </row>
    <row r="234" spans="1:6" ht="14.25" thickBot="1">
      <c r="A234" s="838" t="s">
        <v>528</v>
      </c>
      <c r="B234" s="832" t="s">
        <v>956</v>
      </c>
      <c r="C234" s="1059">
        <v>0.14000000000000001</v>
      </c>
      <c r="D234" s="1059">
        <v>0.14000000000000001</v>
      </c>
      <c r="E234" s="1059">
        <v>0.14399999999999999</v>
      </c>
      <c r="F234" s="1071"/>
    </row>
    <row r="235" spans="1:6" ht="14.25" thickBot="1">
      <c r="A235" s="838" t="s">
        <v>528</v>
      </c>
      <c r="B235" s="832" t="s">
        <v>957</v>
      </c>
      <c r="C235" s="1059">
        <v>0.14099999999999999</v>
      </c>
      <c r="D235" s="1059">
        <v>0.14199999999999999</v>
      </c>
      <c r="E235" s="1059">
        <v>0.14499999999999999</v>
      </c>
      <c r="F235" s="1060">
        <v>0.15</v>
      </c>
    </row>
    <row r="236" spans="1:6" ht="14.25" thickBot="1">
      <c r="A236" s="838" t="s">
        <v>528</v>
      </c>
      <c r="B236" s="832" t="s">
        <v>461</v>
      </c>
      <c r="C236" s="1072"/>
      <c r="D236" s="1072"/>
      <c r="E236" s="1072"/>
      <c r="F236" s="1060">
        <v>0.14299999999999999</v>
      </c>
    </row>
    <row r="237" spans="1:6" ht="24.75" thickBot="1">
      <c r="A237" s="838" t="s">
        <v>528</v>
      </c>
      <c r="B237" s="832" t="s">
        <v>958</v>
      </c>
      <c r="C237" s="1072"/>
      <c r="D237" s="1072"/>
      <c r="E237" s="1072"/>
      <c r="F237" s="1060">
        <v>0.05</v>
      </c>
    </row>
    <row r="238" spans="1:6" ht="24.75" thickBot="1">
      <c r="A238" s="838" t="s">
        <v>528</v>
      </c>
      <c r="B238" s="832" t="s">
        <v>959</v>
      </c>
      <c r="C238" s="1072"/>
      <c r="D238" s="1072"/>
      <c r="E238" s="1072"/>
      <c r="F238" s="1060">
        <v>0.05</v>
      </c>
    </row>
    <row r="239" spans="1:6" ht="24.75" thickBot="1">
      <c r="A239" s="838" t="s">
        <v>528</v>
      </c>
      <c r="B239" s="832" t="s">
        <v>960</v>
      </c>
      <c r="C239" s="1072"/>
      <c r="D239" s="1072"/>
      <c r="E239" s="1072"/>
      <c r="F239" s="1060">
        <v>0.05</v>
      </c>
    </row>
    <row r="240" spans="1:6" ht="24.75" thickBot="1">
      <c r="A240" s="838" t="s">
        <v>528</v>
      </c>
      <c r="B240" s="832" t="s">
        <v>961</v>
      </c>
      <c r="C240" s="1072"/>
      <c r="D240" s="1072"/>
      <c r="E240" s="1072"/>
      <c r="F240" s="1060">
        <v>0.05</v>
      </c>
    </row>
    <row r="241" spans="1:6" ht="24.75" thickBot="1">
      <c r="A241" s="838" t="s">
        <v>528</v>
      </c>
      <c r="B241" s="832" t="s">
        <v>962</v>
      </c>
      <c r="C241" s="1072"/>
      <c r="D241" s="1072"/>
      <c r="E241" s="1072"/>
      <c r="F241" s="1060">
        <v>0.05</v>
      </c>
    </row>
    <row r="242" spans="1:6" ht="24.75" thickBot="1">
      <c r="A242" s="838" t="s">
        <v>528</v>
      </c>
      <c r="B242" s="832" t="s">
        <v>963</v>
      </c>
      <c r="C242" s="1072"/>
      <c r="D242" s="1072"/>
      <c r="E242" s="1072"/>
      <c r="F242" s="1060">
        <v>0.05</v>
      </c>
    </row>
    <row r="243" spans="1:6" ht="24.75" thickBot="1">
      <c r="A243" s="838" t="s">
        <v>528</v>
      </c>
      <c r="B243" s="832" t="s">
        <v>964</v>
      </c>
      <c r="C243" s="1072"/>
      <c r="D243" s="1072"/>
      <c r="E243" s="1072"/>
      <c r="F243" s="1060">
        <v>0.05</v>
      </c>
    </row>
    <row r="244" spans="1:6" ht="24.75" thickBot="1">
      <c r="A244" s="848" t="s">
        <v>528</v>
      </c>
      <c r="B244" s="844" t="s">
        <v>965</v>
      </c>
      <c r="C244" s="1069"/>
      <c r="D244" s="1069"/>
      <c r="E244" s="1069"/>
      <c r="F244" s="1062">
        <v>0.05</v>
      </c>
    </row>
    <row r="245" spans="1:6" ht="14.25" thickBot="1">
      <c r="A245" s="838" t="s">
        <v>530</v>
      </c>
      <c r="B245" s="839" t="s">
        <v>966</v>
      </c>
      <c r="C245" s="1057">
        <v>0.15</v>
      </c>
      <c r="D245" s="1057">
        <v>0.15</v>
      </c>
      <c r="E245" s="1057">
        <v>0.15</v>
      </c>
      <c r="F245" s="1058">
        <v>0.14299999999999999</v>
      </c>
    </row>
    <row r="246" spans="1:6" ht="14.25" thickBot="1">
      <c r="A246" s="838" t="s">
        <v>530</v>
      </c>
      <c r="B246" s="832" t="s">
        <v>195</v>
      </c>
      <c r="C246" s="1059">
        <v>0.15</v>
      </c>
      <c r="D246" s="1059">
        <v>0.15</v>
      </c>
      <c r="E246" s="1059">
        <v>0.15</v>
      </c>
      <c r="F246" s="1060">
        <v>0.114</v>
      </c>
    </row>
    <row r="247" spans="1:6" ht="14.25" thickBot="1">
      <c r="A247" s="838" t="s">
        <v>530</v>
      </c>
      <c r="B247" s="832" t="s">
        <v>967</v>
      </c>
      <c r="C247" s="1059">
        <v>0.15</v>
      </c>
      <c r="D247" s="1059">
        <v>0.15</v>
      </c>
      <c r="E247" s="1059">
        <v>0.15</v>
      </c>
      <c r="F247" s="1060">
        <v>0.15</v>
      </c>
    </row>
    <row r="248" spans="1:6" ht="14.25" thickBot="1">
      <c r="A248" s="838" t="s">
        <v>530</v>
      </c>
      <c r="B248" s="832" t="s">
        <v>968</v>
      </c>
      <c r="C248" s="1059">
        <v>0.15</v>
      </c>
      <c r="D248" s="1059">
        <v>0.15</v>
      </c>
      <c r="E248" s="1059">
        <v>0.15</v>
      </c>
      <c r="F248" s="1060">
        <v>0.14000000000000001</v>
      </c>
    </row>
    <row r="249" spans="1:6" ht="14.25" thickBot="1">
      <c r="A249" s="838" t="s">
        <v>530</v>
      </c>
      <c r="B249" s="832" t="s">
        <v>969</v>
      </c>
      <c r="C249" s="1059">
        <v>0.15</v>
      </c>
      <c r="D249" s="1059">
        <v>0.14899999999999999</v>
      </c>
      <c r="E249" s="1059">
        <v>0.15</v>
      </c>
      <c r="F249" s="1060">
        <v>0.1</v>
      </c>
    </row>
    <row r="250" spans="1:6" ht="14.25" thickBot="1">
      <c r="A250" s="838" t="s">
        <v>530</v>
      </c>
      <c r="B250" s="832" t="s">
        <v>970</v>
      </c>
      <c r="C250" s="1059">
        <v>0.15</v>
      </c>
      <c r="D250" s="1059">
        <v>0.15</v>
      </c>
      <c r="E250" s="1059">
        <v>0.15</v>
      </c>
      <c r="F250" s="1060">
        <v>0.14399999999999999</v>
      </c>
    </row>
    <row r="251" spans="1:6" ht="14.25" thickBot="1">
      <c r="A251" s="838" t="s">
        <v>530</v>
      </c>
      <c r="B251" s="832" t="s">
        <v>255</v>
      </c>
      <c r="C251" s="1059">
        <v>0.15</v>
      </c>
      <c r="D251" s="1059">
        <v>0.15</v>
      </c>
      <c r="E251" s="1059">
        <v>0.15</v>
      </c>
      <c r="F251" s="1060">
        <v>0.14299999999999999</v>
      </c>
    </row>
    <row r="252" spans="1:6" ht="14.25" thickBot="1">
      <c r="A252" s="838" t="s">
        <v>530</v>
      </c>
      <c r="B252" s="832" t="s">
        <v>266</v>
      </c>
      <c r="C252" s="1059">
        <v>0.15</v>
      </c>
      <c r="D252" s="1059">
        <v>0.15</v>
      </c>
      <c r="E252" s="1059">
        <v>0.15</v>
      </c>
      <c r="F252" s="1060">
        <v>0.1</v>
      </c>
    </row>
    <row r="253" spans="1:6" ht="14.25" thickBot="1">
      <c r="A253" s="838" t="s">
        <v>530</v>
      </c>
      <c r="B253" s="832" t="s">
        <v>278</v>
      </c>
      <c r="C253" s="1059">
        <v>0.15</v>
      </c>
      <c r="D253" s="1059">
        <v>0.15</v>
      </c>
      <c r="E253" s="1059">
        <v>0.15</v>
      </c>
      <c r="F253" s="1060">
        <v>0.1</v>
      </c>
    </row>
    <row r="254" spans="1:6" ht="14.25" thickBot="1">
      <c r="A254" s="838" t="s">
        <v>530</v>
      </c>
      <c r="B254" s="832" t="s">
        <v>288</v>
      </c>
      <c r="C254" s="1072"/>
      <c r="D254" s="1072"/>
      <c r="E254" s="1072"/>
      <c r="F254" s="1060">
        <v>0.15</v>
      </c>
    </row>
    <row r="255" spans="1:6" ht="14.25" thickBot="1">
      <c r="A255" s="838" t="s">
        <v>530</v>
      </c>
      <c r="B255" s="832" t="s">
        <v>298</v>
      </c>
      <c r="C255" s="1072"/>
      <c r="D255" s="1072"/>
      <c r="E255" s="1072"/>
      <c r="F255" s="1060">
        <v>0.14299999999999999</v>
      </c>
    </row>
    <row r="256" spans="1:6" ht="14.25" thickBot="1">
      <c r="A256" s="838" t="s">
        <v>530</v>
      </c>
      <c r="B256" s="832" t="s">
        <v>971</v>
      </c>
      <c r="C256" s="1059">
        <v>0.14599999999999999</v>
      </c>
      <c r="D256" s="1059">
        <v>0.14699999999999999</v>
      </c>
      <c r="E256" s="1059">
        <v>0.15</v>
      </c>
      <c r="F256" s="1060">
        <v>0.13200000000000001</v>
      </c>
    </row>
    <row r="257" spans="1:6" ht="14.25" thickBot="1">
      <c r="A257" s="838" t="s">
        <v>530</v>
      </c>
      <c r="B257" s="832" t="s">
        <v>318</v>
      </c>
      <c r="C257" s="1059">
        <v>0.15</v>
      </c>
      <c r="D257" s="1059">
        <v>0.15</v>
      </c>
      <c r="E257" s="1059">
        <v>0.15</v>
      </c>
      <c r="F257" s="1060">
        <v>0.13900000000000001</v>
      </c>
    </row>
    <row r="258" spans="1:6" ht="14.25" thickBot="1">
      <c r="A258" s="838" t="s">
        <v>530</v>
      </c>
      <c r="B258" s="832" t="s">
        <v>329</v>
      </c>
      <c r="C258" s="1059">
        <v>0.15</v>
      </c>
      <c r="D258" s="1059">
        <v>0.15</v>
      </c>
      <c r="E258" s="1059">
        <v>0.15</v>
      </c>
      <c r="F258" s="1060">
        <v>0.13</v>
      </c>
    </row>
    <row r="259" spans="1:6" ht="14.25" thickBot="1">
      <c r="A259" s="838" t="s">
        <v>530</v>
      </c>
      <c r="B259" s="832" t="s">
        <v>972</v>
      </c>
      <c r="C259" s="1059">
        <v>0.14799999999999999</v>
      </c>
      <c r="D259" s="1059">
        <v>0.14899999999999999</v>
      </c>
      <c r="E259" s="1059">
        <v>0.15</v>
      </c>
      <c r="F259" s="1060">
        <v>0.13700000000000001</v>
      </c>
    </row>
    <row r="260" spans="1:6" ht="14.25" thickBot="1">
      <c r="A260" s="838" t="s">
        <v>530</v>
      </c>
      <c r="B260" s="832" t="s">
        <v>350</v>
      </c>
      <c r="C260" s="1059">
        <v>0.15</v>
      </c>
      <c r="D260" s="1059">
        <v>0.15</v>
      </c>
      <c r="E260" s="1059">
        <v>0.15</v>
      </c>
      <c r="F260" s="1060">
        <v>0.14199999999999999</v>
      </c>
    </row>
    <row r="261" spans="1:6" ht="14.25" thickBot="1">
      <c r="A261" s="838" t="s">
        <v>530</v>
      </c>
      <c r="B261" s="832" t="s">
        <v>360</v>
      </c>
      <c r="C261" s="1059">
        <v>0.15</v>
      </c>
      <c r="D261" s="1059">
        <v>0.15</v>
      </c>
      <c r="E261" s="1059">
        <v>0.14899999999999999</v>
      </c>
      <c r="F261" s="1060">
        <v>0.14799999999999999</v>
      </c>
    </row>
    <row r="262" spans="1:6" ht="14.25" thickBot="1">
      <c r="A262" s="838" t="s">
        <v>530</v>
      </c>
      <c r="B262" s="832" t="s">
        <v>370</v>
      </c>
      <c r="C262" s="1059">
        <v>0.15</v>
      </c>
      <c r="D262" s="1059">
        <v>0.15</v>
      </c>
      <c r="E262" s="1059">
        <v>0.15</v>
      </c>
      <c r="F262" s="1071"/>
    </row>
    <row r="263" spans="1:6" ht="14.25" thickBot="1">
      <c r="A263" s="838" t="s">
        <v>530</v>
      </c>
      <c r="B263" s="832" t="s">
        <v>973</v>
      </c>
      <c r="C263" s="1059">
        <v>0.14899999999999999</v>
      </c>
      <c r="D263" s="1059">
        <v>0.14899999999999999</v>
      </c>
      <c r="E263" s="1059">
        <v>0.15</v>
      </c>
      <c r="F263" s="1060">
        <v>0.13</v>
      </c>
    </row>
    <row r="264" spans="1:6" ht="14.25" thickBot="1">
      <c r="A264" s="838" t="s">
        <v>530</v>
      </c>
      <c r="B264" s="832" t="s">
        <v>389</v>
      </c>
      <c r="C264" s="1059">
        <v>0.14799999999999999</v>
      </c>
      <c r="D264" s="1059">
        <v>0.14699999999999999</v>
      </c>
      <c r="E264" s="1059">
        <v>0.15</v>
      </c>
      <c r="F264" s="1060">
        <v>7.8E-2</v>
      </c>
    </row>
    <row r="265" spans="1:6" ht="14.25" thickBot="1">
      <c r="A265" s="838" t="s">
        <v>530</v>
      </c>
      <c r="B265" s="832" t="s">
        <v>398</v>
      </c>
      <c r="C265" s="1059">
        <v>0.15</v>
      </c>
      <c r="D265" s="1059">
        <v>0.15</v>
      </c>
      <c r="E265" s="1059">
        <v>0.15</v>
      </c>
      <c r="F265" s="1060">
        <v>7.3999999999999996E-2</v>
      </c>
    </row>
    <row r="266" spans="1:6" ht="14.25" thickBot="1">
      <c r="A266" s="838" t="s">
        <v>530</v>
      </c>
      <c r="B266" s="832" t="s">
        <v>406</v>
      </c>
      <c r="C266" s="1059">
        <v>0.14699999999999999</v>
      </c>
      <c r="D266" s="1059">
        <v>0.14699999999999999</v>
      </c>
      <c r="E266" s="1059">
        <v>0.15</v>
      </c>
      <c r="F266" s="1060">
        <v>0.14299999999999999</v>
      </c>
    </row>
    <row r="267" spans="1:6" ht="14.25" thickBot="1">
      <c r="A267" s="838" t="s">
        <v>530</v>
      </c>
      <c r="B267" s="832" t="s">
        <v>413</v>
      </c>
      <c r="C267" s="1059">
        <v>0.14199999999999999</v>
      </c>
      <c r="D267" s="1059">
        <v>0.14299999999999999</v>
      </c>
      <c r="E267" s="1059">
        <v>0.15</v>
      </c>
      <c r="F267" s="1071"/>
    </row>
    <row r="268" spans="1:6" ht="14.25" thickBot="1">
      <c r="A268" s="838" t="s">
        <v>530</v>
      </c>
      <c r="B268" s="832" t="s">
        <v>974</v>
      </c>
      <c r="C268" s="1059">
        <v>0.15</v>
      </c>
      <c r="D268" s="1059">
        <v>0.15</v>
      </c>
      <c r="E268" s="1059">
        <v>0.15</v>
      </c>
      <c r="F268" s="1060">
        <v>0.13</v>
      </c>
    </row>
    <row r="269" spans="1:6" ht="14.25" thickBot="1">
      <c r="A269" s="838" t="s">
        <v>530</v>
      </c>
      <c r="B269" s="832" t="s">
        <v>427</v>
      </c>
      <c r="C269" s="1059">
        <v>0.15</v>
      </c>
      <c r="D269" s="1059">
        <v>0.15</v>
      </c>
      <c r="E269" s="1059">
        <v>0.15</v>
      </c>
      <c r="F269" s="1060">
        <v>0.14299999999999999</v>
      </c>
    </row>
    <row r="270" spans="1:6" ht="14.25" thickBot="1">
      <c r="A270" s="838" t="s">
        <v>530</v>
      </c>
      <c r="B270" s="832" t="s">
        <v>434</v>
      </c>
      <c r="C270" s="1059">
        <v>0.14499999999999999</v>
      </c>
      <c r="D270" s="1059">
        <v>0.14499999999999999</v>
      </c>
      <c r="E270" s="1059">
        <v>0.15</v>
      </c>
      <c r="F270" s="1060">
        <v>0.14699999999999999</v>
      </c>
    </row>
    <row r="271" spans="1:6" ht="14.25" thickBot="1">
      <c r="A271" s="838" t="s">
        <v>530</v>
      </c>
      <c r="B271" s="832" t="s">
        <v>441</v>
      </c>
      <c r="C271" s="1059">
        <v>0.15</v>
      </c>
      <c r="D271" s="1059">
        <v>0.15</v>
      </c>
      <c r="E271" s="1059">
        <v>0.15</v>
      </c>
      <c r="F271" s="1060">
        <v>0.13800000000000001</v>
      </c>
    </row>
    <row r="272" spans="1:6" ht="14.25" thickBot="1">
      <c r="A272" s="838" t="s">
        <v>530</v>
      </c>
      <c r="B272" s="832" t="s">
        <v>448</v>
      </c>
      <c r="C272" s="1072"/>
      <c r="D272" s="1072"/>
      <c r="E272" s="1072"/>
      <c r="F272" s="1060">
        <v>0.14000000000000001</v>
      </c>
    </row>
    <row r="273" spans="1:6" ht="14.25" thickBot="1">
      <c r="A273" s="838" t="s">
        <v>530</v>
      </c>
      <c r="B273" s="832" t="s">
        <v>975</v>
      </c>
      <c r="C273" s="1059">
        <v>0.14199999999999999</v>
      </c>
      <c r="D273" s="1059">
        <v>0.14299999999999999</v>
      </c>
      <c r="E273" s="1059">
        <v>0.15</v>
      </c>
      <c r="F273" s="1060">
        <v>0.1</v>
      </c>
    </row>
    <row r="274" spans="1:6" ht="14.25" thickBot="1">
      <c r="A274" s="838" t="s">
        <v>530</v>
      </c>
      <c r="B274" s="832" t="s">
        <v>976</v>
      </c>
      <c r="C274" s="1059">
        <v>0.14799999999999999</v>
      </c>
      <c r="D274" s="1059">
        <v>0.14799999999999999</v>
      </c>
      <c r="E274" s="1059">
        <v>0.15</v>
      </c>
      <c r="F274" s="1060">
        <v>6.7000000000000004E-2</v>
      </c>
    </row>
    <row r="275" spans="1:6" ht="14.25" thickBot="1">
      <c r="A275" s="838" t="s">
        <v>530</v>
      </c>
      <c r="B275" s="832" t="s">
        <v>977</v>
      </c>
      <c r="C275" s="1059">
        <v>0.15</v>
      </c>
      <c r="D275" s="1059">
        <v>0.15</v>
      </c>
      <c r="E275" s="1059">
        <v>0.15</v>
      </c>
      <c r="F275" s="1060">
        <v>0.15</v>
      </c>
    </row>
    <row r="276" spans="1:6" ht="14.25" thickBot="1">
      <c r="A276" s="838" t="s">
        <v>530</v>
      </c>
      <c r="B276" s="832" t="s">
        <v>978</v>
      </c>
      <c r="C276" s="1059">
        <v>0.14499999999999999</v>
      </c>
      <c r="D276" s="1059">
        <v>0.14299999999999999</v>
      </c>
      <c r="E276" s="1059">
        <v>0.15</v>
      </c>
      <c r="F276" s="1060">
        <v>5.8999999999999997E-2</v>
      </c>
    </row>
    <row r="277" spans="1:6" ht="14.25" thickBot="1">
      <c r="A277" s="838" t="s">
        <v>530</v>
      </c>
      <c r="B277" s="832" t="s">
        <v>979</v>
      </c>
      <c r="C277" s="1059">
        <v>0.15</v>
      </c>
      <c r="D277" s="1059">
        <v>0.15</v>
      </c>
      <c r="E277" s="1059">
        <v>0.15</v>
      </c>
      <c r="F277" s="1060">
        <v>0.121</v>
      </c>
    </row>
    <row r="278" spans="1:6" ht="14.25" thickBot="1">
      <c r="A278" s="838" t="s">
        <v>530</v>
      </c>
      <c r="B278" s="832" t="s">
        <v>980</v>
      </c>
      <c r="C278" s="1059">
        <v>0.15</v>
      </c>
      <c r="D278" s="1059">
        <v>0.15</v>
      </c>
      <c r="E278" s="1059">
        <v>0.15</v>
      </c>
      <c r="F278" s="1060">
        <v>0.13800000000000001</v>
      </c>
    </row>
    <row r="279" spans="1:6" ht="24.75" thickBot="1">
      <c r="A279" s="838" t="s">
        <v>530</v>
      </c>
      <c r="B279" s="832" t="s">
        <v>981</v>
      </c>
      <c r="C279" s="1072"/>
      <c r="D279" s="1072"/>
      <c r="E279" s="1072"/>
      <c r="F279" s="1060">
        <v>0.05</v>
      </c>
    </row>
    <row r="280" spans="1:6" ht="24.75" thickBot="1">
      <c r="A280" s="838" t="s">
        <v>530</v>
      </c>
      <c r="B280" s="832" t="s">
        <v>982</v>
      </c>
      <c r="C280" s="1072"/>
      <c r="D280" s="1072"/>
      <c r="E280" s="1072"/>
      <c r="F280" s="1060">
        <v>0.05</v>
      </c>
    </row>
    <row r="281" spans="1:6" ht="24.75" thickBot="1">
      <c r="A281" s="838" t="s">
        <v>530</v>
      </c>
      <c r="B281" s="832" t="s">
        <v>983</v>
      </c>
      <c r="C281" s="1072"/>
      <c r="D281" s="1072"/>
      <c r="E281" s="1072"/>
      <c r="F281" s="1060">
        <v>0.05</v>
      </c>
    </row>
    <row r="282" spans="1:6" ht="24.75" thickBot="1">
      <c r="A282" s="838" t="s">
        <v>530</v>
      </c>
      <c r="B282" s="832" t="s">
        <v>984</v>
      </c>
      <c r="C282" s="1072"/>
      <c r="D282" s="1072"/>
      <c r="E282" s="1072"/>
      <c r="F282" s="1060">
        <v>0.05</v>
      </c>
    </row>
    <row r="283" spans="1:6" ht="24.75" thickBot="1">
      <c r="A283" s="838" t="s">
        <v>530</v>
      </c>
      <c r="B283" s="832" t="s">
        <v>985</v>
      </c>
      <c r="C283" s="1072"/>
      <c r="D283" s="1072"/>
      <c r="E283" s="1072"/>
      <c r="F283" s="1060">
        <v>0.05</v>
      </c>
    </row>
    <row r="284" spans="1:6" ht="24.75" thickBot="1">
      <c r="A284" s="838" t="s">
        <v>530</v>
      </c>
      <c r="B284" s="832" t="s">
        <v>986</v>
      </c>
      <c r="C284" s="1072"/>
      <c r="D284" s="1072"/>
      <c r="E284" s="1072"/>
      <c r="F284" s="1060">
        <v>0.05</v>
      </c>
    </row>
    <row r="285" spans="1:6" ht="24.75" thickBot="1">
      <c r="A285" s="838" t="s">
        <v>530</v>
      </c>
      <c r="B285" s="832" t="s">
        <v>987</v>
      </c>
      <c r="C285" s="1072"/>
      <c r="D285" s="1072"/>
      <c r="E285" s="1072"/>
      <c r="F285" s="1060">
        <v>0.05</v>
      </c>
    </row>
    <row r="286" spans="1:6" ht="24.75" thickBot="1">
      <c r="A286" s="838" t="s">
        <v>530</v>
      </c>
      <c r="B286" s="832" t="s">
        <v>988</v>
      </c>
      <c r="C286" s="1072"/>
      <c r="D286" s="1072"/>
      <c r="E286" s="1072"/>
      <c r="F286" s="1060">
        <v>0.05</v>
      </c>
    </row>
    <row r="287" spans="1:6" ht="24.75" thickBot="1">
      <c r="A287" s="838" t="s">
        <v>530</v>
      </c>
      <c r="B287" s="832" t="s">
        <v>989</v>
      </c>
      <c r="C287" s="1072"/>
      <c r="D287" s="1072"/>
      <c r="E287" s="1072"/>
      <c r="F287" s="1060">
        <v>0.05</v>
      </c>
    </row>
    <row r="288" spans="1:6" ht="24.75" thickBot="1">
      <c r="A288" s="838" t="s">
        <v>530</v>
      </c>
      <c r="B288" s="832" t="s">
        <v>990</v>
      </c>
      <c r="C288" s="1072"/>
      <c r="D288" s="1072"/>
      <c r="E288" s="1072"/>
      <c r="F288" s="1060">
        <v>0.05</v>
      </c>
    </row>
    <row r="289" spans="1:6" ht="24.75" thickBot="1">
      <c r="A289" s="848" t="s">
        <v>530</v>
      </c>
      <c r="B289" s="844" t="s">
        <v>991</v>
      </c>
      <c r="C289" s="1069"/>
      <c r="D289" s="1069"/>
      <c r="E289" s="1069"/>
      <c r="F289" s="1062">
        <v>0.05</v>
      </c>
    </row>
    <row r="290" spans="1:6" ht="14.25" thickBot="1">
      <c r="A290" s="838" t="s">
        <v>534</v>
      </c>
      <c r="B290" s="839" t="s">
        <v>992</v>
      </c>
      <c r="C290" s="1057">
        <v>0.15</v>
      </c>
      <c r="D290" s="1057">
        <v>0.15</v>
      </c>
      <c r="E290" s="1057">
        <v>0.15</v>
      </c>
      <c r="F290" s="1074"/>
    </row>
    <row r="291" spans="1:6" ht="14.25" thickBot="1">
      <c r="A291" s="838" t="s">
        <v>534</v>
      </c>
      <c r="B291" s="832" t="s">
        <v>196</v>
      </c>
      <c r="C291" s="1059">
        <v>0.15</v>
      </c>
      <c r="D291" s="1059">
        <v>0.15</v>
      </c>
      <c r="E291" s="1059">
        <v>0.15</v>
      </c>
      <c r="F291" s="1071"/>
    </row>
    <row r="292" spans="1:6" ht="14.25" thickBot="1">
      <c r="A292" s="838" t="s">
        <v>534</v>
      </c>
      <c r="B292" s="832" t="s">
        <v>993</v>
      </c>
      <c r="C292" s="1059">
        <v>0.15</v>
      </c>
      <c r="D292" s="1059">
        <v>0.15</v>
      </c>
      <c r="E292" s="1059">
        <v>0.15</v>
      </c>
      <c r="F292" s="1060">
        <v>0.14699999999999999</v>
      </c>
    </row>
    <row r="293" spans="1:6" ht="14.25" thickBot="1">
      <c r="A293" s="838" t="s">
        <v>534</v>
      </c>
      <c r="B293" s="832" t="s">
        <v>994</v>
      </c>
      <c r="C293" s="1072"/>
      <c r="D293" s="1072"/>
      <c r="E293" s="1072"/>
      <c r="F293" s="1060">
        <v>0.1</v>
      </c>
    </row>
    <row r="294" spans="1:6" ht="14.25" thickBot="1">
      <c r="A294" s="838" t="s">
        <v>534</v>
      </c>
      <c r="B294" s="832" t="s">
        <v>995</v>
      </c>
      <c r="C294" s="1059">
        <v>0.15</v>
      </c>
      <c r="D294" s="1059">
        <v>0.15</v>
      </c>
      <c r="E294" s="1059">
        <v>0.15</v>
      </c>
      <c r="F294" s="1060">
        <v>0.15</v>
      </c>
    </row>
    <row r="295" spans="1:6" ht="14.25" thickBot="1">
      <c r="A295" s="838" t="s">
        <v>534</v>
      </c>
      <c r="B295" s="832" t="s">
        <v>234</v>
      </c>
      <c r="C295" s="1059">
        <v>0.15</v>
      </c>
      <c r="D295" s="1059">
        <v>0.15</v>
      </c>
      <c r="E295" s="1059">
        <v>0.15</v>
      </c>
      <c r="F295" s="1060">
        <v>0.15</v>
      </c>
    </row>
    <row r="296" spans="1:6" ht="14.25" thickBot="1">
      <c r="A296" s="838" t="s">
        <v>534</v>
      </c>
      <c r="B296" s="832" t="s">
        <v>996</v>
      </c>
      <c r="C296" s="1059">
        <v>0.15</v>
      </c>
      <c r="D296" s="1059">
        <v>0.15</v>
      </c>
      <c r="E296" s="1059">
        <v>0.15</v>
      </c>
      <c r="F296" s="1060">
        <v>0.15</v>
      </c>
    </row>
    <row r="297" spans="1:6" ht="14.25" thickBot="1">
      <c r="A297" s="838" t="s">
        <v>534</v>
      </c>
      <c r="B297" s="832" t="s">
        <v>997</v>
      </c>
      <c r="C297" s="1059">
        <v>0.14799999999999999</v>
      </c>
      <c r="D297" s="1059">
        <v>0.14899999999999999</v>
      </c>
      <c r="E297" s="1059">
        <v>0.15</v>
      </c>
      <c r="F297" s="1060">
        <v>0.13700000000000001</v>
      </c>
    </row>
    <row r="298" spans="1:6" ht="14.25" thickBot="1">
      <c r="A298" s="838" t="s">
        <v>534</v>
      </c>
      <c r="B298" s="832" t="s">
        <v>267</v>
      </c>
      <c r="C298" s="1059">
        <v>0.13400000000000001</v>
      </c>
      <c r="D298" s="1059">
        <v>0.13400000000000001</v>
      </c>
      <c r="E298" s="1059">
        <v>0.14499999999999999</v>
      </c>
      <c r="F298" s="1060">
        <v>0.14799999999999999</v>
      </c>
    </row>
    <row r="299" spans="1:6" ht="14.25" thickBot="1">
      <c r="A299" s="838" t="s">
        <v>534</v>
      </c>
      <c r="B299" s="832" t="s">
        <v>279</v>
      </c>
      <c r="C299" s="1059">
        <v>0.15</v>
      </c>
      <c r="D299" s="1059">
        <v>0.15</v>
      </c>
      <c r="E299" s="1059">
        <v>0.15</v>
      </c>
      <c r="F299" s="1071"/>
    </row>
    <row r="300" spans="1:6" ht="14.25" thickBot="1">
      <c r="A300" s="838" t="s">
        <v>534</v>
      </c>
      <c r="B300" s="832" t="s">
        <v>998</v>
      </c>
      <c r="C300" s="1059">
        <v>0.15</v>
      </c>
      <c r="D300" s="1059">
        <v>0.15</v>
      </c>
      <c r="E300" s="1059">
        <v>0.15</v>
      </c>
      <c r="F300" s="1060">
        <v>0.15</v>
      </c>
    </row>
    <row r="301" spans="1:6" ht="14.25" thickBot="1">
      <c r="A301" s="838" t="s">
        <v>534</v>
      </c>
      <c r="B301" s="832" t="s">
        <v>299</v>
      </c>
      <c r="C301" s="1059">
        <v>0.15</v>
      </c>
      <c r="D301" s="1059">
        <v>0.15</v>
      </c>
      <c r="E301" s="1059">
        <v>0.15</v>
      </c>
      <c r="F301" s="1071"/>
    </row>
    <row r="302" spans="1:6" ht="14.25" thickBot="1">
      <c r="A302" s="838" t="s">
        <v>534</v>
      </c>
      <c r="B302" s="832" t="s">
        <v>999</v>
      </c>
      <c r="C302" s="1059">
        <v>0.15</v>
      </c>
      <c r="D302" s="1059">
        <v>0.15</v>
      </c>
      <c r="E302" s="1059">
        <v>0.15</v>
      </c>
      <c r="F302" s="1060">
        <v>0.15</v>
      </c>
    </row>
    <row r="303" spans="1:6" ht="14.25" thickBot="1">
      <c r="A303" s="838" t="s">
        <v>534</v>
      </c>
      <c r="B303" s="832" t="s">
        <v>319</v>
      </c>
      <c r="C303" s="1059">
        <v>0.15</v>
      </c>
      <c r="D303" s="1059">
        <v>0.15</v>
      </c>
      <c r="E303" s="1059">
        <v>0.15</v>
      </c>
      <c r="F303" s="1060">
        <v>0.15</v>
      </c>
    </row>
    <row r="304" spans="1:6" ht="14.25" thickBot="1">
      <c r="A304" s="838" t="s">
        <v>534</v>
      </c>
      <c r="B304" s="832" t="s">
        <v>330</v>
      </c>
      <c r="C304" s="1059">
        <v>0.15</v>
      </c>
      <c r="D304" s="1059">
        <v>0.15</v>
      </c>
      <c r="E304" s="1059">
        <v>0.15</v>
      </c>
      <c r="F304" s="1071"/>
    </row>
    <row r="305" spans="1:6" ht="14.25" thickBot="1">
      <c r="A305" s="838" t="s">
        <v>534</v>
      </c>
      <c r="B305" s="832" t="s">
        <v>1000</v>
      </c>
      <c r="C305" s="1059">
        <v>0.15</v>
      </c>
      <c r="D305" s="1059">
        <v>0.15</v>
      </c>
      <c r="E305" s="1059">
        <v>0.15</v>
      </c>
      <c r="F305" s="1060">
        <v>0.14000000000000001</v>
      </c>
    </row>
    <row r="306" spans="1:6" ht="14.25" thickBot="1">
      <c r="A306" s="838" t="s">
        <v>534</v>
      </c>
      <c r="B306" s="832" t="s">
        <v>351</v>
      </c>
      <c r="C306" s="1059">
        <v>0.15</v>
      </c>
      <c r="D306" s="1059">
        <v>0.15</v>
      </c>
      <c r="E306" s="1059">
        <v>0.15</v>
      </c>
      <c r="F306" s="1071"/>
    </row>
    <row r="307" spans="1:6" ht="14.25" thickBot="1">
      <c r="A307" s="838" t="s">
        <v>534</v>
      </c>
      <c r="B307" s="832" t="s">
        <v>1001</v>
      </c>
      <c r="C307" s="1059">
        <v>0.15</v>
      </c>
      <c r="D307" s="1059">
        <v>0.15</v>
      </c>
      <c r="E307" s="1059">
        <v>0.15</v>
      </c>
      <c r="F307" s="1060">
        <v>0.14299999999999999</v>
      </c>
    </row>
    <row r="308" spans="1:6" ht="14.25" thickBot="1">
      <c r="A308" s="838" t="s">
        <v>534</v>
      </c>
      <c r="B308" s="832" t="s">
        <v>371</v>
      </c>
      <c r="C308" s="1059">
        <v>0.15</v>
      </c>
      <c r="D308" s="1059">
        <v>0.15</v>
      </c>
      <c r="E308" s="1059">
        <v>0.15</v>
      </c>
      <c r="F308" s="1060">
        <v>0.15</v>
      </c>
    </row>
    <row r="309" spans="1:6" ht="14.25" thickBot="1">
      <c r="A309" s="838" t="s">
        <v>534</v>
      </c>
      <c r="B309" s="832" t="s">
        <v>381</v>
      </c>
      <c r="C309" s="1059">
        <v>0.15</v>
      </c>
      <c r="D309" s="1059">
        <v>0.15</v>
      </c>
      <c r="E309" s="1059">
        <v>0.15</v>
      </c>
      <c r="F309" s="1071"/>
    </row>
    <row r="310" spans="1:6" ht="14.25" thickBot="1">
      <c r="A310" s="838" t="s">
        <v>534</v>
      </c>
      <c r="B310" s="832" t="s">
        <v>1002</v>
      </c>
      <c r="C310" s="1059">
        <v>0.15</v>
      </c>
      <c r="D310" s="1059">
        <v>0.15</v>
      </c>
      <c r="E310" s="1059">
        <v>0.15</v>
      </c>
      <c r="F310" s="1060">
        <v>0.13700000000000001</v>
      </c>
    </row>
    <row r="311" spans="1:6" ht="14.25" thickBot="1">
      <c r="A311" s="838" t="s">
        <v>534</v>
      </c>
      <c r="B311" s="832" t="s">
        <v>1003</v>
      </c>
      <c r="C311" s="1059">
        <v>0.15</v>
      </c>
      <c r="D311" s="1059">
        <v>0.15</v>
      </c>
      <c r="E311" s="1059">
        <v>0.15</v>
      </c>
      <c r="F311" s="1060">
        <v>0.15</v>
      </c>
    </row>
    <row r="312" spans="1:6" ht="14.25" thickBot="1">
      <c r="A312" s="838" t="s">
        <v>534</v>
      </c>
      <c r="B312" s="832" t="s">
        <v>407</v>
      </c>
      <c r="C312" s="1059">
        <v>0.15</v>
      </c>
      <c r="D312" s="1059">
        <v>0.15</v>
      </c>
      <c r="E312" s="1059">
        <v>0.15</v>
      </c>
      <c r="F312" s="1060">
        <v>0.1</v>
      </c>
    </row>
    <row r="313" spans="1:6" ht="14.25" thickBot="1">
      <c r="A313" s="838" t="s">
        <v>534</v>
      </c>
      <c r="B313" s="832" t="s">
        <v>1004</v>
      </c>
      <c r="C313" s="1059">
        <v>0.15</v>
      </c>
      <c r="D313" s="1059">
        <v>0.15</v>
      </c>
      <c r="E313" s="1059">
        <v>0.15</v>
      </c>
      <c r="F313" s="1060">
        <v>0.15</v>
      </c>
    </row>
    <row r="314" spans="1:6" ht="24.75" thickBot="1">
      <c r="A314" s="838" t="s">
        <v>534</v>
      </c>
      <c r="B314" s="832" t="s">
        <v>1005</v>
      </c>
      <c r="C314" s="1072"/>
      <c r="D314" s="1072"/>
      <c r="E314" s="1072"/>
      <c r="F314" s="1060">
        <v>0.05</v>
      </c>
    </row>
    <row r="315" spans="1:6" ht="24.75" thickBot="1">
      <c r="A315" s="838" t="s">
        <v>534</v>
      </c>
      <c r="B315" s="832" t="s">
        <v>1006</v>
      </c>
      <c r="C315" s="1072"/>
      <c r="D315" s="1072"/>
      <c r="E315" s="1072"/>
      <c r="F315" s="1060">
        <v>0.05</v>
      </c>
    </row>
    <row r="316" spans="1:6" ht="24.75" thickBot="1">
      <c r="A316" s="848" t="s">
        <v>534</v>
      </c>
      <c r="B316" s="844" t="s">
        <v>1007</v>
      </c>
      <c r="C316" s="1069"/>
      <c r="D316" s="1069"/>
      <c r="E316" s="1069"/>
      <c r="F316" s="1062">
        <v>0.05</v>
      </c>
    </row>
    <row r="317" spans="1:6" ht="14.25" thickBot="1">
      <c r="A317" s="838" t="s">
        <v>1008</v>
      </c>
      <c r="B317" s="839" t="s">
        <v>1009</v>
      </c>
      <c r="C317" s="1057">
        <v>0.15</v>
      </c>
      <c r="D317" s="1057">
        <v>0.15</v>
      </c>
      <c r="E317" s="1057">
        <v>0.15</v>
      </c>
      <c r="F317" s="1058">
        <v>0.15</v>
      </c>
    </row>
    <row r="318" spans="1:6" ht="14.25" thickBot="1">
      <c r="A318" s="838" t="s">
        <v>1008</v>
      </c>
      <c r="B318" s="832" t="s">
        <v>1010</v>
      </c>
      <c r="C318" s="1059">
        <v>0.107</v>
      </c>
      <c r="D318" s="1059">
        <v>0.11</v>
      </c>
      <c r="E318" s="1059">
        <v>0.112</v>
      </c>
      <c r="F318" s="1071"/>
    </row>
    <row r="319" spans="1:6" ht="14.25" thickBot="1">
      <c r="A319" s="838" t="s">
        <v>1008</v>
      </c>
      <c r="B319" s="832" t="s">
        <v>1011</v>
      </c>
      <c r="C319" s="1059">
        <v>0.15</v>
      </c>
      <c r="D319" s="1059">
        <v>0.15</v>
      </c>
      <c r="E319" s="1059">
        <v>0.15</v>
      </c>
      <c r="F319" s="1060">
        <v>0.15</v>
      </c>
    </row>
    <row r="320" spans="1:6" ht="14.25" thickBot="1">
      <c r="A320" s="838" t="s">
        <v>1008</v>
      </c>
      <c r="B320" s="832" t="s">
        <v>223</v>
      </c>
      <c r="C320" s="1059">
        <v>0.15</v>
      </c>
      <c r="D320" s="1059">
        <v>0.15</v>
      </c>
      <c r="E320" s="1059">
        <v>0.15</v>
      </c>
      <c r="F320" s="1071"/>
    </row>
    <row r="321" spans="1:6" ht="14.25" thickBot="1">
      <c r="A321" s="838" t="s">
        <v>1008</v>
      </c>
      <c r="B321" s="832" t="s">
        <v>1012</v>
      </c>
      <c r="C321" s="1059">
        <v>0.15</v>
      </c>
      <c r="D321" s="1059">
        <v>0.15</v>
      </c>
      <c r="E321" s="1059">
        <v>0.15</v>
      </c>
      <c r="F321" s="1071"/>
    </row>
    <row r="322" spans="1:6" ht="14.25" thickBot="1">
      <c r="A322" s="838" t="s">
        <v>1008</v>
      </c>
      <c r="B322" s="832" t="s">
        <v>1013</v>
      </c>
      <c r="C322" s="1059">
        <v>0.15</v>
      </c>
      <c r="D322" s="1059">
        <v>0.15</v>
      </c>
      <c r="E322" s="1059">
        <v>0.15</v>
      </c>
      <c r="F322" s="1060">
        <v>0.15</v>
      </c>
    </row>
    <row r="323" spans="1:6" ht="14.25" thickBot="1">
      <c r="A323" s="838" t="s">
        <v>1008</v>
      </c>
      <c r="B323" s="832" t="s">
        <v>1014</v>
      </c>
      <c r="C323" s="1059">
        <v>0.15</v>
      </c>
      <c r="D323" s="1059">
        <v>0.15</v>
      </c>
      <c r="E323" s="1059">
        <v>0.15</v>
      </c>
      <c r="F323" s="1071"/>
    </row>
    <row r="324" spans="1:6" ht="14.25" thickBot="1">
      <c r="A324" s="838" t="s">
        <v>1008</v>
      </c>
      <c r="B324" s="832" t="s">
        <v>1015</v>
      </c>
      <c r="C324" s="1059">
        <v>0.15</v>
      </c>
      <c r="D324" s="1059">
        <v>0.15</v>
      </c>
      <c r="E324" s="1059">
        <v>0.15</v>
      </c>
      <c r="F324" s="1071"/>
    </row>
    <row r="325" spans="1:6" ht="14.25" thickBot="1">
      <c r="A325" s="838" t="s">
        <v>1008</v>
      </c>
      <c r="B325" s="832" t="s">
        <v>1016</v>
      </c>
      <c r="C325" s="1059">
        <v>0.15</v>
      </c>
      <c r="D325" s="1059">
        <v>0.15</v>
      </c>
      <c r="E325" s="1059">
        <v>0.15</v>
      </c>
      <c r="F325" s="1060">
        <v>0.14699999999999999</v>
      </c>
    </row>
    <row r="326" spans="1:6" ht="14.25" thickBot="1">
      <c r="A326" s="838" t="s">
        <v>1008</v>
      </c>
      <c r="B326" s="832" t="s">
        <v>290</v>
      </c>
      <c r="C326" s="1059">
        <v>0.15</v>
      </c>
      <c r="D326" s="1059">
        <v>0.15</v>
      </c>
      <c r="E326" s="1059">
        <v>0.15</v>
      </c>
      <c r="F326" s="1071"/>
    </row>
    <row r="327" spans="1:6" ht="14.25" thickBot="1">
      <c r="A327" s="838" t="s">
        <v>1008</v>
      </c>
      <c r="B327" s="832" t="s">
        <v>1017</v>
      </c>
      <c r="C327" s="1059">
        <v>0.15</v>
      </c>
      <c r="D327" s="1059">
        <v>0.15</v>
      </c>
      <c r="E327" s="1059">
        <v>0.15</v>
      </c>
      <c r="F327" s="1060">
        <v>0.15</v>
      </c>
    </row>
    <row r="328" spans="1:6" ht="14.25" thickBot="1">
      <c r="A328" s="838" t="s">
        <v>1008</v>
      </c>
      <c r="B328" s="832" t="s">
        <v>310</v>
      </c>
      <c r="C328" s="1059">
        <v>0.15</v>
      </c>
      <c r="D328" s="1059">
        <v>0.15</v>
      </c>
      <c r="E328" s="1059">
        <v>0.15</v>
      </c>
      <c r="F328" s="1060">
        <v>0.14099999999999999</v>
      </c>
    </row>
    <row r="329" spans="1:6" ht="14.25" thickBot="1">
      <c r="A329" s="838" t="s">
        <v>1008</v>
      </c>
      <c r="B329" s="832" t="s">
        <v>320</v>
      </c>
      <c r="C329" s="1059">
        <v>0.15</v>
      </c>
      <c r="D329" s="1059">
        <v>0.15</v>
      </c>
      <c r="E329" s="1059">
        <v>0.15</v>
      </c>
      <c r="F329" s="1060">
        <v>0.15</v>
      </c>
    </row>
    <row r="330" spans="1:6" ht="14.25" thickBot="1">
      <c r="A330" s="838" t="s">
        <v>1008</v>
      </c>
      <c r="B330" s="832" t="s">
        <v>331</v>
      </c>
      <c r="C330" s="1059">
        <v>0.15</v>
      </c>
      <c r="D330" s="1059">
        <v>0.15</v>
      </c>
      <c r="E330" s="1059">
        <v>0.15</v>
      </c>
      <c r="F330" s="1071"/>
    </row>
    <row r="331" spans="1:6" ht="14.25" thickBot="1">
      <c r="A331" s="838" t="s">
        <v>1008</v>
      </c>
      <c r="B331" s="832" t="s">
        <v>1018</v>
      </c>
      <c r="C331" s="1059">
        <v>0.15</v>
      </c>
      <c r="D331" s="1059">
        <v>0.15</v>
      </c>
      <c r="E331" s="1059">
        <v>0.15</v>
      </c>
      <c r="F331" s="1060">
        <v>0.15</v>
      </c>
    </row>
    <row r="332" spans="1:6" ht="14.25" thickBot="1">
      <c r="A332" s="838" t="s">
        <v>1008</v>
      </c>
      <c r="B332" s="832" t="s">
        <v>352</v>
      </c>
      <c r="C332" s="1059">
        <v>0.15</v>
      </c>
      <c r="D332" s="1059">
        <v>0.15</v>
      </c>
      <c r="E332" s="1059">
        <v>0.15</v>
      </c>
      <c r="F332" s="1060">
        <v>0.15</v>
      </c>
    </row>
    <row r="333" spans="1:6" ht="14.25" thickBot="1">
      <c r="A333" s="838" t="s">
        <v>1008</v>
      </c>
      <c r="B333" s="832" t="s">
        <v>1019</v>
      </c>
      <c r="C333" s="1059">
        <v>0.15</v>
      </c>
      <c r="D333" s="1059">
        <v>0.15</v>
      </c>
      <c r="E333" s="1059">
        <v>0.15</v>
      </c>
      <c r="F333" s="1060">
        <v>0.14099999999999999</v>
      </c>
    </row>
    <row r="334" spans="1:6" ht="14.25" thickBot="1">
      <c r="A334" s="838" t="s">
        <v>1008</v>
      </c>
      <c r="B334" s="832" t="s">
        <v>372</v>
      </c>
      <c r="C334" s="1059">
        <v>0.15</v>
      </c>
      <c r="D334" s="1059">
        <v>0.15</v>
      </c>
      <c r="E334" s="1059">
        <v>0.15</v>
      </c>
      <c r="F334" s="1060">
        <v>0.15</v>
      </c>
    </row>
    <row r="335" spans="1:6" ht="14.25" thickBot="1">
      <c r="A335" s="838" t="s">
        <v>1008</v>
      </c>
      <c r="B335" s="832" t="s">
        <v>382</v>
      </c>
      <c r="C335" s="1059">
        <v>0.15</v>
      </c>
      <c r="D335" s="1059">
        <v>0.15</v>
      </c>
      <c r="E335" s="1059">
        <v>0.15</v>
      </c>
      <c r="F335" s="1071"/>
    </row>
    <row r="336" spans="1:6" ht="14.25" thickBot="1">
      <c r="A336" s="838" t="s">
        <v>1008</v>
      </c>
      <c r="B336" s="832" t="s">
        <v>1020</v>
      </c>
      <c r="C336" s="1059">
        <v>0.15</v>
      </c>
      <c r="D336" s="1059">
        <v>0.15</v>
      </c>
      <c r="E336" s="1059">
        <v>0.15</v>
      </c>
      <c r="F336" s="1060">
        <v>0.11799999999999999</v>
      </c>
    </row>
    <row r="337" spans="1:6" ht="14.25" thickBot="1">
      <c r="A337" s="848" t="s">
        <v>1008</v>
      </c>
      <c r="B337" s="844" t="s">
        <v>400</v>
      </c>
      <c r="C337" s="1069"/>
      <c r="D337" s="1069"/>
      <c r="E337" s="1069"/>
      <c r="F337" s="1062">
        <v>0.14299999999999999</v>
      </c>
    </row>
    <row r="338" spans="1:6" ht="14.25" thickBot="1">
      <c r="A338" s="838" t="s">
        <v>1021</v>
      </c>
      <c r="B338" s="839" t="s">
        <v>1022</v>
      </c>
      <c r="C338" s="1057">
        <v>0.15</v>
      </c>
      <c r="D338" s="1057">
        <v>0.15</v>
      </c>
      <c r="E338" s="1057">
        <v>0.15</v>
      </c>
      <c r="F338" s="1074"/>
    </row>
    <row r="339" spans="1:6" ht="14.25" thickBot="1">
      <c r="A339" s="838" t="s">
        <v>1021</v>
      </c>
      <c r="B339" s="832" t="s">
        <v>1023</v>
      </c>
      <c r="C339" s="1059">
        <v>0.15</v>
      </c>
      <c r="D339" s="1059">
        <v>0.15</v>
      </c>
      <c r="E339" s="1059">
        <v>0.15</v>
      </c>
      <c r="F339" s="1071"/>
    </row>
    <row r="340" spans="1:6" ht="14.25" thickBot="1">
      <c r="A340" s="838" t="s">
        <v>1021</v>
      </c>
      <c r="B340" s="832" t="s">
        <v>1024</v>
      </c>
      <c r="C340" s="1059">
        <v>0.15</v>
      </c>
      <c r="D340" s="1059">
        <v>0.15</v>
      </c>
      <c r="E340" s="1059">
        <v>0.15</v>
      </c>
      <c r="F340" s="1071"/>
    </row>
    <row r="341" spans="1:6" ht="14.25" thickBot="1">
      <c r="A341" s="838" t="s">
        <v>1021</v>
      </c>
      <c r="B341" s="832" t="s">
        <v>1025</v>
      </c>
      <c r="C341" s="1059">
        <v>0.15</v>
      </c>
      <c r="D341" s="1059">
        <v>0.15</v>
      </c>
      <c r="E341" s="1059">
        <v>0.15</v>
      </c>
      <c r="F341" s="1060">
        <v>0.15</v>
      </c>
    </row>
    <row r="342" spans="1:6" ht="14.25" thickBot="1">
      <c r="A342" s="838" t="s">
        <v>1021</v>
      </c>
      <c r="B342" s="832" t="s">
        <v>1026</v>
      </c>
      <c r="C342" s="1059">
        <v>0.15</v>
      </c>
      <c r="D342" s="1059">
        <v>0.15</v>
      </c>
      <c r="E342" s="1059">
        <v>0.15</v>
      </c>
      <c r="F342" s="1060">
        <v>0.15</v>
      </c>
    </row>
    <row r="343" spans="1:6" ht="14.25" thickBot="1">
      <c r="A343" s="838" t="s">
        <v>1021</v>
      </c>
      <c r="B343" s="832" t="s">
        <v>1027</v>
      </c>
      <c r="C343" s="1059">
        <v>0.15</v>
      </c>
      <c r="D343" s="1059">
        <v>0.15</v>
      </c>
      <c r="E343" s="1059">
        <v>0.15</v>
      </c>
      <c r="F343" s="1060">
        <v>0.15</v>
      </c>
    </row>
    <row r="344" spans="1:6" ht="14.25" thickBot="1">
      <c r="A344" s="848" t="s">
        <v>1021</v>
      </c>
      <c r="B344" s="844"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1300</v>
      </c>
      <c r="C1" s="1680">
        <f>项目基本情况!D3</f>
        <v>43161</v>
      </c>
      <c r="D1" s="1686" t="s">
        <v>1301</v>
      </c>
      <c r="E1" s="1681">
        <f>'数据-取费表'!B22</f>
        <v>2.5</v>
      </c>
      <c r="F1" s="1686" t="s">
        <v>1302</v>
      </c>
      <c r="G1" s="1682">
        <f ca="1">INDIRECT("d"&amp;$K$1)/100</f>
        <v>4.7500000000000001E-2</v>
      </c>
      <c r="H1" s="1686" t="s">
        <v>1332</v>
      </c>
      <c r="I1" s="1682">
        <f ca="1">F4/100</f>
        <v>1.4999999999999999E-2</v>
      </c>
      <c r="J1" s="1687">
        <f>IF(C1&gt;C13,0,MATCH(C1,C$13:C$100,-1))+IF(SUMIF(C13:C100,C1,D13:D100)=0,13,12)</f>
        <v>13</v>
      </c>
      <c r="K1" s="1687">
        <f>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1303</v>
      </c>
      <c r="E2" s="1622"/>
      <c r="F2" s="1622" t="s">
        <v>1304</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1305</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1306</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1307</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1308</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1309</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1310</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1311</v>
      </c>
      <c r="C10" s="1650"/>
      <c r="D10" s="1650"/>
      <c r="E10" s="1650"/>
      <c r="F10" s="1650"/>
      <c r="G10" s="1650"/>
      <c r="H10" s="1650"/>
      <c r="I10" s="1624"/>
      <c r="J10" s="1624"/>
      <c r="K10" s="1650"/>
      <c r="L10" s="1651" t="s">
        <v>1312</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1313</v>
      </c>
      <c r="C11" s="1655" t="s">
        <v>1314</v>
      </c>
      <c r="D11" s="1656" t="s">
        <v>1315</v>
      </c>
      <c r="E11" s="1657"/>
      <c r="F11" s="1656" t="s">
        <v>1316</v>
      </c>
      <c r="G11" s="1658"/>
      <c r="H11" s="1657"/>
      <c r="I11" s="1656" t="s">
        <v>1317</v>
      </c>
      <c r="J11" s="1657"/>
      <c r="K11" s="1653"/>
      <c r="L11" s="1654" t="s">
        <v>1313</v>
      </c>
      <c r="M11" s="1655" t="s">
        <v>1314</v>
      </c>
      <c r="N11" s="1654" t="s">
        <v>1318</v>
      </c>
      <c r="O11" s="1656" t="s">
        <v>1319</v>
      </c>
      <c r="P11" s="1658"/>
      <c r="Q11" s="1658"/>
      <c r="R11" s="1658"/>
      <c r="S11" s="1658"/>
      <c r="T11" s="1657"/>
      <c r="U11" s="1656" t="s">
        <v>1320</v>
      </c>
      <c r="V11" s="1658"/>
      <c r="W11" s="1657"/>
      <c r="X11" s="1654" t="s">
        <v>1321</v>
      </c>
      <c r="Y11" s="1654" t="s">
        <v>1322</v>
      </c>
      <c r="Z11" s="1654" t="s">
        <v>1323</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1324</v>
      </c>
      <c r="E12" s="1663" t="s">
        <v>1325</v>
      </c>
      <c r="F12" s="1663" t="s">
        <v>1326</v>
      </c>
      <c r="G12" s="1663" t="s">
        <v>1327</v>
      </c>
      <c r="H12" s="1663" t="s">
        <v>1309</v>
      </c>
      <c r="I12" s="1664" t="s">
        <v>1328</v>
      </c>
      <c r="J12" s="1664" t="s">
        <v>1328</v>
      </c>
      <c r="K12" s="1660"/>
      <c r="L12" s="1661"/>
      <c r="M12" s="1662"/>
      <c r="N12" s="1661"/>
      <c r="O12" s="1664" t="s">
        <v>1329</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1330</v>
      </c>
      <c r="C13" s="1668">
        <v>42301</v>
      </c>
      <c r="D13" s="1669">
        <v>4.3499999999999996</v>
      </c>
      <c r="E13" s="1669">
        <v>4.3499999999999996</v>
      </c>
      <c r="F13" s="1669">
        <v>4.75</v>
      </c>
      <c r="G13" s="1669">
        <v>4.75</v>
      </c>
      <c r="H13" s="1669">
        <v>4.9000000000000004</v>
      </c>
      <c r="I13" s="1669">
        <v>2.75</v>
      </c>
      <c r="J13" s="1669">
        <v>3.25</v>
      </c>
      <c r="K13" s="1666"/>
      <c r="L13" s="1667" t="s">
        <v>1330</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1331</v>
      </c>
      <c r="Y42" s="1673" t="s">
        <v>1331</v>
      </c>
      <c r="Z42" s="1673" t="s">
        <v>1331</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1331</v>
      </c>
      <c r="Y43" s="1673" t="s">
        <v>1331</v>
      </c>
      <c r="Z43" s="1673" t="s">
        <v>1331</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1331</v>
      </c>
      <c r="Y44" s="1673" t="s">
        <v>1331</v>
      </c>
      <c r="Z44" s="1673" t="s">
        <v>1331</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1331</v>
      </c>
      <c r="Y45" s="1673" t="s">
        <v>1331</v>
      </c>
      <c r="Z45" s="1673" t="s">
        <v>1331</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1331</v>
      </c>
      <c r="Y46" s="1673" t="s">
        <v>1331</v>
      </c>
      <c r="Z46" s="1673" t="s">
        <v>1331</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1331</v>
      </c>
      <c r="Y47" s="1673" t="s">
        <v>1331</v>
      </c>
      <c r="Z47" s="1673" t="s">
        <v>1331</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1331</v>
      </c>
      <c r="Y48" s="1673" t="s">
        <v>1331</v>
      </c>
      <c r="Z48" s="1673" t="s">
        <v>1331</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1331</v>
      </c>
      <c r="Y49" s="1673" t="s">
        <v>1331</v>
      </c>
      <c r="Z49" s="1673" t="s">
        <v>1331</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1331</v>
      </c>
      <c r="Y50" s="1673" t="s">
        <v>1331</v>
      </c>
      <c r="Z50" s="1673" t="s">
        <v>1331</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1331</v>
      </c>
      <c r="V51" s="1673" t="s">
        <v>1331</v>
      </c>
      <c r="W51" s="1673" t="s">
        <v>1331</v>
      </c>
      <c r="X51" s="1673" t="s">
        <v>1331</v>
      </c>
      <c r="Y51" s="1673" t="s">
        <v>1331</v>
      </c>
      <c r="Z51" s="1673" t="s">
        <v>1331</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1331</v>
      </c>
      <c r="J55" s="1673" t="s">
        <v>1331</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1371</v>
      </c>
      <c r="E1" s="1762" t="s">
        <v>1375</v>
      </c>
      <c r="F1" s="1763" t="s">
        <v>1379</v>
      </c>
    </row>
    <row r="2" spans="1:13" ht="20.25">
      <c r="A2" s="1769" t="s">
        <v>1372</v>
      </c>
    </row>
    <row r="3" spans="1:13" ht="16.5">
      <c r="A3" s="1770" t="s">
        <v>1373</v>
      </c>
    </row>
    <row r="4" spans="1:13" ht="14.25">
      <c r="A4" s="1760" t="s">
        <v>1374</v>
      </c>
      <c r="B4" s="1765" t="s">
        <v>1376</v>
      </c>
      <c r="C4" s="1766"/>
      <c r="D4" s="1767"/>
      <c r="E4" s="1765" t="s">
        <v>27</v>
      </c>
      <c r="F4" s="1766"/>
      <c r="G4" s="1767"/>
      <c r="H4" s="1765" t="s">
        <v>1377</v>
      </c>
      <c r="I4" s="1766"/>
      <c r="J4" s="1767"/>
      <c r="K4" s="1765" t="s">
        <v>6</v>
      </c>
      <c r="L4" s="1766"/>
      <c r="M4" s="1767"/>
    </row>
    <row r="5" spans="1:13" ht="14.25">
      <c r="A5" s="1761" t="s">
        <v>1378</v>
      </c>
      <c r="B5" s="1760" t="s">
        <v>1380</v>
      </c>
      <c r="C5" s="1760" t="s">
        <v>1381</v>
      </c>
      <c r="D5" s="1760" t="s">
        <v>1382</v>
      </c>
      <c r="E5" s="1760" t="s">
        <v>1380</v>
      </c>
      <c r="F5" s="1760" t="s">
        <v>1381</v>
      </c>
      <c r="G5" s="1760" t="s">
        <v>1382</v>
      </c>
      <c r="H5" s="1760" t="s">
        <v>1380</v>
      </c>
      <c r="I5" s="1760" t="s">
        <v>1381</v>
      </c>
      <c r="J5" s="1760" t="s">
        <v>1382</v>
      </c>
      <c r="K5" s="1760" t="s">
        <v>1380</v>
      </c>
      <c r="L5" s="1760" t="s">
        <v>1381</v>
      </c>
      <c r="M5" s="1760" t="s">
        <v>1382</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2239</v>
      </c>
      <c r="B1" s="1923" t="s">
        <v>3437</v>
      </c>
      <c r="C1" s="242"/>
      <c r="D1" s="242"/>
      <c r="E1" s="242"/>
      <c r="F1" s="242"/>
      <c r="G1" s="1366">
        <f>MATCH(B1,'数据-取费表'!A6:A16,0)+5</f>
        <v>6</v>
      </c>
    </row>
    <row r="2" spans="1:9" s="244" customFormat="1" ht="18" customHeight="1">
      <c r="A2" s="245" t="s">
        <v>2240</v>
      </c>
      <c r="B2" s="246">
        <f ca="1">IF(D2="——",C52,C52-E2)</f>
        <v>5140</v>
      </c>
      <c r="C2" s="243" t="s">
        <v>2241</v>
      </c>
      <c r="D2" s="2432" t="s">
        <v>70</v>
      </c>
      <c r="E2" s="1427" t="e">
        <f ca="1">SUMIF(INDIRECT("'"&amp;G2&amp;"'"&amp;"!A:A"),"承租人权益价值",INDIRECT("'"&amp;G2&amp;"'"&amp;"!c:c"))</f>
        <v>#REF!</v>
      </c>
      <c r="F2" s="2433" t="s">
        <v>2241</v>
      </c>
      <c r="G2" s="2434"/>
    </row>
    <row r="3" spans="1:9" s="244" customFormat="1" ht="18" customHeight="1" thickBot="1">
      <c r="A3" s="247" t="s">
        <v>2242</v>
      </c>
      <c r="B3" s="3020">
        <f ca="1">ROUND(B2*10000/D19,0)</f>
        <v>32212</v>
      </c>
      <c r="C3" s="243" t="s">
        <v>2243</v>
      </c>
      <c r="D3" s="243"/>
      <c r="E3" s="243"/>
      <c r="F3" s="243"/>
      <c r="G3" s="243"/>
    </row>
    <row r="4" spans="1:9" s="252" customFormat="1" ht="15.75">
      <c r="A4" s="249" t="s">
        <v>2244</v>
      </c>
      <c r="B4" s="250"/>
      <c r="C4" s="250"/>
      <c r="D4" s="250"/>
      <c r="E4" s="250"/>
      <c r="F4" s="250"/>
      <c r="G4" s="251"/>
    </row>
    <row r="5" spans="1:9" s="258" customFormat="1" ht="13.5" customHeight="1">
      <c r="A5" s="299" t="s">
        <v>782</v>
      </c>
      <c r="B5" s="254" t="s">
        <v>2246</v>
      </c>
      <c r="C5" s="255">
        <f ca="1">C6+C7+C8</f>
        <v>2450</v>
      </c>
      <c r="D5" s="255" t="s">
        <v>2247</v>
      </c>
      <c r="E5" s="256" t="s">
        <v>2248</v>
      </c>
      <c r="F5" s="256" t="s">
        <v>2249</v>
      </c>
      <c r="G5" s="257"/>
    </row>
    <row r="6" spans="1:9" s="258" customFormat="1" ht="13.5" customHeight="1">
      <c r="A6" s="950" t="s">
        <v>791</v>
      </c>
      <c r="B6" s="259" t="s">
        <v>2251</v>
      </c>
      <c r="C6" s="260">
        <f ca="1">'基准地价修正 (2)'!E29</f>
        <v>2346</v>
      </c>
      <c r="D6" s="261"/>
      <c r="E6" s="262"/>
      <c r="F6" s="262"/>
      <c r="G6" s="263"/>
    </row>
    <row r="7" spans="1:9" s="258" customFormat="1" ht="13.5" customHeight="1">
      <c r="A7" s="950" t="s">
        <v>2252</v>
      </c>
      <c r="B7" s="259" t="s">
        <v>2253</v>
      </c>
      <c r="C7" s="264">
        <f ca="1">ROUND(C6*F7,0)</f>
        <v>72</v>
      </c>
      <c r="D7" s="264"/>
      <c r="E7" s="262"/>
      <c r="F7" s="265">
        <f>'数据-取费表'!B48+'数据-取费表'!B49</f>
        <v>3.0499999999999999E-2</v>
      </c>
      <c r="G7" s="263"/>
    </row>
    <row r="8" spans="1:9" s="267" customFormat="1">
      <c r="A8" s="950" t="s">
        <v>2254</v>
      </c>
      <c r="B8" s="259" t="s">
        <v>2255</v>
      </c>
      <c r="C8" s="264">
        <f ca="1">IF(G8="已包含在土地购买价格中","0",IF(B1="",'数据-取费表'!B29,IF(G9="全部缴纳",C9+C10,H9)))</f>
        <v>32</v>
      </c>
      <c r="D8" s="266"/>
      <c r="E8" s="264"/>
      <c r="F8" s="265"/>
      <c r="G8" s="2435" t="s">
        <v>3620</v>
      </c>
    </row>
    <row r="9" spans="1:9" s="258" customFormat="1" ht="13.5" customHeight="1">
      <c r="A9" s="951" t="s">
        <v>800</v>
      </c>
      <c r="B9" s="268" t="s">
        <v>2256</v>
      </c>
      <c r="C9" s="269">
        <f>ROUND(D9*E9/10000,0)</f>
        <v>0</v>
      </c>
      <c r="D9" s="3019">
        <v>0</v>
      </c>
      <c r="E9" s="269">
        <f>'数据-取费表'!B27</f>
        <v>160</v>
      </c>
      <c r="F9" s="265"/>
      <c r="G9" s="2436" t="s">
        <v>3621</v>
      </c>
      <c r="H9" s="1377"/>
      <c r="I9" s="2437" t="s">
        <v>2257</v>
      </c>
    </row>
    <row r="10" spans="1:9" s="258" customFormat="1" ht="13.5" customHeight="1">
      <c r="A10" s="951" t="s">
        <v>801</v>
      </c>
      <c r="B10" s="268" t="s">
        <v>2258</v>
      </c>
      <c r="C10" s="269">
        <f ca="1">ROUND(D10*E10/10000,0)</f>
        <v>32</v>
      </c>
      <c r="D10" s="1033">
        <f ca="1">IF(B1="",'数据-汇总表'!E6,IF(INDIRECT("'数据-取费表'!c"&amp;$G$1)="住宅",INDIRECT("'数据-取费表'!s"&amp;$G$1),INDIRECT("'数据-取费表'!k"&amp;$G$1)+INDIRECT("'数据-取费表'!s"&amp;$G$1)))</f>
        <v>1595.68</v>
      </c>
      <c r="E10" s="269">
        <f>'数据-取费表'!B28</f>
        <v>200</v>
      </c>
      <c r="F10" s="265"/>
      <c r="G10" s="270"/>
    </row>
    <row r="11" spans="1:9" s="258" customFormat="1" ht="13.5" hidden="1" customHeight="1">
      <c r="A11" s="271" t="s">
        <v>7</v>
      </c>
      <c r="B11" s="259" t="s">
        <v>2259</v>
      </c>
      <c r="C11" s="255"/>
      <c r="D11" s="1035"/>
      <c r="E11" s="262"/>
      <c r="F11" s="262"/>
      <c r="G11" s="263"/>
    </row>
    <row r="12" spans="1:9" s="258" customFormat="1" ht="13.5" hidden="1" customHeight="1">
      <c r="A12" s="271" t="s">
        <v>8</v>
      </c>
      <c r="B12" s="259" t="s">
        <v>2260</v>
      </c>
      <c r="C12" s="255">
        <v>0</v>
      </c>
      <c r="D12" s="1035"/>
      <c r="E12" s="272"/>
      <c r="F12" s="265">
        <v>3.0499999999999999E-2</v>
      </c>
      <c r="G12" s="263"/>
    </row>
    <row r="13" spans="1:9" s="258" customFormat="1" ht="13.5" hidden="1" customHeight="1">
      <c r="A13" s="271" t="s">
        <v>9</v>
      </c>
      <c r="B13" s="259" t="s">
        <v>2261</v>
      </c>
      <c r="C13" s="255"/>
      <c r="D13" s="1035"/>
      <c r="E13" s="262"/>
      <c r="F13" s="262"/>
      <c r="G13" s="263"/>
    </row>
    <row r="14" spans="1:9" s="258" customFormat="1" ht="13.5" hidden="1" customHeight="1">
      <c r="A14" s="271" t="s">
        <v>10</v>
      </c>
      <c r="B14" s="259" t="s">
        <v>2255</v>
      </c>
      <c r="C14" s="255"/>
      <c r="D14" s="1035"/>
      <c r="E14" s="262"/>
      <c r="F14" s="262"/>
      <c r="G14" s="263" t="s">
        <v>2263</v>
      </c>
    </row>
    <row r="15" spans="1:9" s="258" customFormat="1" ht="13.5" hidden="1" customHeight="1">
      <c r="A15" s="271" t="s">
        <v>11</v>
      </c>
      <c r="B15" s="259" t="s">
        <v>2264</v>
      </c>
      <c r="C15" s="264"/>
      <c r="D15" s="1035"/>
      <c r="E15" s="262"/>
      <c r="F15" s="262"/>
      <c r="G15" s="263" t="s">
        <v>2265</v>
      </c>
    </row>
    <row r="16" spans="1:9" s="258" customFormat="1" ht="13.5" hidden="1" customHeight="1">
      <c r="A16" s="271" t="s">
        <v>12</v>
      </c>
      <c r="B16" s="259" t="s">
        <v>2255</v>
      </c>
      <c r="C16" s="264"/>
      <c r="D16" s="1035"/>
      <c r="E16" s="262"/>
      <c r="F16" s="262"/>
      <c r="G16" s="263"/>
    </row>
    <row r="17" spans="1:7" s="258" customFormat="1" ht="13.5" hidden="1" customHeight="1">
      <c r="A17" s="271" t="s">
        <v>13</v>
      </c>
      <c r="B17" s="259" t="s">
        <v>2266</v>
      </c>
      <c r="C17" s="273"/>
      <c r="D17" s="1036"/>
      <c r="E17" s="273"/>
      <c r="F17" s="273"/>
      <c r="G17" s="263" t="s">
        <v>2265</v>
      </c>
    </row>
    <row r="18" spans="1:7" s="258" customFormat="1" ht="13.5" hidden="1" customHeight="1">
      <c r="A18" s="271" t="s">
        <v>14</v>
      </c>
      <c r="B18" s="259" t="s">
        <v>2267</v>
      </c>
      <c r="C18" s="264">
        <v>0</v>
      </c>
      <c r="D18" s="1035"/>
      <c r="E18" s="262"/>
      <c r="F18" s="265">
        <v>3.0499999999999999E-2</v>
      </c>
      <c r="G18" s="263" t="s">
        <v>2268</v>
      </c>
    </row>
    <row r="19" spans="1:7" s="267" customFormat="1" ht="13.5" customHeight="1">
      <c r="A19" s="299" t="s">
        <v>2269</v>
      </c>
      <c r="B19" s="254" t="s">
        <v>2270</v>
      </c>
      <c r="C19" s="255">
        <f ca="1">IF(G19="已包含在土地取得成本中","0",ROUND(D19*E19/10000,0))</f>
        <v>32</v>
      </c>
      <c r="D19" s="1037">
        <f ca="1">D9+D10</f>
        <v>1595.68</v>
      </c>
      <c r="E19" s="255">
        <f>'数据-取费表'!B31</f>
        <v>200</v>
      </c>
      <c r="F19" s="275"/>
      <c r="G19" s="2435"/>
    </row>
    <row r="20" spans="1:7" s="258" customFormat="1" ht="13.5" customHeight="1">
      <c r="A20" s="299" t="s">
        <v>2271</v>
      </c>
      <c r="B20" s="254" t="s">
        <v>2272</v>
      </c>
      <c r="C20" s="276">
        <f ca="1">ROUND((C5+C19)*F20,0)</f>
        <v>74</v>
      </c>
      <c r="D20" s="276"/>
      <c r="E20" s="276"/>
      <c r="F20" s="277">
        <f>'数据-取费表'!B37</f>
        <v>0.03</v>
      </c>
      <c r="G20" s="278" t="s">
        <v>2273</v>
      </c>
    </row>
    <row r="21" spans="1:7" s="258" customFormat="1" ht="13.5" customHeight="1">
      <c r="A21" s="299" t="s">
        <v>2274</v>
      </c>
      <c r="B21" s="254" t="s">
        <v>2275</v>
      </c>
      <c r="C21" s="279">
        <f>F21</f>
        <v>0.03</v>
      </c>
      <c r="D21" s="280" t="s">
        <v>2276</v>
      </c>
      <c r="E21" s="276"/>
      <c r="F21" s="277">
        <f>'数据-取费表'!B38</f>
        <v>0.03</v>
      </c>
      <c r="G21" s="278" t="s">
        <v>2277</v>
      </c>
    </row>
    <row r="22" spans="1:7" s="258" customFormat="1" ht="13.5" customHeight="1">
      <c r="A22" s="299" t="s">
        <v>2278</v>
      </c>
      <c r="B22" s="254" t="s">
        <v>2279</v>
      </c>
      <c r="C22" s="1341">
        <f ca="1">ROUND(SUM(C23:C25),0)</f>
        <v>309</v>
      </c>
      <c r="D22" s="279">
        <f ca="1">C26</f>
        <v>1.8E-3</v>
      </c>
      <c r="E22" s="280" t="s">
        <v>2276</v>
      </c>
      <c r="F22" s="281">
        <f ca="1">'数据-取费表'!B40</f>
        <v>4.7500000000000001E-2</v>
      </c>
      <c r="G22" s="278" t="str">
        <f>IF('数据-取费表'!B22&lt;=1,"单利计息","复利计息")</f>
        <v>复利计息</v>
      </c>
    </row>
    <row r="23" spans="1:7" s="258" customFormat="1" ht="13.5" customHeight="1">
      <c r="A23" s="952" t="s">
        <v>791</v>
      </c>
      <c r="B23" s="259" t="s">
        <v>2281</v>
      </c>
      <c r="C23" s="1342">
        <f ca="1">ROUND(IF('数据-取费表'!B22&lt;=1,C5*F22*'数据-取费表'!B23,C5*(POWER((1+F22),'数据-取费表'!B23)-1)),0)</f>
        <v>301</v>
      </c>
      <c r="D23" s="282"/>
      <c r="E23" s="282"/>
      <c r="F23" s="283"/>
      <c r="G23" s="284" t="s">
        <v>2282</v>
      </c>
    </row>
    <row r="24" spans="1:7" s="258" customFormat="1" ht="13.5" customHeight="1">
      <c r="A24" s="952" t="s">
        <v>2252</v>
      </c>
      <c r="B24" s="259" t="s">
        <v>2284</v>
      </c>
      <c r="C24" s="1342">
        <f ca="1">ROUND(IF('数据-取费表'!B22&lt;=1,C19*F22*('数据-取费表'!B19/2+'数据-取费表'!B21),C19*(POWER((1+F22),('数据-取费表'!B19/2+'数据-取费表'!B21))-1)),0)</f>
        <v>4</v>
      </c>
      <c r="D24" s="282"/>
      <c r="E24" s="282"/>
      <c r="F24" s="283"/>
      <c r="G24" s="284" t="s">
        <v>2285</v>
      </c>
    </row>
    <row r="25" spans="1:7" s="258" customFormat="1" ht="24">
      <c r="A25" s="952" t="s">
        <v>2254</v>
      </c>
      <c r="B25" s="259" t="s">
        <v>2287</v>
      </c>
      <c r="C25" s="1342">
        <f ca="1">ROUND(IF('数据-取费表'!B22&lt;=1,C20*F22*'数据-取费表'!B23/2,C20*(POWER((1+F22),'数据-取费表'!B23/2)-1)),0)</f>
        <v>4</v>
      </c>
      <c r="D25" s="282"/>
      <c r="E25" s="285"/>
      <c r="F25" s="283"/>
      <c r="G25" s="286" t="s">
        <v>2288</v>
      </c>
    </row>
    <row r="26" spans="1:7" s="258" customFormat="1">
      <c r="A26" s="952" t="s">
        <v>795</v>
      </c>
      <c r="B26" s="259" t="s">
        <v>2289</v>
      </c>
      <c r="C26" s="282">
        <f ca="1">ROUND(IF('数据-取费表'!B22&lt;=1,F21*F22*'数据-取费表'!B23/2,F21*(POWER((1+F22),'数据-取费表'!B23/2)-1)),4)</f>
        <v>1.8E-3</v>
      </c>
      <c r="D26" s="282"/>
      <c r="E26" s="285"/>
      <c r="F26" s="283"/>
      <c r="G26" s="287"/>
    </row>
    <row r="27" spans="1:7" s="258" customFormat="1" ht="24.75">
      <c r="A27" s="299" t="s">
        <v>2290</v>
      </c>
      <c r="B27" s="288" t="s">
        <v>2291</v>
      </c>
      <c r="C27" s="289">
        <f ca="1">C28</f>
        <v>767</v>
      </c>
      <c r="D27" s="279">
        <f ca="1">C29</f>
        <v>8.9999999999999993E-3</v>
      </c>
      <c r="E27" s="280" t="s">
        <v>2276</v>
      </c>
      <c r="F27" s="290">
        <f ca="1">IF(B1="",'数据-取费表'!Q16,INDIRECT("'数据-取费表'!q"&amp;$G$1))</f>
        <v>0.3</v>
      </c>
      <c r="G27" s="291" t="s">
        <v>2293</v>
      </c>
    </row>
    <row r="28" spans="1:7" s="258" customFormat="1" ht="13.5" customHeight="1">
      <c r="A28" s="952" t="s">
        <v>791</v>
      </c>
      <c r="B28" s="292" t="s">
        <v>2294</v>
      </c>
      <c r="C28" s="293">
        <f ca="1">ROUND((C5+C19+C20)*F27*'数据-取费表'!B21/'数据-取费表'!B20,0)</f>
        <v>767</v>
      </c>
      <c r="D28" s="279"/>
      <c r="E28" s="280"/>
      <c r="F28" s="290"/>
      <c r="G28" s="291"/>
    </row>
    <row r="29" spans="1:7" s="258" customFormat="1" ht="13.5" customHeight="1">
      <c r="A29" s="952" t="s">
        <v>792</v>
      </c>
      <c r="B29" s="292" t="s">
        <v>2295</v>
      </c>
      <c r="C29" s="282">
        <f ca="1">ROUND(C21*F27*'数据-取费表'!B21/'数据-取费表'!B20,4)</f>
        <v>8.9999999999999993E-3</v>
      </c>
      <c r="D29" s="279"/>
      <c r="E29" s="280"/>
      <c r="F29" s="290"/>
      <c r="G29" s="291"/>
    </row>
    <row r="30" spans="1:7" s="258" customFormat="1" ht="13.5" customHeight="1">
      <c r="A30" s="299" t="s">
        <v>2296</v>
      </c>
      <c r="B30" s="254" t="s">
        <v>2297</v>
      </c>
      <c r="C30" s="279">
        <f>ROUND(F30/(1+'数据-取费表'!C42),4)</f>
        <v>5.33E-2</v>
      </c>
      <c r="D30" s="280" t="s">
        <v>2276</v>
      </c>
      <c r="E30" s="285"/>
      <c r="F30" s="281">
        <f>'数据-取费表'!B41</f>
        <v>5.6000000000000001E-2</v>
      </c>
      <c r="G30" s="278" t="s">
        <v>2298</v>
      </c>
    </row>
    <row r="31" spans="1:7" ht="16.5" customHeight="1">
      <c r="A31" s="253">
        <v>1</v>
      </c>
      <c r="B31" s="254" t="s">
        <v>2299</v>
      </c>
      <c r="C31" s="255">
        <f ca="1">ROUND((C5+C19+C20+C22+C27)/(1-C21-D22-D27-C30),0)</f>
        <v>4009</v>
      </c>
      <c r="D31" s="274"/>
      <c r="E31" s="255"/>
      <c r="F31" s="294"/>
      <c r="G31" s="278" t="s">
        <v>2300</v>
      </c>
    </row>
    <row r="32" spans="1:7" s="252" customFormat="1" ht="15.75">
      <c r="A32" s="296" t="s">
        <v>2301</v>
      </c>
      <c r="B32" s="297"/>
      <c r="C32" s="297"/>
      <c r="D32" s="297"/>
      <c r="E32" s="297"/>
      <c r="F32" s="297"/>
      <c r="G32" s="298"/>
    </row>
    <row r="33" spans="1:7" s="258" customFormat="1" ht="13.5" customHeight="1">
      <c r="A33" s="299" t="s">
        <v>782</v>
      </c>
      <c r="B33" s="254" t="s">
        <v>2302</v>
      </c>
      <c r="C33" s="300">
        <f ca="1">SUM(C34:C38)</f>
        <v>831</v>
      </c>
      <c r="D33" s="276"/>
      <c r="E33" s="256"/>
      <c r="F33" s="285"/>
      <c r="G33" s="278"/>
    </row>
    <row r="34" spans="1:7" s="302" customFormat="1" ht="13.5" customHeight="1">
      <c r="A34" s="952" t="s">
        <v>791</v>
      </c>
      <c r="B34" s="259" t="s">
        <v>2303</v>
      </c>
      <c r="C34" s="264">
        <f ca="1">IF(B1="",IF(F34=100%,'数据-取费表'!M16,'数据-取费表'!O16),IF(F34=100%,INDIRECT("'数据-取费表'!m"&amp;$G$1)+INDIRECT("'数据-取费表'!t"&amp;$G$1),INDIRECT("'数据-取费表'!o"&amp;$G$1)+INDIRECT("'数据-取费表'!aq"&amp;$G$1)))</f>
        <v>750</v>
      </c>
      <c r="D34" s="261"/>
      <c r="E34" s="264"/>
      <c r="F34" s="301">
        <f ca="1">IF('数据-取费表'!B24=0,1,IF(B1="",'数据-取费表'!N16,INDIRECT("'数据-取费表'!n"&amp;$G$1)))</f>
        <v>1</v>
      </c>
      <c r="G34" s="263" t="s">
        <v>2304</v>
      </c>
    </row>
    <row r="35" spans="1:7" ht="13.5" customHeight="1">
      <c r="A35" s="952" t="s">
        <v>796</v>
      </c>
      <c r="B35" s="259" t="s">
        <v>2305</v>
      </c>
      <c r="C35" s="264">
        <f ca="1">ROUND(C34*F35,0)</f>
        <v>38</v>
      </c>
      <c r="D35" s="264"/>
      <c r="E35" s="264"/>
      <c r="F35" s="303">
        <f>'数据-取费表'!B33</f>
        <v>0.05</v>
      </c>
      <c r="G35" s="263" t="s">
        <v>2306</v>
      </c>
    </row>
    <row r="36" spans="1:7" ht="24">
      <c r="A36" s="952" t="s">
        <v>797</v>
      </c>
      <c r="B36" s="259" t="s">
        <v>2307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2308</v>
      </c>
    </row>
    <row r="37" spans="1:7" s="302" customFormat="1" ht="13.5" customHeight="1">
      <c r="A37" s="952" t="s">
        <v>798</v>
      </c>
      <c r="B37" s="259" t="s">
        <v>2309</v>
      </c>
      <c r="C37" s="293">
        <f ca="1">ROUND(E37*D37*F34/10000,0)</f>
        <v>32</v>
      </c>
      <c r="D37" s="261">
        <f ca="1">D19</f>
        <v>1595.68</v>
      </c>
      <c r="E37" s="293">
        <f>'数据-取费表'!B35</f>
        <v>200</v>
      </c>
      <c r="F37" s="303"/>
      <c r="G37" s="305" t="s">
        <v>2310</v>
      </c>
    </row>
    <row r="38" spans="1:7" ht="13.5" customHeight="1">
      <c r="A38" s="952" t="s">
        <v>799</v>
      </c>
      <c r="B38" s="259" t="s">
        <v>2311</v>
      </c>
      <c r="C38" s="264">
        <f ca="1">ROUND(C34*F38,0)</f>
        <v>11</v>
      </c>
      <c r="D38" s="264"/>
      <c r="E38" s="264"/>
      <c r="F38" s="303">
        <f>'数据-取费表'!B36</f>
        <v>1.4999999999999999E-2</v>
      </c>
      <c r="G38" s="263" t="s">
        <v>2306</v>
      </c>
    </row>
    <row r="39" spans="1:7" s="258" customFormat="1" ht="13.5" customHeight="1">
      <c r="A39" s="299" t="s">
        <v>2269</v>
      </c>
      <c r="B39" s="254" t="s">
        <v>2272</v>
      </c>
      <c r="C39" s="276">
        <f ca="1">ROUND(C33*F20,0)</f>
        <v>25</v>
      </c>
      <c r="D39" s="276"/>
      <c r="E39" s="276"/>
      <c r="F39" s="277"/>
      <c r="G39" s="278" t="s">
        <v>2314</v>
      </c>
    </row>
    <row r="40" spans="1:7" s="258" customFormat="1" ht="13.5" customHeight="1">
      <c r="A40" s="299" t="s">
        <v>2271</v>
      </c>
      <c r="B40" s="254" t="s">
        <v>2275</v>
      </c>
      <c r="C40" s="1714">
        <f>F21</f>
        <v>0.03</v>
      </c>
      <c r="D40" s="280" t="s">
        <v>2317</v>
      </c>
      <c r="E40" s="276"/>
      <c r="F40" s="277"/>
      <c r="G40" s="278" t="s">
        <v>2318</v>
      </c>
    </row>
    <row r="41" spans="1:7" s="258" customFormat="1" ht="13.5" customHeight="1">
      <c r="A41" s="299" t="s">
        <v>2274</v>
      </c>
      <c r="B41" s="254" t="s">
        <v>2279</v>
      </c>
      <c r="C41" s="276">
        <f ca="1">ROUND(SUM(C42:C43),0)</f>
        <v>51</v>
      </c>
      <c r="D41" s="279">
        <f ca="1">C44</f>
        <v>1.8E-3</v>
      </c>
      <c r="E41" s="280" t="s">
        <v>2317</v>
      </c>
      <c r="F41" s="281"/>
      <c r="G41" s="278" t="str">
        <f>IF('数据-取费表'!B22&lt;=1,"单利计息","复利计息")</f>
        <v>复利计息</v>
      </c>
    </row>
    <row r="42" spans="1:7" ht="13.5" customHeight="1">
      <c r="A42" s="952" t="s">
        <v>791</v>
      </c>
      <c r="B42" s="259" t="s">
        <v>2281</v>
      </c>
      <c r="C42" s="282">
        <f ca="1">ROUND(IF('数据-取费表'!B22&lt;=1,C33*F22*'数据-取费表'!B21/2,C33*(POWER((1+F22),'数据-取费表'!B21/2)-1)),0)</f>
        <v>50</v>
      </c>
      <c r="D42" s="282"/>
      <c r="E42" s="282"/>
      <c r="F42" s="283"/>
      <c r="G42" s="3239" t="s">
        <v>2322</v>
      </c>
    </row>
    <row r="43" spans="1:7" ht="13.5" customHeight="1">
      <c r="A43" s="952" t="s">
        <v>792</v>
      </c>
      <c r="B43" s="259" t="s">
        <v>2284</v>
      </c>
      <c r="C43" s="282">
        <f ca="1">ROUND(IF('数据-取费表'!B22&lt;=1,C39*F22*'数据-取费表'!B21/2,C39*(POWER((1+F22),'数据-取费表'!B21/2)-1)),0)</f>
        <v>1</v>
      </c>
      <c r="D43" s="282"/>
      <c r="E43" s="282"/>
      <c r="F43" s="283"/>
      <c r="G43" s="3240"/>
    </row>
    <row r="44" spans="1:7" ht="13.5" customHeight="1">
      <c r="A44" s="952" t="s">
        <v>793</v>
      </c>
      <c r="B44" s="259" t="s">
        <v>2287</v>
      </c>
      <c r="C44" s="282">
        <f ca="1">ROUND(IF('数据-取费表'!B22&lt;=1,C40*F22*'数据-取费表'!B21/2,C40*(POWER((1+F22),'数据-取费表'!B21/2)-1)),4)</f>
        <v>1.8E-3</v>
      </c>
      <c r="D44" s="282"/>
      <c r="E44" s="282"/>
      <c r="F44" s="283"/>
      <c r="G44" s="3241"/>
    </row>
    <row r="45" spans="1:7" s="258" customFormat="1" ht="13.5" customHeight="1">
      <c r="A45" s="299" t="s">
        <v>2278</v>
      </c>
      <c r="B45" s="288" t="s">
        <v>2291</v>
      </c>
      <c r="C45" s="289">
        <f ca="1">C46</f>
        <v>257</v>
      </c>
      <c r="D45" s="279">
        <f ca="1">C47</f>
        <v>8.9999999999999993E-3</v>
      </c>
      <c r="E45" s="280" t="s">
        <v>2317</v>
      </c>
      <c r="F45" s="290"/>
      <c r="G45" s="291" t="s">
        <v>2326</v>
      </c>
    </row>
    <row r="46" spans="1:7" s="258" customFormat="1" ht="13.5" customHeight="1">
      <c r="A46" s="952" t="s">
        <v>791</v>
      </c>
      <c r="B46" s="292" t="s">
        <v>2327</v>
      </c>
      <c r="C46" s="293">
        <f ca="1">ROUND((C33+C39)*F27,0)</f>
        <v>257</v>
      </c>
      <c r="D46" s="307"/>
      <c r="E46" s="280"/>
      <c r="F46" s="290"/>
      <c r="G46" s="291"/>
    </row>
    <row r="47" spans="1:7" s="258" customFormat="1" ht="13.5" customHeight="1">
      <c r="A47" s="952" t="s">
        <v>792</v>
      </c>
      <c r="B47" s="292" t="s">
        <v>2328</v>
      </c>
      <c r="C47" s="282">
        <f ca="1">ROUND(C40*F27,4)</f>
        <v>8.9999999999999993E-3</v>
      </c>
      <c r="D47" s="307"/>
      <c r="E47" s="280"/>
      <c r="F47" s="290"/>
      <c r="G47" s="291"/>
    </row>
    <row r="48" spans="1:7" s="258" customFormat="1" ht="13.5" customHeight="1">
      <c r="A48" s="299" t="s">
        <v>2290</v>
      </c>
      <c r="B48" s="254" t="s">
        <v>2329</v>
      </c>
      <c r="C48" s="1714">
        <f>ROUND(F30/(1+'数据-取费表'!C42),4)</f>
        <v>5.33E-2</v>
      </c>
      <c r="D48" s="280" t="s">
        <v>2317</v>
      </c>
      <c r="E48" s="276"/>
      <c r="F48" s="281"/>
      <c r="G48" s="278" t="s">
        <v>2330</v>
      </c>
    </row>
    <row r="49" spans="1:7" ht="16.5" customHeight="1">
      <c r="A49" s="299" t="s">
        <v>2296</v>
      </c>
      <c r="B49" s="254" t="s">
        <v>2331</v>
      </c>
      <c r="C49" s="276">
        <f ca="1">ROUND((C33+C39+C41+C45)/(1-C40-D41-D45-C48),0)</f>
        <v>1285</v>
      </c>
      <c r="D49" s="276"/>
      <c r="E49" s="276"/>
      <c r="F49" s="308"/>
      <c r="G49" s="278" t="s">
        <v>2332</v>
      </c>
    </row>
    <row r="50" spans="1:7" s="302" customFormat="1" ht="24">
      <c r="A50" s="299" t="s">
        <v>2333</v>
      </c>
      <c r="B50" s="254" t="s">
        <v>2334</v>
      </c>
      <c r="C50" s="276"/>
      <c r="D50" s="276"/>
      <c r="E50" s="276"/>
      <c r="F50" s="308">
        <f>IF('数据-取费表'!B24=0,'数据-取费表'!N16,1)</f>
        <v>0.88</v>
      </c>
      <c r="G50" s="291" t="s">
        <v>2335</v>
      </c>
    </row>
    <row r="51" spans="1:7" ht="16.5" customHeight="1">
      <c r="A51" s="299" t="s">
        <v>2336</v>
      </c>
      <c r="B51" s="254" t="s">
        <v>2337</v>
      </c>
      <c r="C51" s="276">
        <f ca="1">ROUND(C49*F50,0)</f>
        <v>1131</v>
      </c>
      <c r="D51" s="276"/>
      <c r="E51" s="276"/>
      <c r="F51" s="308"/>
      <c r="G51" s="278" t="s">
        <v>2338</v>
      </c>
    </row>
    <row r="52" spans="1:7" s="252" customFormat="1" ht="16.5" thickBot="1">
      <c r="A52" s="309" t="s">
        <v>2339</v>
      </c>
      <c r="B52" s="310"/>
      <c r="C52" s="311">
        <f ca="1">C31+C51</f>
        <v>5140</v>
      </c>
      <c r="D52" s="310"/>
      <c r="E52" s="310"/>
      <c r="F52" s="310"/>
      <c r="G52" s="312"/>
    </row>
    <row r="55" spans="1:7" ht="15">
      <c r="B55" s="314" t="s">
        <v>2340</v>
      </c>
      <c r="C55" s="315"/>
    </row>
    <row r="56" spans="1:7">
      <c r="B56" s="317" t="s">
        <v>1513</v>
      </c>
      <c r="C56" s="319">
        <f ca="1">1-C57</f>
        <v>0.78</v>
      </c>
    </row>
    <row r="57" spans="1:7">
      <c r="B57" s="317" t="s">
        <v>1514</v>
      </c>
      <c r="C57" s="318">
        <f ca="1">ROUND(C51/C52,3)</f>
        <v>0.22</v>
      </c>
    </row>
  </sheetData>
  <sheetProtection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45" t="str">
        <f>IF(项目基本情况!B9="房地产市场价值","估价结果一览表","结果表-2")</f>
        <v>结果表-2</v>
      </c>
      <c r="B1" s="3045"/>
      <c r="C1" s="3045"/>
      <c r="D1" s="3045"/>
      <c r="E1" s="3045"/>
      <c r="F1" s="3045"/>
      <c r="G1" s="3045"/>
      <c r="H1" s="3045"/>
      <c r="I1" s="3045"/>
    </row>
    <row r="2" spans="1:9" ht="30" customHeight="1" thickTop="1">
      <c r="A2" s="3046" t="s">
        <v>1641</v>
      </c>
      <c r="B2" s="3046" t="s">
        <v>1642</v>
      </c>
      <c r="C2" s="3046" t="s">
        <v>1643</v>
      </c>
      <c r="D2" s="3046" t="str">
        <f>结果表!D116</f>
        <v>出让国有建设用地使用权价值</v>
      </c>
      <c r="E2" s="3046"/>
      <c r="F2" s="3046" t="str">
        <f>结果表!F116</f>
        <v>在建建筑物价值</v>
      </c>
      <c r="G2" s="3046"/>
      <c r="H2" s="3046" t="str">
        <f>IF(项目基本情况!B9="房地产市场价值","房地产市场价值","房地产价值")</f>
        <v>房地产价值</v>
      </c>
      <c r="I2" s="3046"/>
    </row>
    <row r="3" spans="1:9" ht="15">
      <c r="A3" s="3040"/>
      <c r="B3" s="3040"/>
      <c r="C3" s="3040"/>
      <c r="D3" s="1042" t="s">
        <v>1638</v>
      </c>
      <c r="E3" s="1042" t="s">
        <v>1644</v>
      </c>
      <c r="F3" s="1042" t="s">
        <v>1638</v>
      </c>
      <c r="G3" s="1042" t="s">
        <v>1639</v>
      </c>
      <c r="H3" s="1042" t="s">
        <v>1638</v>
      </c>
      <c r="I3" s="1042" t="s">
        <v>1639</v>
      </c>
    </row>
    <row r="4" spans="1:9" ht="45">
      <c r="A4" s="1959" t="str">
        <f>项目基本情况!S2</f>
        <v>北京市朝阳区东四环中路58号楼配套商业、酒店式公寓用房房地产</v>
      </c>
      <c r="B4" s="1042">
        <f>项目基本情况!C17</f>
        <v>26965.789999999986</v>
      </c>
      <c r="C4" s="1042">
        <f>项目基本情况!C18</f>
        <v>2719.43</v>
      </c>
      <c r="D4" s="1042" t="e">
        <f ca="1">结果表!D118</f>
        <v>#REF!</v>
      </c>
      <c r="E4" s="1042" t="e">
        <f ca="1">结果表!E118</f>
        <v>#REF!</v>
      </c>
      <c r="F4" s="1042" t="e">
        <f ca="1">结果表!F118</f>
        <v>#REF!</v>
      </c>
      <c r="G4" s="1042" t="e">
        <f ca="1">结果表!G118</f>
        <v>#REF!</v>
      </c>
      <c r="H4" s="1042">
        <f ca="1">结果表!H118</f>
        <v>30133</v>
      </c>
      <c r="I4" s="1042">
        <f ca="1">结果表!I118</f>
        <v>11175</v>
      </c>
    </row>
    <row r="5" spans="1:9" ht="30" customHeight="1">
      <c r="A5" s="3040" t="s">
        <v>1640</v>
      </c>
      <c r="B5" s="3040"/>
      <c r="C5" s="3040"/>
      <c r="D5" s="3041" t="e">
        <f ca="1">结果表!D119</f>
        <v>#REF!</v>
      </c>
      <c r="E5" s="3041"/>
      <c r="F5" s="3041" t="e">
        <f ca="1">结果表!F119</f>
        <v>#REF!</v>
      </c>
      <c r="G5" s="3041"/>
      <c r="H5" s="3041" t="str">
        <f ca="1">结果表!H119</f>
        <v>叁亿零壹佰叁拾叁万元整</v>
      </c>
      <c r="I5" s="3041"/>
    </row>
    <row r="6" spans="1:9" ht="15.75">
      <c r="A6" s="3039" t="str">
        <f>结果表!A120</f>
        <v>估价师知悉的法定优先受偿款</v>
      </c>
      <c r="B6" s="3039"/>
      <c r="C6" s="3039"/>
      <c r="D6" s="3039">
        <f>结果表!D120</f>
        <v>0</v>
      </c>
      <c r="E6" s="3039"/>
      <c r="F6" s="3039"/>
      <c r="G6" s="3039"/>
      <c r="H6" s="3039"/>
      <c r="I6" s="3039"/>
    </row>
    <row r="7" spans="1:9" ht="15">
      <c r="A7" s="3040" t="s">
        <v>1640</v>
      </c>
      <c r="B7" s="3040"/>
      <c r="C7" s="3040"/>
      <c r="D7" s="3042" t="str">
        <f>结果表!D121</f>
        <v>零元整</v>
      </c>
      <c r="E7" s="3043"/>
      <c r="F7" s="3043"/>
      <c r="G7" s="3043"/>
      <c r="H7" s="3043"/>
      <c r="I7" s="3044"/>
    </row>
    <row r="8" spans="1:9" ht="15.75">
      <c r="A8" s="3039" t="str">
        <f>结果表!A122</f>
        <v/>
      </c>
      <c r="B8" s="3039"/>
      <c r="C8" s="3039"/>
      <c r="D8" s="3039" t="str">
        <f>结果表!D122</f>
        <v>——</v>
      </c>
      <c r="E8" s="3039"/>
      <c r="F8" s="3039"/>
      <c r="G8" s="3039"/>
      <c r="H8" s="3039"/>
      <c r="I8" s="3039"/>
    </row>
    <row r="9" spans="1:9" ht="15">
      <c r="A9" s="3040" t="s">
        <v>1640</v>
      </c>
      <c r="B9" s="3040"/>
      <c r="C9" s="3040"/>
      <c r="D9" s="3041" t="e">
        <f>结果表!D123</f>
        <v>#VALUE!</v>
      </c>
      <c r="E9" s="3041"/>
      <c r="F9" s="3041"/>
      <c r="G9" s="3041"/>
      <c r="H9" s="3041"/>
      <c r="I9" s="3041"/>
    </row>
    <row r="10" spans="1:9" ht="15.75">
      <c r="A10" s="3039" t="str">
        <f>结果表!A124</f>
        <v>抵押担保权已注销时的房地产抵押价值</v>
      </c>
      <c r="B10" s="3039"/>
      <c r="C10" s="3039"/>
      <c r="D10" s="3039">
        <f ca="1">结果表!D124</f>
        <v>30133</v>
      </c>
      <c r="E10" s="3039"/>
      <c r="F10" s="3039"/>
      <c r="G10" s="3039"/>
      <c r="H10" s="3039"/>
      <c r="I10" s="3039"/>
    </row>
    <row r="11" spans="1:9" ht="15">
      <c r="A11" s="3040" t="s">
        <v>1640</v>
      </c>
      <c r="B11" s="3040"/>
      <c r="C11" s="3040"/>
      <c r="D11" s="3041" t="str">
        <f ca="1">结果表!D125</f>
        <v>叁亿零壹佰叁拾叁万元整</v>
      </c>
      <c r="E11" s="3041"/>
      <c r="F11" s="3041"/>
      <c r="G11" s="3041"/>
      <c r="H11" s="3041"/>
      <c r="I11" s="3041"/>
    </row>
    <row r="12" spans="1:9" ht="15.75">
      <c r="A12" s="3039" t="str">
        <f>结果表!A126</f>
        <v/>
      </c>
      <c r="B12" s="3039"/>
      <c r="C12" s="3039"/>
      <c r="D12" s="3039" t="str">
        <f>结果表!D126</f>
        <v>——</v>
      </c>
      <c r="E12" s="3039"/>
      <c r="F12" s="3039"/>
      <c r="G12" s="3039"/>
      <c r="H12" s="3039"/>
      <c r="I12" s="3039"/>
    </row>
    <row r="13" spans="1:9" ht="15.75" thickBot="1">
      <c r="A13" s="3036" t="s">
        <v>1640</v>
      </c>
      <c r="B13" s="3036"/>
      <c r="C13" s="3036"/>
      <c r="D13" s="3037" t="e">
        <f>结果表!D127</f>
        <v>#VALUE!</v>
      </c>
      <c r="E13" s="3037"/>
      <c r="F13" s="3037"/>
      <c r="G13" s="3037"/>
      <c r="H13" s="3037"/>
      <c r="I13" s="3037"/>
    </row>
    <row r="14" spans="1:9" ht="15" thickTop="1">
      <c r="A14" s="3038" t="s">
        <v>1645</v>
      </c>
      <c r="B14" s="3038"/>
      <c r="C14" s="3038"/>
      <c r="D14" s="3038"/>
      <c r="E14" s="3038"/>
      <c r="F14" s="3038"/>
      <c r="G14" s="3038"/>
      <c r="H14" s="3038"/>
      <c r="I14" s="3038"/>
    </row>
    <row r="16" spans="1:9" ht="18.75">
      <c r="A16" s="1960" t="s">
        <v>1628</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0" sqref="D30"/>
    </sheetView>
  </sheetViews>
  <sheetFormatPr defaultColWidth="12" defaultRowHeight="12.75"/>
  <cols>
    <col min="1" max="1" width="9.75" style="2679" customWidth="1"/>
    <col min="2" max="2" width="19.25" style="2785" customWidth="1"/>
    <col min="3" max="4" width="12" style="2603"/>
    <col min="5" max="5" width="14.625" style="2603" customWidth="1"/>
    <col min="6" max="8" width="12" style="2603"/>
    <col min="9" max="9" width="12.25" style="2603" bestFit="1" customWidth="1"/>
    <col min="10" max="10" width="12" style="2603"/>
    <col min="11" max="11" width="8.125" style="2671" customWidth="1"/>
    <col min="12" max="12" width="12" style="2603"/>
    <col min="13" max="13" width="8.5" style="2603" customWidth="1"/>
    <col min="14" max="14" width="9.75" style="2603" customWidth="1"/>
    <col min="15" max="25" width="12" style="2603"/>
    <col min="26" max="26" width="9.375" style="2679" customWidth="1"/>
    <col min="27" max="32" width="9.375" style="1359" customWidth="1"/>
    <col min="33" max="36" width="9.375" style="2679" customWidth="1"/>
    <col min="37" max="38" width="9.375" style="2603" customWidth="1"/>
    <col min="39" max="16384" width="12" style="2603"/>
  </cols>
  <sheetData>
    <row r="1" spans="1:36" ht="28.5">
      <c r="A1" s="240" t="s">
        <v>2716</v>
      </c>
      <c r="B1" s="241"/>
      <c r="C1" s="245" t="s">
        <v>2717</v>
      </c>
      <c r="D1" s="388">
        <f>SUM(D29:D30,D33:D39)</f>
        <v>1595.68</v>
      </c>
      <c r="E1" s="2600"/>
      <c r="F1" s="2600"/>
      <c r="G1" s="2600"/>
      <c r="H1" s="2600"/>
      <c r="I1" s="2600"/>
      <c r="J1" s="2600"/>
      <c r="K1" s="1357"/>
      <c r="L1" s="2601" t="s">
        <v>2718</v>
      </c>
      <c r="M1" s="1075">
        <f>SUMPRODUCT((区片价!B5:B9=I2)*(区片价!C3:F3=E2)*(区片价!C5:F9))</f>
        <v>0</v>
      </c>
      <c r="N1" s="1078">
        <f>SUMPRODUCT((因素修正幅度!B5:B9=I2)*(因素修正幅度!C3:F3=E2)*(因素修正幅度!C5:F9))</f>
        <v>0</v>
      </c>
      <c r="O1" s="2602"/>
      <c r="P1" s="2602"/>
      <c r="Q1" s="1357"/>
      <c r="R1" s="1588" t="s">
        <v>2719</v>
      </c>
      <c r="S1" s="1588" t="s">
        <v>2720</v>
      </c>
      <c r="T1" s="1588" t="s">
        <v>2721</v>
      </c>
      <c r="U1" s="1588" t="s">
        <v>2722</v>
      </c>
      <c r="V1" s="1588" t="s">
        <v>2723</v>
      </c>
      <c r="W1" s="1592"/>
      <c r="X1" s="1592"/>
      <c r="Y1" s="1592"/>
      <c r="Z1" s="1592"/>
      <c r="AA1" s="1592"/>
      <c r="AB1" s="1592"/>
      <c r="AC1" s="1593"/>
      <c r="AD1" s="1594"/>
      <c r="AE1" s="1594"/>
      <c r="AF1" s="1594"/>
      <c r="AG1" s="1594"/>
      <c r="AH1" s="1594"/>
      <c r="AI1" s="1594"/>
      <c r="AJ1" s="1595"/>
    </row>
    <row r="2" spans="1:36" ht="15.75">
      <c r="A2" s="245" t="s">
        <v>2724</v>
      </c>
      <c r="B2" s="248">
        <f ca="1">C26</f>
        <v>2346</v>
      </c>
      <c r="C2" s="2604" t="s">
        <v>2725</v>
      </c>
      <c r="D2" s="2605" t="s">
        <v>2726</v>
      </c>
      <c r="E2" s="2606" t="s">
        <v>1376</v>
      </c>
      <c r="F2" s="2605" t="s">
        <v>2727</v>
      </c>
      <c r="G2" s="2607" t="str">
        <f>IF(E2="商业",项目基本情况!B37,IF(E2="办公",项目基本情况!C37,IF(E2="住宅",项目基本情况!D37,项目基本情况!E37)))</f>
        <v>三级</v>
      </c>
      <c r="H2" s="2605" t="s">
        <v>2728</v>
      </c>
      <c r="I2" s="2607" t="str">
        <f>IF(E2="商业",项目基本情况!B38,IF(E2="办公",项目基本情况!C38,IF(E2="住宅",项目基本情况!D38,项目基本情况!E38)))</f>
        <v>Ⅲ—17</v>
      </c>
      <c r="J2" s="2608"/>
      <c r="K2" s="1357"/>
      <c r="L2" s="2609" t="s">
        <v>2729</v>
      </c>
      <c r="M2" s="1076">
        <f>SUMPRODUCT((区片价!B10:B28=I2)*(区片价!C3:F3=E2)*(区片价!C10:F28))</f>
        <v>0</v>
      </c>
      <c r="N2" s="1078">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1.8629</v>
      </c>
      <c r="T2" s="1588">
        <f ca="1">ROUND($C$5*$C$18*$C$19*$C$20*S2*$C$24,0)</f>
        <v>33029</v>
      </c>
      <c r="U2" s="1589"/>
      <c r="V2" s="1588">
        <f ca="1">ROUND(T2*U2/10000,0)</f>
        <v>0</v>
      </c>
      <c r="W2" s="1592"/>
      <c r="X2" s="1592"/>
      <c r="Y2" s="1592"/>
      <c r="Z2" s="1592"/>
      <c r="AA2" s="1592"/>
      <c r="AB2" s="1592"/>
      <c r="AC2" s="1593"/>
      <c r="AD2" s="1594"/>
      <c r="AE2" s="1594"/>
      <c r="AF2" s="1594"/>
      <c r="AG2" s="1594"/>
      <c r="AH2" s="1594"/>
      <c r="AI2" s="1594"/>
      <c r="AJ2" s="1595"/>
    </row>
    <row r="3" spans="1:36" ht="15.75">
      <c r="A3" s="247" t="s">
        <v>2730</v>
      </c>
      <c r="B3" s="248">
        <f ca="1">ROUND(B2*10000/D1,0)</f>
        <v>14702</v>
      </c>
      <c r="C3" s="2604" t="s">
        <v>2731</v>
      </c>
      <c r="D3" s="2605" t="s">
        <v>2732</v>
      </c>
      <c r="E3" s="2610" t="s">
        <v>3675</v>
      </c>
      <c r="F3" s="2611" t="s">
        <v>3610</v>
      </c>
      <c r="G3" s="914">
        <f>IF(F3="宗地容积率",'数据-汇总表'!I4,IF(F3="估价对象容积率",'数据-汇总表'!I6,'数据-汇总表'!I7))</f>
        <v>4.79</v>
      </c>
      <c r="H3" s="198" t="s">
        <v>2733</v>
      </c>
      <c r="I3" s="945"/>
      <c r="J3" s="2608" t="s">
        <v>2734</v>
      </c>
      <c r="K3" s="1357"/>
      <c r="L3" s="2609" t="s">
        <v>2735</v>
      </c>
      <c r="M3" s="1076">
        <f>SUMPRODUCT((区片价!B29:B48=I2)*(区片价!C3:F3=E2)*(区片价!C29:F48))</f>
        <v>19610</v>
      </c>
      <c r="N3" s="1078">
        <f>SUMPRODUCT((因素修正幅度!B29:B48=I2)*(因素修正幅度!C3:F3=E2)*(因素修正幅度!C29:F48))</f>
        <v>9.8000000000000004E-2</v>
      </c>
      <c r="O3" s="1357"/>
      <c r="P3" s="1357"/>
      <c r="Q3" s="1357"/>
      <c r="R3" s="1588">
        <v>2</v>
      </c>
      <c r="S3" s="1588">
        <f>ROUND(IF(G3&gt;1,IF(R3&lt;7,SUMPRODUCT((B93:B98=R3)*(C92:N92=G2)*(C93:N98)),SUMIF(C92:N92,G2,C100:N100)),IF(R3&lt;7,SUMPRODUCT((B102:B107=R3)*(C92:N92=G2)*(C102:N107)),SUMIF(C92:N92,G2,C109:N109))),4)</f>
        <v>1.3371999999999999</v>
      </c>
      <c r="T3" s="1588">
        <f t="shared" ref="T3:T16" ca="1" si="0">ROUND($C$5*$C$18*$C$19*$C$20*S3*$C$24,0)</f>
        <v>23708</v>
      </c>
      <c r="U3" s="1589"/>
      <c r="V3" s="1588">
        <f t="shared" ref="V3:V16" ca="1" si="1">ROUND(T3*U3/10000,0)</f>
        <v>0</v>
      </c>
      <c r="W3" s="1592"/>
      <c r="X3" s="1592"/>
      <c r="Y3" s="1592"/>
      <c r="Z3" s="1592"/>
      <c r="AA3" s="1592"/>
      <c r="AB3" s="1592"/>
      <c r="AC3" s="1593"/>
      <c r="AD3" s="1594"/>
      <c r="AE3" s="1594"/>
      <c r="AF3" s="1594"/>
      <c r="AG3" s="1594"/>
      <c r="AH3" s="1594"/>
      <c r="AI3" s="1594"/>
      <c r="AJ3" s="1595"/>
    </row>
    <row r="4" spans="1:36" ht="15.75">
      <c r="A4" s="3245"/>
      <c r="B4" s="3246"/>
      <c r="C4" s="3246"/>
      <c r="D4" s="3247"/>
      <c r="E4" s="3247"/>
      <c r="F4" s="3247"/>
      <c r="G4" s="3247"/>
      <c r="H4" s="3247"/>
      <c r="I4" s="3247"/>
      <c r="J4" s="3248"/>
      <c r="K4" s="1357"/>
      <c r="L4" s="2609" t="s">
        <v>2736</v>
      </c>
      <c r="M4" s="1076">
        <f>SUMPRODUCT((区片价!B49:B75=I2)*(区片价!C3:F3=E2)*(区片价!C49:F75))</f>
        <v>0</v>
      </c>
      <c r="N4" s="1078">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1.0788</v>
      </c>
      <c r="T4" s="1588">
        <f t="shared" ca="1" si="0"/>
        <v>19127</v>
      </c>
      <c r="U4" s="1589"/>
      <c r="V4" s="1588">
        <f t="shared" ca="1" si="1"/>
        <v>0</v>
      </c>
      <c r="W4" s="1592"/>
      <c r="X4" s="1592"/>
      <c r="Y4" s="1592"/>
      <c r="Z4" s="1592"/>
      <c r="AA4" s="1592"/>
      <c r="AB4" s="1592"/>
      <c r="AC4" s="1593"/>
      <c r="AD4" s="1594"/>
      <c r="AE4" s="1594"/>
      <c r="AF4" s="1594"/>
      <c r="AG4" s="1594"/>
      <c r="AH4" s="1594"/>
      <c r="AI4" s="1594"/>
      <c r="AJ4" s="1595"/>
    </row>
    <row r="5" spans="1:36" s="2621" customFormat="1" ht="15.75" thickBot="1">
      <c r="A5" s="2612" t="s">
        <v>807</v>
      </c>
      <c r="B5" s="2613" t="s">
        <v>2737</v>
      </c>
      <c r="C5" s="915">
        <f>ROUND(IF(E2="商业",IF(F16="增加",C6*C7+C16,C6*C7-C16),IF(E2="住宅",IF(F16="增加",C6*C12+C16,C6*C12-C16),IF(F16="增加",C6+C16,C6-C16))),0)</f>
        <v>19610</v>
      </c>
      <c r="D5" s="1773">
        <f>ROUND(IF(E2="商业",IF(F16="增加",C6+C16,C6-C16)),0)</f>
        <v>19610</v>
      </c>
      <c r="E5" s="2614"/>
      <c r="F5" s="2614"/>
      <c r="G5" s="2615"/>
      <c r="H5" s="2615"/>
      <c r="I5" s="2615"/>
      <c r="J5" s="2616"/>
      <c r="K5" s="2617"/>
      <c r="L5" s="2609" t="s">
        <v>2738</v>
      </c>
      <c r="M5" s="1076">
        <f>SUMPRODUCT((区片价!B76:B109=I2)*(区片价!C3:F3=E2)*(区片价!C76:F109))</f>
        <v>0</v>
      </c>
      <c r="N5" s="1078">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0.86560000000000004</v>
      </c>
      <c r="T5" s="1588">
        <f t="shared" ca="1" si="0"/>
        <v>15347</v>
      </c>
      <c r="U5" s="1589"/>
      <c r="V5" s="1588">
        <f t="shared" ca="1" si="1"/>
        <v>0</v>
      </c>
      <c r="W5" s="1592"/>
      <c r="X5" s="1592"/>
      <c r="Y5" s="1592"/>
      <c r="Z5" s="1592"/>
      <c r="AA5" s="1592"/>
      <c r="AB5" s="1592"/>
      <c r="AC5" s="2618"/>
      <c r="AD5" s="2619"/>
      <c r="AE5" s="2619"/>
      <c r="AF5" s="2619"/>
      <c r="AG5" s="2619"/>
      <c r="AH5" s="2619"/>
      <c r="AI5" s="2619"/>
      <c r="AJ5" s="2620"/>
    </row>
    <row r="6" spans="1:36" ht="15.75" thickBot="1">
      <c r="A6" s="2622" t="s">
        <v>2739</v>
      </c>
      <c r="B6" s="2623" t="s">
        <v>2740</v>
      </c>
      <c r="C6" s="916">
        <f>SUMIF(L1:L12,G2,M1:M12)</f>
        <v>19610</v>
      </c>
      <c r="D6" s="2624" t="s">
        <v>2741</v>
      </c>
      <c r="E6" s="2625"/>
      <c r="F6" s="2625"/>
      <c r="G6" s="2626"/>
      <c r="H6" s="2626"/>
      <c r="I6" s="2626"/>
      <c r="J6" s="2627"/>
      <c r="K6" s="1828"/>
      <c r="L6" s="2609" t="s">
        <v>2742</v>
      </c>
      <c r="M6" s="1076">
        <f>SUMPRODUCT((区片价!B110:B157=I2)*(区片价!C3:F3=E2)*(区片价!C110:F157))</f>
        <v>0</v>
      </c>
      <c r="N6" s="1078">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0.73709999999999998</v>
      </c>
      <c r="T6" s="1588">
        <f t="shared" ca="1" si="0"/>
        <v>13069</v>
      </c>
      <c r="U6" s="1589"/>
      <c r="V6" s="1588">
        <f t="shared" ca="1" si="1"/>
        <v>0</v>
      </c>
      <c r="W6" s="1592"/>
      <c r="X6" s="1592"/>
      <c r="Y6" s="1592"/>
      <c r="Z6" s="1592"/>
      <c r="AA6" s="1592"/>
      <c r="AB6" s="1592"/>
      <c r="AC6" s="2618"/>
      <c r="AD6" s="2619"/>
      <c r="AE6" s="2619"/>
      <c r="AF6" s="2619"/>
      <c r="AG6" s="2619"/>
      <c r="AH6" s="2619"/>
      <c r="AI6" s="2619"/>
      <c r="AJ6" s="2620"/>
    </row>
    <row r="7" spans="1:36" ht="24">
      <c r="A7" s="3249" t="str">
        <f>IF(E2="商业",IF(C8="不临58条商业街","",2),"")</f>
        <v/>
      </c>
      <c r="B7" s="2628" t="s">
        <v>2743</v>
      </c>
      <c r="C7" s="917">
        <f>IF(C8="不临58条商业街",1,ROUND(1+(1.6*E8+1.2*E9+0.8*E10+0.4*E11)*C9,4))</f>
        <v>1</v>
      </c>
      <c r="D7" s="2629" t="s">
        <v>2744</v>
      </c>
      <c r="E7" s="946">
        <v>20</v>
      </c>
      <c r="F7" s="2630"/>
      <c r="G7" s="2631"/>
      <c r="H7" s="2631"/>
      <c r="I7" s="2631"/>
      <c r="J7" s="2632"/>
      <c r="K7" s="1828"/>
      <c r="L7" s="2609" t="s">
        <v>2745</v>
      </c>
      <c r="M7" s="1076">
        <f>SUMPRODUCT((区片价!B158:B205=I2)*(区片价!C3:F3=E2)*(区片价!C158:F205))</f>
        <v>0</v>
      </c>
      <c r="N7" s="1078">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0.6482</v>
      </c>
      <c r="T7" s="1588">
        <f t="shared" ca="1" si="0"/>
        <v>11493</v>
      </c>
      <c r="U7" s="1589"/>
      <c r="V7" s="1588">
        <f t="shared" ca="1" si="1"/>
        <v>0</v>
      </c>
      <c r="W7" s="2986" t="s">
        <v>2746</v>
      </c>
      <c r="X7" s="1590" t="str">
        <f>G2</f>
        <v>三级</v>
      </c>
      <c r="Y7" s="1590" t="s">
        <v>2747</v>
      </c>
      <c r="Z7" s="1591">
        <f>G3</f>
        <v>4.79</v>
      </c>
      <c r="AA7" s="1592"/>
      <c r="AB7" s="1592"/>
      <c r="AC7" s="1593"/>
      <c r="AD7" s="1594"/>
      <c r="AE7" s="1594"/>
      <c r="AF7" s="1594"/>
      <c r="AG7" s="1594"/>
      <c r="AH7" s="1594"/>
      <c r="AI7" s="1594"/>
      <c r="AJ7" s="1595"/>
    </row>
    <row r="8" spans="1:36" ht="25.5">
      <c r="A8" s="3250"/>
      <c r="B8" s="198" t="s">
        <v>2748</v>
      </c>
      <c r="C8" s="2633" t="s">
        <v>3618</v>
      </c>
      <c r="D8" s="918" t="s">
        <v>139</v>
      </c>
      <c r="E8" s="919">
        <f>ROUND(C11/E7,4)</f>
        <v>0</v>
      </c>
      <c r="F8" s="2634" t="s">
        <v>2749</v>
      </c>
      <c r="G8" s="2635"/>
      <c r="H8" s="2635"/>
      <c r="I8" s="2635"/>
      <c r="J8" s="2636"/>
      <c r="K8" s="1357"/>
      <c r="L8" s="2609" t="s">
        <v>2750</v>
      </c>
      <c r="M8" s="1076">
        <f>SUMPRODUCT((区片价!B206:B244=I2)*(区片价!C3:F3=E2)*(区片价!C206:F244))</f>
        <v>0</v>
      </c>
      <c r="N8" s="1078">
        <f>SUMPRODUCT((因素修正幅度!B206:B244=I2)*(因素修正幅度!C3:F3=E2)*(因素修正幅度!C206:F244))</f>
        <v>0</v>
      </c>
      <c r="O8" s="1357"/>
      <c r="P8" s="1357"/>
      <c r="Q8" s="1357"/>
      <c r="R8" s="1588">
        <v>7</v>
      </c>
      <c r="S8" s="1589"/>
      <c r="T8" s="1588">
        <f t="shared" ca="1" si="0"/>
        <v>0</v>
      </c>
      <c r="U8" s="1589"/>
      <c r="V8" s="1588">
        <f t="shared" ca="1" si="1"/>
        <v>0</v>
      </c>
      <c r="W8" s="3242" t="s">
        <v>2751</v>
      </c>
      <c r="X8" s="3243"/>
      <c r="Y8" s="1596" t="s">
        <v>2752</v>
      </c>
      <c r="Z8" s="1596" t="s">
        <v>2753</v>
      </c>
      <c r="AA8" s="1596" t="s">
        <v>2754</v>
      </c>
      <c r="AB8" s="1596" t="s">
        <v>2755</v>
      </c>
      <c r="AC8" s="1596" t="s">
        <v>2756</v>
      </c>
      <c r="AD8" s="1596" t="s">
        <v>2757</v>
      </c>
      <c r="AE8" s="1596" t="s">
        <v>2758</v>
      </c>
      <c r="AF8" s="1596" t="s">
        <v>2759</v>
      </c>
      <c r="AG8" s="1596" t="s">
        <v>2760</v>
      </c>
      <c r="AH8" s="1596" t="s">
        <v>2761</v>
      </c>
      <c r="AI8" s="1596" t="s">
        <v>2762</v>
      </c>
      <c r="AJ8" s="1596" t="s">
        <v>2763</v>
      </c>
    </row>
    <row r="9" spans="1:36" ht="15">
      <c r="A9" s="3250"/>
      <c r="B9" s="198" t="s">
        <v>2764</v>
      </c>
      <c r="C9" s="920">
        <f>SUMIF(修正!C59:C119,C8,修正!E59:E119)</f>
        <v>0</v>
      </c>
      <c r="D9" s="200" t="s">
        <v>140</v>
      </c>
      <c r="E9" s="200">
        <f>ROUND(C11/E7,4)</f>
        <v>0</v>
      </c>
      <c r="F9" s="2634" t="s">
        <v>2765</v>
      </c>
      <c r="G9" s="2635"/>
      <c r="H9" s="2635"/>
      <c r="I9" s="2635"/>
      <c r="J9" s="2636"/>
      <c r="K9" s="1357"/>
      <c r="L9" s="2609" t="s">
        <v>2766</v>
      </c>
      <c r="M9" s="1076">
        <f>SUMPRODUCT((区片价!B245:B289=I2)*(区片价!C3:F3=E2)*(区片价!C245:F289))</f>
        <v>0</v>
      </c>
      <c r="N9" s="1078">
        <f>SUMPRODUCT((因素修正幅度!B245:B289=I2)*(因素修正幅度!C3:F3=E2)*(因素修正幅度!C245:F289))</f>
        <v>0</v>
      </c>
      <c r="O9" s="1357"/>
      <c r="P9" s="1357"/>
      <c r="Q9" s="1357"/>
      <c r="R9" s="1588">
        <v>8</v>
      </c>
      <c r="S9" s="1589"/>
      <c r="T9" s="1588">
        <f t="shared" ca="1" si="0"/>
        <v>0</v>
      </c>
      <c r="U9" s="1589"/>
      <c r="V9" s="1588">
        <f t="shared" ca="1" si="1"/>
        <v>0</v>
      </c>
      <c r="W9" s="3244" t="s">
        <v>2767</v>
      </c>
      <c r="X9" s="1597" t="s">
        <v>2768</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50"/>
      <c r="B10" s="198" t="s">
        <v>2769</v>
      </c>
      <c r="C10" s="200">
        <f>SUMIF(修正!C59:C119,C8,修正!F59:F119)</f>
        <v>0</v>
      </c>
      <c r="D10" s="200" t="s">
        <v>141</v>
      </c>
      <c r="E10" s="200">
        <f>ROUND(C11/E7,4)</f>
        <v>0</v>
      </c>
      <c r="F10" s="2634" t="s">
        <v>2770</v>
      </c>
      <c r="G10" s="2635"/>
      <c r="H10" s="2635"/>
      <c r="I10" s="2635"/>
      <c r="J10" s="2636"/>
      <c r="K10" s="1357"/>
      <c r="L10" s="2609" t="s">
        <v>2771</v>
      </c>
      <c r="M10" s="1076">
        <f>SUMPRODUCT((区片价!B290:B316=I2)*(区片价!C3:F3=E2)*(区片价!C290:F316))</f>
        <v>0</v>
      </c>
      <c r="N10" s="1078">
        <f>SUMPRODUCT((因素修正幅度!B290:B316=I2)*(因素修正幅度!C3:F3=E2)*(因素修正幅度!C290:F316))</f>
        <v>0</v>
      </c>
      <c r="O10" s="1357"/>
      <c r="P10" s="1357"/>
      <c r="Q10" s="1357"/>
      <c r="R10" s="1588">
        <v>9</v>
      </c>
      <c r="S10" s="1589"/>
      <c r="T10" s="1588">
        <f t="shared" ca="1" si="0"/>
        <v>0</v>
      </c>
      <c r="U10" s="1589"/>
      <c r="V10" s="1588">
        <f t="shared" ca="1" si="1"/>
        <v>0</v>
      </c>
      <c r="W10" s="3244"/>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50"/>
      <c r="B11" s="2637" t="s">
        <v>2772</v>
      </c>
      <c r="C11" s="921">
        <f>C10/4</f>
        <v>0</v>
      </c>
      <c r="D11" s="921" t="s">
        <v>142</v>
      </c>
      <c r="E11" s="921">
        <f>ROUND(C11/E7,4)</f>
        <v>0</v>
      </c>
      <c r="F11" s="2638" t="s">
        <v>2773</v>
      </c>
      <c r="G11" s="2639"/>
      <c r="H11" s="2639"/>
      <c r="I11" s="2639"/>
      <c r="J11" s="2640"/>
      <c r="K11" s="1357"/>
      <c r="L11" s="2609" t="s">
        <v>2774</v>
      </c>
      <c r="M11" s="1076">
        <f>SUMPRODUCT((区片价!B317:B337=I2)*(区片价!C3:F3=E2)*(区片价!C317:F337))</f>
        <v>0</v>
      </c>
      <c r="N11" s="1078">
        <f>SUMPRODUCT((因素修正幅度!B317:B337=I2)*(因素修正幅度!C3:F3=E2)*(因素修正幅度!C317:F337))</f>
        <v>0</v>
      </c>
      <c r="O11" s="1357"/>
      <c r="P11" s="1357"/>
      <c r="Q11" s="1357"/>
      <c r="R11" s="1588">
        <v>10</v>
      </c>
      <c r="S11" s="1589"/>
      <c r="T11" s="1588">
        <f t="shared" ca="1" si="0"/>
        <v>0</v>
      </c>
      <c r="U11" s="1589"/>
      <c r="V11" s="1588">
        <f t="shared" ca="1" si="1"/>
        <v>0</v>
      </c>
      <c r="W11" s="3244" t="s">
        <v>2775</v>
      </c>
      <c r="X11" s="1600" t="s">
        <v>2747</v>
      </c>
      <c r="Y11" s="1601">
        <f>$G$3</f>
        <v>4.79</v>
      </c>
      <c r="Z11" s="1601">
        <f t="shared" ref="Z11:AJ11" si="3">$G$3</f>
        <v>4.79</v>
      </c>
      <c r="AA11" s="1601">
        <f t="shared" si="3"/>
        <v>4.79</v>
      </c>
      <c r="AB11" s="1601">
        <f t="shared" si="3"/>
        <v>4.79</v>
      </c>
      <c r="AC11" s="1601">
        <f t="shared" si="3"/>
        <v>4.79</v>
      </c>
      <c r="AD11" s="1601">
        <f t="shared" si="3"/>
        <v>4.79</v>
      </c>
      <c r="AE11" s="1601">
        <f t="shared" si="3"/>
        <v>4.79</v>
      </c>
      <c r="AF11" s="1601">
        <f t="shared" si="3"/>
        <v>4.79</v>
      </c>
      <c r="AG11" s="1601">
        <f t="shared" si="3"/>
        <v>4.79</v>
      </c>
      <c r="AH11" s="1601">
        <f t="shared" si="3"/>
        <v>4.79</v>
      </c>
      <c r="AI11" s="1601">
        <f t="shared" si="3"/>
        <v>4.79</v>
      </c>
      <c r="AJ11" s="1601">
        <f t="shared" si="3"/>
        <v>4.79</v>
      </c>
    </row>
    <row r="12" spans="1:36" ht="25.5" thickBot="1">
      <c r="A12" s="3249" t="s">
        <v>2777</v>
      </c>
      <c r="B12" s="2641" t="s">
        <v>2778</v>
      </c>
      <c r="C12" s="917">
        <f>ROUND(C15*D15*E15*F15*G15*H15*I15*J15,4)</f>
        <v>1</v>
      </c>
      <c r="D12" s="2642" t="s">
        <v>2779</v>
      </c>
      <c r="E12" s="2643"/>
      <c r="F12" s="2643"/>
      <c r="G12" s="2644"/>
      <c r="H12" s="2644"/>
      <c r="I12" s="2644"/>
      <c r="J12" s="2645"/>
      <c r="K12" s="1357"/>
      <c r="L12" s="2646" t="s">
        <v>2780</v>
      </c>
      <c r="M12" s="1077">
        <f>SUMPRODUCT((区片价!B338:B344=I2)*(区片价!C3:F3=E2)*(区片价!C338:F344))</f>
        <v>0</v>
      </c>
      <c r="N12" s="1078">
        <f>SUMPRODUCT((因素修正幅度!B338:B344=I2)*(因素修正幅度!C3:F3=E2)*(因素修正幅度!C338:F344))</f>
        <v>0</v>
      </c>
      <c r="O12" s="1357"/>
      <c r="P12" s="1357"/>
      <c r="Q12" s="1357"/>
      <c r="R12" s="1588">
        <v>11</v>
      </c>
      <c r="S12" s="1589"/>
      <c r="T12" s="1588">
        <f t="shared" ca="1" si="0"/>
        <v>0</v>
      </c>
      <c r="U12" s="1589"/>
      <c r="V12" s="1588">
        <f t="shared" ca="1" si="1"/>
        <v>0</v>
      </c>
      <c r="W12" s="3244"/>
      <c r="X12" s="1602" t="s">
        <v>2781</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251"/>
      <c r="B13" s="2647" t="s">
        <v>2782</v>
      </c>
      <c r="C13" s="2648" t="s">
        <v>2783</v>
      </c>
      <c r="D13" s="2981" t="s">
        <v>2784</v>
      </c>
      <c r="E13" s="2981" t="s">
        <v>2785</v>
      </c>
      <c r="F13" s="30" t="s">
        <v>2786</v>
      </c>
      <c r="G13" s="2649" t="s">
        <v>2787</v>
      </c>
      <c r="H13" s="2649" t="s">
        <v>2787</v>
      </c>
      <c r="I13" s="2649" t="s">
        <v>2787</v>
      </c>
      <c r="J13" s="2650" t="s">
        <v>2787</v>
      </c>
      <c r="K13" s="1357"/>
      <c r="L13" s="1357"/>
      <c r="M13" s="1357"/>
      <c r="N13" s="1357"/>
      <c r="O13" s="1357"/>
      <c r="P13" s="1357"/>
      <c r="Q13" s="1357"/>
      <c r="R13" s="1588">
        <v>12</v>
      </c>
      <c r="S13" s="1589"/>
      <c r="T13" s="1588">
        <f t="shared" ca="1" si="0"/>
        <v>0</v>
      </c>
      <c r="U13" s="1589"/>
      <c r="V13" s="1588">
        <f t="shared" ca="1" si="1"/>
        <v>0</v>
      </c>
      <c r="W13" s="3244"/>
      <c r="X13" s="1602"/>
      <c r="Y13" s="1599">
        <f>(-0.163*(Y12^2)-0.59*Y12+7617)*(10^(-4))/Y11</f>
        <v>0.1590187891440501</v>
      </c>
      <c r="Z13" s="1599">
        <f t="shared" ref="Z13:AJ13" si="5">(-0.163*(Z12^2)-0.59*Z12+7617)*(10^(-4))/Z11</f>
        <v>0.1590187891440501</v>
      </c>
      <c r="AA13" s="1599">
        <f t="shared" si="5"/>
        <v>0.1590187891440501</v>
      </c>
      <c r="AB13" s="1599">
        <f t="shared" si="5"/>
        <v>0.1590187891440501</v>
      </c>
      <c r="AC13" s="1599">
        <f t="shared" si="5"/>
        <v>0.1590187891440501</v>
      </c>
      <c r="AD13" s="1599">
        <f t="shared" si="5"/>
        <v>0.1590187891440501</v>
      </c>
      <c r="AE13" s="1599">
        <f t="shared" si="5"/>
        <v>0.1590187891440501</v>
      </c>
      <c r="AF13" s="1599">
        <f t="shared" si="5"/>
        <v>0.1590187891440501</v>
      </c>
      <c r="AG13" s="1599">
        <f t="shared" si="5"/>
        <v>0.1590187891440501</v>
      </c>
      <c r="AH13" s="1599">
        <f t="shared" si="5"/>
        <v>0.1590187891440501</v>
      </c>
      <c r="AI13" s="1599">
        <f t="shared" si="5"/>
        <v>0.1590187891440501</v>
      </c>
      <c r="AJ13" s="1599">
        <f t="shared" si="5"/>
        <v>0.1590187891440501</v>
      </c>
    </row>
    <row r="14" spans="1:36" ht="15">
      <c r="A14" s="3251"/>
      <c r="B14" s="2651"/>
      <c r="C14" s="2652"/>
      <c r="D14" s="2653"/>
      <c r="E14" s="2653"/>
      <c r="F14" s="2654"/>
      <c r="G14" s="2655" t="s">
        <v>2788</v>
      </c>
      <c r="H14" s="2656"/>
      <c r="I14" s="2657"/>
      <c r="J14" s="2658"/>
      <c r="K14" s="1357"/>
      <c r="L14" s="1357"/>
      <c r="M14" s="1357"/>
      <c r="N14" s="1357"/>
      <c r="O14" s="1357"/>
      <c r="P14" s="1357"/>
      <c r="Q14" s="1357"/>
      <c r="R14" s="1588">
        <v>13</v>
      </c>
      <c r="S14" s="1589"/>
      <c r="T14" s="1588">
        <f t="shared" ca="1" si="0"/>
        <v>0</v>
      </c>
      <c r="U14" s="1589"/>
      <c r="V14" s="1588">
        <f t="shared" ca="1" si="1"/>
        <v>0</v>
      </c>
      <c r="W14" s="1592"/>
      <c r="X14" s="1592"/>
      <c r="Y14" s="1592"/>
      <c r="Z14" s="1592"/>
      <c r="AA14" s="1592"/>
      <c r="AB14" s="1592"/>
      <c r="AC14" s="1593"/>
      <c r="AD14" s="1594"/>
      <c r="AE14" s="1594"/>
      <c r="AF14" s="1594"/>
      <c r="AG14" s="1594"/>
      <c r="AH14" s="1594"/>
      <c r="AI14" s="1594"/>
      <c r="AJ14" s="1595"/>
    </row>
    <row r="15" spans="1:36" ht="15.75" thickBot="1">
      <c r="A15" s="3252"/>
      <c r="B15" s="2659" t="s">
        <v>2789</v>
      </c>
      <c r="C15" s="229">
        <f>IF(C14="有",1.1,1)</f>
        <v>1</v>
      </c>
      <c r="D15" s="229">
        <f>IF(D14="有",1.1,1)</f>
        <v>1</v>
      </c>
      <c r="E15" s="229">
        <f>IF(E14="有",1.1,1)</f>
        <v>1</v>
      </c>
      <c r="F15" s="229">
        <f>IF(F14="500米范围内",1.2,IF(F14="500-1000米",1.1,1))</f>
        <v>1</v>
      </c>
      <c r="G15" s="947">
        <v>1</v>
      </c>
      <c r="H15" s="947">
        <v>1</v>
      </c>
      <c r="I15" s="947">
        <v>1</v>
      </c>
      <c r="J15" s="948">
        <v>1</v>
      </c>
      <c r="K15" s="1357"/>
      <c r="L15" s="2660" t="s">
        <v>2726</v>
      </c>
      <c r="M15" s="918" t="s">
        <v>2790</v>
      </c>
      <c r="N15" s="918" t="s">
        <v>2791</v>
      </c>
      <c r="O15" s="918" t="s">
        <v>2792</v>
      </c>
      <c r="P15" s="2661" t="s">
        <v>2793</v>
      </c>
      <c r="Q15" s="1357"/>
      <c r="R15" s="1588">
        <v>14</v>
      </c>
      <c r="S15" s="1589"/>
      <c r="T15" s="1588">
        <f t="shared" ca="1" si="0"/>
        <v>0</v>
      </c>
      <c r="U15" s="1589"/>
      <c r="V15" s="1588">
        <f t="shared" ca="1" si="1"/>
        <v>0</v>
      </c>
      <c r="W15" s="1592"/>
      <c r="X15" s="1592"/>
      <c r="Y15" s="1592"/>
      <c r="Z15" s="1592"/>
      <c r="AA15" s="1592"/>
      <c r="AB15" s="1592"/>
      <c r="AC15" s="1593"/>
      <c r="AD15" s="1594"/>
      <c r="AE15" s="1594"/>
      <c r="AF15" s="1594"/>
      <c r="AG15" s="1594"/>
      <c r="AH15" s="1594"/>
      <c r="AI15" s="1594"/>
      <c r="AJ15" s="1595"/>
    </row>
    <row r="16" spans="1:36" ht="24">
      <c r="A16" s="3249" t="s">
        <v>2794</v>
      </c>
      <c r="B16" s="2628" t="s">
        <v>2795</v>
      </c>
      <c r="C16" s="2976">
        <f>ROUND(SUM(G17:J17)/C17,0)</f>
        <v>0</v>
      </c>
      <c r="D16" s="2662" t="s">
        <v>2796</v>
      </c>
      <c r="E16" s="2663" t="s">
        <v>3614</v>
      </c>
      <c r="F16" s="2664" t="s">
        <v>3615</v>
      </c>
      <c r="G16" s="2665"/>
      <c r="H16" s="2665"/>
      <c r="I16" s="2665"/>
      <c r="J16" s="2666"/>
      <c r="K16" s="1357"/>
      <c r="L16" s="2667" t="s">
        <v>2797</v>
      </c>
      <c r="M16" s="920">
        <v>0.25</v>
      </c>
      <c r="N16" s="920">
        <v>0.2</v>
      </c>
      <c r="O16" s="920">
        <v>0.15</v>
      </c>
      <c r="P16" s="1356">
        <v>0.1</v>
      </c>
      <c r="Q16" s="1357"/>
      <c r="R16" s="1588">
        <v>15</v>
      </c>
      <c r="S16" s="1589"/>
      <c r="T16" s="1588">
        <f t="shared" ca="1" si="0"/>
        <v>0</v>
      </c>
      <c r="U16" s="1589"/>
      <c r="V16" s="1588">
        <f t="shared" ca="1" si="1"/>
        <v>0</v>
      </c>
      <c r="W16" s="1592"/>
      <c r="X16" s="1592"/>
      <c r="Y16" s="1592"/>
      <c r="Z16" s="1592"/>
      <c r="AA16" s="1592"/>
      <c r="AB16" s="1592"/>
      <c r="AC16" s="1593"/>
      <c r="AD16" s="1594"/>
      <c r="AE16" s="1594"/>
      <c r="AF16" s="1594"/>
      <c r="AG16" s="1594"/>
      <c r="AH16" s="1594"/>
      <c r="AI16" s="1594"/>
      <c r="AJ16" s="1595"/>
    </row>
    <row r="17" spans="1:37" ht="13.5" thickBot="1">
      <c r="A17" s="3250"/>
      <c r="B17" s="2668" t="s">
        <v>2798</v>
      </c>
      <c r="C17" s="922">
        <f>SUMPRODUCT((修正!A2:A5=E2)*(修正!B1:M1=G2)*(修正!B2:M5))</f>
        <v>2.5</v>
      </c>
      <c r="D17" s="2669" t="s">
        <v>2799</v>
      </c>
      <c r="E17" s="921" t="str">
        <f>IF(OR(G2="八级",G2="九级",G2="十级",G2="十一级",G2="十二级"),"五通一平","七通一平")</f>
        <v>七通一平</v>
      </c>
      <c r="F17" s="922" t="s">
        <v>2800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57"/>
      <c r="L17" s="2670" t="s">
        <v>2801</v>
      </c>
      <c r="M17" s="211">
        <f ca="1">ROUND($E$20*(1+M16),3)</f>
        <v>5.3999999999999999E-2</v>
      </c>
      <c r="N17" s="211">
        <f ca="1">ROUND($E$20*(1+N16),3)</f>
        <v>5.1999999999999998E-2</v>
      </c>
      <c r="O17" s="211">
        <f ca="1">ROUND($E$20*(1+O16),3)</f>
        <v>0.05</v>
      </c>
      <c r="P17" s="1360">
        <f ca="1">ROUND($E$20*(1+P16),3)</f>
        <v>4.8000000000000001E-2</v>
      </c>
      <c r="Q17" s="1357"/>
      <c r="R17" s="1357"/>
      <c r="S17" s="1357"/>
      <c r="T17" s="1357"/>
      <c r="U17" s="1357"/>
      <c r="V17" s="1357"/>
      <c r="W17" s="1357"/>
      <c r="X17" s="1357"/>
      <c r="Y17" s="1357"/>
      <c r="Z17" s="1358"/>
      <c r="AE17" s="2671"/>
      <c r="AF17" s="2671"/>
      <c r="AG17" s="2603"/>
      <c r="AH17" s="2603"/>
      <c r="AI17" s="2603"/>
      <c r="AJ17" s="2603"/>
    </row>
    <row r="18" spans="1:37" s="2621" customFormat="1" ht="15.75" thickBot="1">
      <c r="A18" s="2672" t="s">
        <v>808</v>
      </c>
      <c r="B18" s="2673" t="s">
        <v>2802</v>
      </c>
      <c r="C18" s="924">
        <f>SUMIF(修正!C18:C39,E3,修正!E18:E39)</f>
        <v>0.8</v>
      </c>
      <c r="D18" s="2674"/>
      <c r="E18" s="2675"/>
      <c r="F18" s="2676"/>
      <c r="G18" s="2677"/>
      <c r="H18" s="2677"/>
      <c r="I18" s="2677"/>
      <c r="J18" s="2678"/>
      <c r="K18" s="1364"/>
      <c r="O18" s="1362"/>
      <c r="P18" s="1362"/>
      <c r="Q18" s="1363"/>
      <c r="R18" s="1363"/>
      <c r="S18" s="1363"/>
      <c r="T18" s="1358"/>
      <c r="U18" s="1358"/>
      <c r="V18" s="1358"/>
      <c r="W18" s="1357"/>
      <c r="X18" s="1357"/>
      <c r="Y18" s="1357"/>
      <c r="Z18" s="1364"/>
      <c r="AA18" s="1365"/>
      <c r="AB18" s="1365"/>
      <c r="AC18" s="1365"/>
      <c r="AD18" s="1365"/>
      <c r="AE18" s="1359"/>
      <c r="AF18" s="1359"/>
      <c r="AG18" s="2679"/>
      <c r="AH18" s="2679"/>
      <c r="AI18" s="2679"/>
    </row>
    <row r="19" spans="1:37" s="2621" customFormat="1" ht="29.25" thickBot="1">
      <c r="A19" s="2672" t="s">
        <v>809</v>
      </c>
      <c r="B19" s="2673" t="s">
        <v>2803</v>
      </c>
      <c r="C19" s="925">
        <f>ROUND(IF(H19="按公示增长率计算",SUMPRODUCT((地价!A3:A21=YEAR(G19)&amp;"-"&amp;ROUNDUP(MONTH(G19)/3,0))*(地价!X2:AB2=E2)*(地价!X3:AB21)),IF(H19="地价指数",M20/M19,(1+I19)^O19)),4)</f>
        <v>1.2685</v>
      </c>
      <c r="D19" s="2680" t="s">
        <v>2804</v>
      </c>
      <c r="E19" s="926">
        <v>41640</v>
      </c>
      <c r="F19" s="2680" t="s">
        <v>2805</v>
      </c>
      <c r="G19" s="927">
        <f>'数据-取费表'!B2</f>
        <v>43161</v>
      </c>
      <c r="H19" s="2681" t="s">
        <v>3616</v>
      </c>
      <c r="I19" s="928" t="str">
        <f>IF(H19="季度增幅（自定义）",SUMIF(N21:N24,E2,O21:O24),"")</f>
        <v/>
      </c>
      <c r="J19" s="2678"/>
      <c r="K19" s="1364"/>
      <c r="L19" s="2682" t="s">
        <v>2806</v>
      </c>
      <c r="M19" s="1720">
        <f>ROUND(SUMIF(地价!B2:F2,E2,地价!B21:F21),0)</f>
        <v>258</v>
      </c>
      <c r="N19" s="2683" t="s">
        <v>2807</v>
      </c>
      <c r="O19" s="929">
        <f>ROUNDDOWN(DATEDIF(E19,G19,"M")/3,0)</f>
        <v>16</v>
      </c>
      <c r="P19" s="1361"/>
      <c r="Q19" s="1363"/>
      <c r="R19" s="1363"/>
      <c r="S19" s="1363"/>
      <c r="T19" s="1358"/>
      <c r="U19" s="1358"/>
      <c r="V19" s="1358"/>
      <c r="W19" s="1357"/>
      <c r="X19" s="1357"/>
      <c r="Y19" s="1357"/>
      <c r="Z19" s="1364"/>
      <c r="AA19" s="1365"/>
      <c r="AB19" s="1365"/>
      <c r="AC19" s="1365"/>
      <c r="AD19" s="1365"/>
      <c r="AE19" s="1365"/>
      <c r="AF19" s="2684"/>
      <c r="AG19" s="2685"/>
      <c r="AH19" s="2679"/>
      <c r="AI19" s="2686"/>
      <c r="AJ19" s="2686"/>
      <c r="AK19" s="2686"/>
    </row>
    <row r="20" spans="1:37" s="2621" customFormat="1" ht="27.75" thickBot="1">
      <c r="A20" s="2687" t="s">
        <v>810</v>
      </c>
      <c r="B20" s="2688" t="s">
        <v>2808</v>
      </c>
      <c r="C20" s="930">
        <f ca="1">ROUND(POWER(1+G20,J20-I20)*(POWER(1+G20,I20)-1)/(POWER(1+G20,J20)-1),4)</f>
        <v>0.84650000000000003</v>
      </c>
      <c r="D20" s="2689" t="s">
        <v>2809</v>
      </c>
      <c r="E20" s="1754">
        <f ca="1">存贷款利率!D4/100</f>
        <v>4.3499999999999997E-2</v>
      </c>
      <c r="F20" s="2689" t="s">
        <v>2801</v>
      </c>
      <c r="G20" s="935">
        <f ca="1">SUMIF(M15:P15,E2,M17:P17)</f>
        <v>5.3999999999999999E-2</v>
      </c>
      <c r="H20" s="2689" t="s">
        <v>2810</v>
      </c>
      <c r="I20" s="936">
        <f>SUMIF('数据-取费表'!C6:C15,E2,'数据-取费表'!F6:F15)/COUNTIF('数据-取费表'!C6:C15,E2)</f>
        <v>25.85</v>
      </c>
      <c r="J20" s="937">
        <f>IF(E2="住宅",70,IF(E2="商业",40,50))</f>
        <v>40</v>
      </c>
      <c r="K20" s="1364"/>
      <c r="L20" s="2690" t="s">
        <v>2811</v>
      </c>
      <c r="M20" s="1721">
        <f>ROUND(SUMPRODUCT((地价!A4:A21=YEAR(G19)&amp;"-"&amp;ROUNDUP(MONTH(G19)/3,0))*(地价!B2:F2=E2)*(地价!B4:F21)),0)</f>
        <v>326</v>
      </c>
      <c r="N20" s="2691" t="s">
        <v>2812</v>
      </c>
      <c r="O20" s="2692" t="s">
        <v>2813</v>
      </c>
      <c r="P20" s="2693" t="s">
        <v>2814</v>
      </c>
      <c r="R20" s="1363"/>
      <c r="S20" s="1363"/>
      <c r="T20" s="1358"/>
      <c r="U20" s="1358"/>
      <c r="V20" s="1358"/>
      <c r="W20" s="1357"/>
      <c r="X20" s="1357"/>
      <c r="Y20" s="1357"/>
      <c r="Z20" s="1364"/>
      <c r="AA20" s="1365"/>
      <c r="AB20" s="1365"/>
      <c r="AC20" s="1365"/>
      <c r="AD20" s="1365"/>
      <c r="AE20" s="1365"/>
      <c r="AF20" s="1365"/>
    </row>
    <row r="21" spans="1:37" s="2621" customFormat="1" ht="15">
      <c r="A21" s="2694" t="s">
        <v>811</v>
      </c>
      <c r="B21" s="2695" t="s">
        <v>3617</v>
      </c>
      <c r="C21" s="2985">
        <f>IF(B21="容积率修正",IF(G3&lt;=10,D22,J22),C23)</f>
        <v>0.82909999999999995</v>
      </c>
      <c r="D21" s="2696"/>
      <c r="E21" s="2696"/>
      <c r="F21" s="2696"/>
      <c r="G21" s="2696"/>
      <c r="H21" s="2696"/>
      <c r="I21" s="2696"/>
      <c r="J21" s="2697"/>
      <c r="K21" s="1364"/>
      <c r="N21" s="2698" t="s">
        <v>2815</v>
      </c>
      <c r="O21" s="1547"/>
      <c r="P21" s="1548">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621" customFormat="1" ht="14.25">
      <c r="A22" s="2547" t="s">
        <v>2816</v>
      </c>
      <c r="B22" s="2699" t="s">
        <v>2817</v>
      </c>
      <c r="C22" s="2984" t="s">
        <v>2818</v>
      </c>
      <c r="D22" s="2984">
        <f>IF(E22=G22,F22,IF(G3&lt;=10,ROUND(F22+(H22-F22)*(G3-E22)/(G22-E22),4),"——"))</f>
        <v>0.82909999999999995</v>
      </c>
      <c r="E22" s="914">
        <f>ROUNDDOWN(G3,1)</f>
        <v>4.7</v>
      </c>
      <c r="F22" s="29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914">
        <f>ROUNDUP(G3,1)</f>
        <v>4.8</v>
      </c>
      <c r="H22" s="2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0.82869999999999999</v>
      </c>
      <c r="I22" s="2984" t="s">
        <v>155</v>
      </c>
      <c r="J22" s="939" t="str">
        <f>IF(G3&gt;10,D113,"——")</f>
        <v>——</v>
      </c>
      <c r="K22" s="1364"/>
      <c r="N22" s="2698" t="s">
        <v>2819</v>
      </c>
      <c r="O22" s="1547"/>
      <c r="P22" s="1548">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547" t="s">
        <v>2820</v>
      </c>
      <c r="B23" s="2700" t="s">
        <v>2821</v>
      </c>
      <c r="C23" s="1014">
        <f>ROUND(IF(G3&gt;1,IF(I3&lt;7,SUMPRODUCT((B93:B98=I3)*(C92:N92=G2)*(C93:N98)),SUMIF(C92:N92,G2,C100:N100)),IF(I3&lt;7,SUMPRODUCT((B102:B107=I3)*(C92:N92=G2)*(C102:N107)),SUMIF(C92:N92,G2,C109:N109))),4)</f>
        <v>0</v>
      </c>
      <c r="D23" s="2656"/>
      <c r="E23" s="2656"/>
      <c r="F23" s="2701"/>
      <c r="G23" s="2702"/>
      <c r="H23" s="2703"/>
      <c r="I23" s="2704"/>
      <c r="J23" s="2705"/>
      <c r="K23" s="1357"/>
      <c r="N23" s="2698" t="s">
        <v>2822</v>
      </c>
      <c r="O23" s="1547"/>
      <c r="P23" s="1548">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679"/>
    </row>
    <row r="24" spans="1:37" s="2621" customFormat="1" ht="15.75" thickBot="1">
      <c r="A24" s="2687" t="s">
        <v>812</v>
      </c>
      <c r="B24" s="2673" t="s">
        <v>2823</v>
      </c>
      <c r="C24" s="925">
        <f>SUMIF(A45:A88,E2,B45:B88)</f>
        <v>1.0525</v>
      </c>
      <c r="D24" s="2676"/>
      <c r="E24" s="2706"/>
      <c r="F24" s="2706"/>
      <c r="G24" s="2706"/>
      <c r="H24" s="2706"/>
      <c r="I24" s="2706"/>
      <c r="J24" s="2707"/>
      <c r="K24" s="1364"/>
      <c r="N24" s="2708" t="s">
        <v>2824</v>
      </c>
      <c r="O24" s="1549"/>
      <c r="P24" s="1550">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687" t="s">
        <v>813</v>
      </c>
      <c r="B25" s="2709" t="s">
        <v>2825</v>
      </c>
      <c r="C25" s="931"/>
      <c r="D25" s="2631"/>
      <c r="E25" s="2631"/>
      <c r="F25" s="2710"/>
      <c r="G25" s="2631"/>
      <c r="H25" s="2631"/>
      <c r="I25" s="2631"/>
      <c r="J25" s="2632"/>
      <c r="K25" s="1357"/>
      <c r="N25" s="2711" t="s">
        <v>2826</v>
      </c>
      <c r="O25" s="1551"/>
      <c r="P25" s="1550">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
      <c r="A26" s="2712"/>
      <c r="B26" s="2699" t="s">
        <v>2827</v>
      </c>
      <c r="C26" s="206">
        <f ca="1">E29+SUM(E33:E39)</f>
        <v>2346</v>
      </c>
      <c r="D26" s="2713"/>
      <c r="E26" s="2656"/>
      <c r="F26" s="2714"/>
      <c r="G26" s="2656"/>
      <c r="H26" s="2656"/>
      <c r="I26" s="2656"/>
      <c r="J26" s="2715"/>
      <c r="K26" s="1357"/>
      <c r="R26" s="1363"/>
      <c r="S26" s="1363"/>
      <c r="T26" s="1358"/>
      <c r="U26" s="1358"/>
      <c r="V26" s="1358"/>
      <c r="W26" s="1357"/>
      <c r="X26" s="1357"/>
      <c r="Y26" s="1357"/>
      <c r="Z26" s="1364"/>
      <c r="AA26" s="1365"/>
      <c r="AB26" s="1365"/>
      <c r="AC26" s="1365"/>
      <c r="AD26" s="1365"/>
    </row>
    <row r="27" spans="1:37" ht="15.75" thickBot="1">
      <c r="A27" s="2712"/>
      <c r="B27" s="2716" t="s">
        <v>2828</v>
      </c>
      <c r="C27" s="932">
        <f ca="1">E30+SUM(I33:I39)</f>
        <v>0</v>
      </c>
      <c r="D27" s="2717"/>
      <c r="E27" s="2718"/>
      <c r="F27" s="2719"/>
      <c r="G27" s="2718"/>
      <c r="H27" s="2718"/>
      <c r="I27" s="2718"/>
      <c r="J27" s="2720"/>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721"/>
      <c r="B28" s="2722" t="s">
        <v>2829</v>
      </c>
      <c r="C28" s="2723" t="s">
        <v>2830</v>
      </c>
      <c r="D28" s="2723" t="s">
        <v>2831</v>
      </c>
      <c r="E28" s="2724" t="s">
        <v>2832</v>
      </c>
      <c r="F28" s="2725"/>
      <c r="G28" s="2644"/>
      <c r="H28" s="2644"/>
      <c r="I28" s="2644"/>
      <c r="J28" s="2645"/>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726"/>
      <c r="B29" s="2727" t="s">
        <v>2833</v>
      </c>
      <c r="C29" s="206">
        <f ca="1">ROUND(C5*C18*C19*C20*C21*C24,0)</f>
        <v>14700</v>
      </c>
      <c r="D29" s="2728">
        <f>'数据-汇总表'!F19</f>
        <v>1595.68</v>
      </c>
      <c r="E29" s="2989">
        <f ca="1">ROUND(C29*D29/10000,0)</f>
        <v>2346</v>
      </c>
      <c r="F29" s="2729" t="s">
        <v>2834</v>
      </c>
      <c r="G29" s="2730"/>
      <c r="H29" s="2730"/>
      <c r="I29" s="2730"/>
      <c r="J29" s="2731"/>
      <c r="K29" s="1357"/>
      <c r="L29" s="1357"/>
      <c r="M29" s="1357"/>
      <c r="N29" s="1357"/>
      <c r="O29" s="1362"/>
      <c r="P29" s="1362"/>
      <c r="Q29" s="1363"/>
      <c r="R29" s="1363"/>
      <c r="S29" s="1363"/>
      <c r="T29" s="1358"/>
      <c r="U29" s="1358"/>
      <c r="V29" s="1358"/>
      <c r="W29" s="1357"/>
      <c r="X29" s="1357"/>
      <c r="Y29" s="1357"/>
      <c r="Z29" s="1364"/>
      <c r="AA29" s="1365"/>
      <c r="AB29" s="1365"/>
      <c r="AC29" s="1365"/>
      <c r="AD29" s="1365"/>
      <c r="AE29" s="2671"/>
      <c r="AF29" s="2671"/>
      <c r="AG29" s="2603"/>
      <c r="AH29" s="2603"/>
      <c r="AI29" s="2603"/>
      <c r="AJ29" s="2603"/>
    </row>
    <row r="30" spans="1:37" ht="25.5" thickBot="1">
      <c r="A30" s="2732"/>
      <c r="B30" s="2733" t="s">
        <v>2835</v>
      </c>
      <c r="C30" s="229">
        <f ca="1">ROUND(IF(E2="工业",C29*M39,C29*M38),0)</f>
        <v>3675</v>
      </c>
      <c r="D30" s="2734"/>
      <c r="E30" s="2989">
        <f ca="1">ROUND(C30*D30/10000,0)</f>
        <v>0</v>
      </c>
      <c r="F30" s="2735" t="s">
        <v>2836</v>
      </c>
      <c r="G30" s="2736"/>
      <c r="H30" s="2736"/>
      <c r="I30" s="2736"/>
      <c r="J30" s="2737"/>
      <c r="K30" s="1357"/>
      <c r="L30" s="1357"/>
      <c r="M30" s="1357"/>
      <c r="N30" s="1357"/>
      <c r="O30" s="1362"/>
      <c r="P30" s="1362"/>
      <c r="Q30" s="1363"/>
      <c r="R30" s="1363"/>
      <c r="S30" s="1363"/>
      <c r="T30" s="1358"/>
      <c r="U30" s="1358"/>
      <c r="V30" s="1358"/>
      <c r="W30" s="1357"/>
      <c r="X30" s="1357"/>
      <c r="Y30" s="1357"/>
      <c r="Z30" s="1364"/>
      <c r="AA30" s="1365"/>
      <c r="AB30" s="1365"/>
      <c r="AC30" s="1365"/>
      <c r="AD30" s="1365"/>
      <c r="AE30" s="2671"/>
      <c r="AF30" s="2671"/>
      <c r="AG30" s="2603"/>
      <c r="AH30" s="2603"/>
      <c r="AI30" s="2603"/>
      <c r="AJ30" s="2603"/>
    </row>
    <row r="31" spans="1:37" ht="14.25">
      <c r="A31" s="2738"/>
      <c r="B31" s="2739" t="s">
        <v>2837</v>
      </c>
      <c r="C31" s="2740" t="s">
        <v>2838</v>
      </c>
      <c r="D31" s="2644"/>
      <c r="E31" s="2740"/>
      <c r="F31" s="2740"/>
      <c r="G31" s="2642" t="s">
        <v>2839</v>
      </c>
      <c r="H31" s="2644"/>
      <c r="I31" s="2741"/>
      <c r="J31" s="2645"/>
      <c r="K31" s="1357"/>
      <c r="L31" s="1357"/>
      <c r="M31" s="1357"/>
      <c r="N31" s="1357"/>
      <c r="O31" s="1362"/>
      <c r="P31" s="1362"/>
      <c r="Q31" s="1363"/>
      <c r="R31" s="1363"/>
      <c r="S31" s="1363"/>
      <c r="T31" s="1358"/>
      <c r="U31" s="1358"/>
      <c r="V31" s="1358"/>
      <c r="W31" s="1357"/>
      <c r="X31" s="1357"/>
      <c r="Y31" s="1357"/>
      <c r="Z31" s="1364"/>
      <c r="AA31" s="1365"/>
      <c r="AB31" s="1365"/>
      <c r="AC31" s="1365"/>
      <c r="AD31" s="1365"/>
      <c r="AE31" s="2671"/>
      <c r="AF31" s="2671"/>
      <c r="AG31" s="2603"/>
      <c r="AH31" s="2603"/>
      <c r="AI31" s="2603"/>
      <c r="AJ31" s="2603"/>
    </row>
    <row r="32" spans="1:37" ht="24">
      <c r="A32" s="2726"/>
      <c r="B32" s="2742"/>
      <c r="C32" s="501" t="s">
        <v>2830</v>
      </c>
      <c r="D32" s="498" t="s">
        <v>2831</v>
      </c>
      <c r="E32" s="498" t="s">
        <v>2832</v>
      </c>
      <c r="F32" s="388" t="s">
        <v>2840</v>
      </c>
      <c r="G32" s="2743" t="s">
        <v>2830</v>
      </c>
      <c r="H32" s="2743" t="s">
        <v>2831</v>
      </c>
      <c r="I32" s="2743" t="s">
        <v>2832</v>
      </c>
      <c r="J32" s="287"/>
      <c r="K32" s="1357"/>
      <c r="L32" s="1357"/>
      <c r="M32" s="1357"/>
      <c r="N32" s="1357"/>
      <c r="O32" s="1362"/>
      <c r="P32" s="1362"/>
      <c r="Q32" s="1363"/>
      <c r="R32" s="1363"/>
      <c r="S32" s="1363"/>
      <c r="T32" s="1358"/>
      <c r="U32" s="1358"/>
      <c r="V32" s="1358"/>
      <c r="W32" s="1357"/>
      <c r="X32" s="1357"/>
      <c r="Y32" s="1357"/>
      <c r="Z32" s="1364"/>
      <c r="AA32" s="1365"/>
      <c r="AB32" s="1365"/>
      <c r="AC32" s="1365"/>
      <c r="AD32" s="1365"/>
      <c r="AE32" s="2671"/>
      <c r="AF32" s="2671"/>
      <c r="AG32" s="2603"/>
      <c r="AH32" s="2603"/>
      <c r="AI32" s="2603"/>
      <c r="AJ32" s="2603"/>
    </row>
    <row r="33" spans="1:37" ht="36" customHeight="1">
      <c r="A33" s="3259" t="s">
        <v>2841</v>
      </c>
      <c r="B33" s="2744" t="s">
        <v>2842</v>
      </c>
      <c r="C33" s="206">
        <f ca="1">ROUND(D5*C19*C20*C24*F33,0)</f>
        <v>15514</v>
      </c>
      <c r="D33" s="2728"/>
      <c r="E33" s="200">
        <f ca="1">ROUND(C33*D33/10000,0)</f>
        <v>0</v>
      </c>
      <c r="F33" s="200">
        <f>SUMIF(修正!A45:A56,G2,修正!B45:B56)</f>
        <v>0.7</v>
      </c>
      <c r="G33" s="200">
        <f t="shared" ref="G33:G39" ca="1" si="6">ROUND(IF(E2="工业",C33*$M$39,C33*$M$38),0)</f>
        <v>3879</v>
      </c>
      <c r="H33" s="200">
        <f>D33</f>
        <v>0</v>
      </c>
      <c r="I33" s="200">
        <f ca="1">ROUND(G33*H33/10000,0)</f>
        <v>0</v>
      </c>
      <c r="J33" s="2745"/>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260"/>
      <c r="B34" s="2648" t="s">
        <v>2843</v>
      </c>
      <c r="C34" s="206">
        <f ca="1">ROUND(D5*C19*C20*C24*F34,0)</f>
        <v>8865</v>
      </c>
      <c r="D34" s="2728"/>
      <c r="E34" s="200">
        <f t="shared" ref="E34:E39" ca="1" si="7">ROUND(C34*D34/10000,0)</f>
        <v>0</v>
      </c>
      <c r="F34" s="200">
        <f>SUMIF(修正!A45:A56,G2,修正!C45:C56)</f>
        <v>0.4</v>
      </c>
      <c r="G34" s="200">
        <f t="shared" ca="1" si="6"/>
        <v>2216</v>
      </c>
      <c r="H34" s="200">
        <f t="shared" ref="H34:H39" si="8">D34</f>
        <v>0</v>
      </c>
      <c r="I34" s="200">
        <f t="shared" ref="I34:I39" ca="1" si="9">ROUND(G34*H34/10000,0)</f>
        <v>0</v>
      </c>
      <c r="J34" s="2745"/>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260"/>
      <c r="B35" s="2648" t="s">
        <v>2844</v>
      </c>
      <c r="C35" s="206">
        <f ca="1">ROUND(D5*C19*C20*C24*F35,0)</f>
        <v>6205</v>
      </c>
      <c r="D35" s="2728"/>
      <c r="E35" s="200">
        <f t="shared" ca="1" si="7"/>
        <v>0</v>
      </c>
      <c r="F35" s="200">
        <f>SUMIF(修正!A45:A56,G2,修正!D45:D56)</f>
        <v>0.28000000000000003</v>
      </c>
      <c r="G35" s="200">
        <f t="shared" ca="1" si="6"/>
        <v>1551</v>
      </c>
      <c r="H35" s="200">
        <f t="shared" si="8"/>
        <v>0</v>
      </c>
      <c r="I35" s="200">
        <f t="shared" ca="1" si="9"/>
        <v>0</v>
      </c>
      <c r="J35" s="2745"/>
      <c r="K35" s="1357"/>
      <c r="L35" s="1357"/>
      <c r="M35" s="1357"/>
      <c r="N35" s="1357"/>
      <c r="O35" s="1357"/>
      <c r="P35" s="1357"/>
      <c r="Q35" s="1357"/>
      <c r="R35" s="1357"/>
      <c r="S35" s="1357"/>
      <c r="T35" s="1357"/>
      <c r="U35" s="1357"/>
      <c r="V35" s="1357"/>
      <c r="W35" s="1357"/>
      <c r="X35" s="1357"/>
      <c r="Y35" s="1357"/>
      <c r="Z35" s="1358"/>
    </row>
    <row r="36" spans="1:37" ht="13.5" thickBot="1">
      <c r="A36" s="3261"/>
      <c r="B36" s="2648" t="s">
        <v>2845</v>
      </c>
      <c r="C36" s="206">
        <f ca="1">ROUND(D5*C19*C20*C24*F36,0)</f>
        <v>5541</v>
      </c>
      <c r="D36" s="2728"/>
      <c r="E36" s="200">
        <f t="shared" ca="1" si="7"/>
        <v>0</v>
      </c>
      <c r="F36" s="200">
        <f>SUMIF(修正!A45:A56,G2,修正!E45:E56)</f>
        <v>0.25</v>
      </c>
      <c r="G36" s="200">
        <f t="shared" ca="1" si="6"/>
        <v>1385</v>
      </c>
      <c r="H36" s="200">
        <f t="shared" si="8"/>
        <v>0</v>
      </c>
      <c r="I36" s="200">
        <f t="shared" ca="1" si="9"/>
        <v>0</v>
      </c>
      <c r="J36" s="2745"/>
      <c r="K36" s="1357"/>
      <c r="L36" s="2602"/>
      <c r="M36" s="2602"/>
      <c r="N36" s="1357"/>
      <c r="O36" s="1357"/>
      <c r="P36" s="1357"/>
      <c r="Q36" s="1357"/>
      <c r="R36" s="1357"/>
      <c r="S36" s="1357"/>
      <c r="T36" s="1357"/>
      <c r="U36" s="1357"/>
      <c r="V36" s="1357"/>
      <c r="W36" s="1357"/>
      <c r="X36" s="1357"/>
      <c r="Y36" s="1357"/>
      <c r="Z36" s="1358"/>
    </row>
    <row r="37" spans="1:37">
      <c r="A37" s="2746"/>
      <c r="B37" s="2648" t="s">
        <v>2846</v>
      </c>
      <c r="C37" s="200">
        <f ca="1">ROUND(C5*C19*C20*C24*F37,0)</f>
        <v>5541</v>
      </c>
      <c r="D37" s="2728"/>
      <c r="E37" s="200">
        <f t="shared" ca="1" si="7"/>
        <v>0</v>
      </c>
      <c r="F37" s="206">
        <f>SUMIF(修正!A45:A56,G2,修正!F45:F56)</f>
        <v>0.25</v>
      </c>
      <c r="G37" s="200">
        <f t="shared" ca="1" si="6"/>
        <v>1385</v>
      </c>
      <c r="H37" s="200">
        <f t="shared" si="8"/>
        <v>0</v>
      </c>
      <c r="I37" s="200">
        <f t="shared" ca="1" si="9"/>
        <v>0</v>
      </c>
      <c r="J37" s="2745"/>
      <c r="K37" s="1357"/>
      <c r="L37" s="2747" t="s">
        <v>2847</v>
      </c>
      <c r="M37" s="2748"/>
      <c r="N37" s="1357"/>
      <c r="O37" s="1357"/>
      <c r="P37" s="1357"/>
      <c r="Q37" s="1357"/>
      <c r="R37" s="1357"/>
      <c r="S37" s="1357"/>
      <c r="T37" s="1357"/>
      <c r="U37" s="1357"/>
      <c r="V37" s="1357"/>
      <c r="W37" s="1357"/>
      <c r="X37" s="1357"/>
      <c r="Y37" s="1357"/>
      <c r="Z37" s="1358"/>
    </row>
    <row r="38" spans="1:37">
      <c r="A38" s="2746"/>
      <c r="B38" s="2648" t="s">
        <v>2848</v>
      </c>
      <c r="C38" s="200">
        <f ca="1">ROUND(C5*C19*C20*C24*F38,0)</f>
        <v>5541</v>
      </c>
      <c r="D38" s="2728"/>
      <c r="E38" s="200">
        <f t="shared" ca="1" si="7"/>
        <v>0</v>
      </c>
      <c r="F38" s="206">
        <f>SUMIF(修正!A45:A56,G2,修正!G45:G56)</f>
        <v>0.25</v>
      </c>
      <c r="G38" s="200">
        <f t="shared" ca="1" si="6"/>
        <v>1385</v>
      </c>
      <c r="H38" s="200">
        <f t="shared" si="8"/>
        <v>0</v>
      </c>
      <c r="I38" s="200">
        <f t="shared" ca="1" si="9"/>
        <v>0</v>
      </c>
      <c r="J38" s="2745"/>
      <c r="K38" s="1357"/>
      <c r="L38" s="1873" t="s">
        <v>2849</v>
      </c>
      <c r="M38" s="2749">
        <v>0.25</v>
      </c>
      <c r="N38" s="1357"/>
      <c r="O38" s="1357"/>
      <c r="P38" s="1357"/>
      <c r="Q38" s="1357"/>
      <c r="R38" s="1357"/>
      <c r="S38" s="1357"/>
      <c r="T38" s="1357"/>
      <c r="U38" s="1357"/>
      <c r="V38" s="1357"/>
      <c r="W38" s="1357"/>
      <c r="X38" s="1357"/>
      <c r="Y38" s="1357"/>
      <c r="Z38" s="1358"/>
    </row>
    <row r="39" spans="1:37" ht="13.5" thickBot="1">
      <c r="A39" s="2732"/>
      <c r="B39" s="2750" t="s">
        <v>2850</v>
      </c>
      <c r="C39" s="229">
        <f ca="1">ROUND(C5*C19*C20*C24*F39,0)</f>
        <v>4432</v>
      </c>
      <c r="D39" s="2734"/>
      <c r="E39" s="229">
        <f t="shared" ca="1" si="7"/>
        <v>0</v>
      </c>
      <c r="F39" s="933">
        <f>SUMIF(修正!A45:A56,G2,修正!H45:H56)</f>
        <v>0.2</v>
      </c>
      <c r="G39" s="229">
        <f t="shared" ca="1" si="6"/>
        <v>1108</v>
      </c>
      <c r="H39" s="229">
        <f t="shared" si="8"/>
        <v>0</v>
      </c>
      <c r="I39" s="229">
        <f t="shared" ca="1" si="9"/>
        <v>0</v>
      </c>
      <c r="J39" s="2751"/>
      <c r="K39" s="1357"/>
      <c r="L39" s="2752" t="s">
        <v>2793</v>
      </c>
      <c r="M39" s="2753">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754"/>
      <c r="Z41" s="1358"/>
      <c r="AA41" s="1358"/>
      <c r="AB41" s="1358"/>
      <c r="AC41" s="1358"/>
      <c r="AD41" s="1358"/>
      <c r="AE41" s="1358"/>
      <c r="AF41" s="1358"/>
      <c r="AG41" s="1358"/>
      <c r="AH41" s="1358"/>
      <c r="AI41" s="1358"/>
      <c r="AJ41" s="1358"/>
    </row>
    <row r="42" spans="1:37" s="1357" customFormat="1">
      <c r="A42" s="1358"/>
      <c r="B42" s="2754"/>
      <c r="Z42" s="1358"/>
      <c r="AA42" s="1358"/>
      <c r="AB42" s="1358"/>
      <c r="AC42" s="1358"/>
      <c r="AD42" s="1358"/>
      <c r="AE42" s="1358"/>
      <c r="AF42" s="1358"/>
      <c r="AG42" s="1358"/>
      <c r="AH42" s="1358"/>
      <c r="AI42" s="1358"/>
      <c r="AJ42" s="1358"/>
    </row>
    <row r="43" spans="1:37" s="1357" customFormat="1">
      <c r="A43" s="1358"/>
      <c r="B43" s="2754"/>
      <c r="Z43" s="1358"/>
      <c r="AA43" s="1358"/>
      <c r="AB43" s="1358"/>
      <c r="AC43" s="1358"/>
      <c r="AD43" s="1358"/>
      <c r="AE43" s="1358"/>
      <c r="AF43" s="1358"/>
      <c r="AG43" s="1358"/>
      <c r="AH43" s="1358"/>
      <c r="AI43" s="1358"/>
      <c r="AJ43" s="1358"/>
    </row>
    <row r="44" spans="1:37" s="1357" customFormat="1">
      <c r="A44" s="1358"/>
      <c r="B44" s="2754"/>
      <c r="Z44" s="1358"/>
      <c r="AA44" s="1358"/>
      <c r="AB44" s="1358"/>
      <c r="AC44" s="1358"/>
      <c r="AD44" s="1358"/>
      <c r="AE44" s="1358"/>
      <c r="AF44" s="1358"/>
      <c r="AG44" s="1358"/>
      <c r="AH44" s="1358"/>
      <c r="AI44" s="1358"/>
      <c r="AJ44" s="1358"/>
    </row>
    <row r="45" spans="1:37" s="1357" customFormat="1" ht="15.75" thickBot="1">
      <c r="A45" s="2755" t="s">
        <v>2851</v>
      </c>
      <c r="B45" s="2756"/>
      <c r="C45" s="7"/>
      <c r="D45" s="7"/>
      <c r="E45" s="7"/>
      <c r="F45" s="6"/>
      <c r="G45" s="6"/>
      <c r="H45" s="6"/>
      <c r="I45" s="7"/>
      <c r="J45" s="7"/>
      <c r="K45" s="7"/>
      <c r="L45" s="7"/>
      <c r="M45" s="7"/>
      <c r="N45" s="2671"/>
      <c r="Z45" s="1358"/>
      <c r="AA45" s="1358"/>
      <c r="AB45" s="1358"/>
      <c r="AC45" s="1358"/>
      <c r="AD45" s="1358"/>
      <c r="AE45" s="1358"/>
      <c r="AF45" s="1358"/>
      <c r="AG45" s="1358"/>
      <c r="AH45" s="1358"/>
      <c r="AI45" s="1358"/>
      <c r="AJ45" s="1358"/>
    </row>
    <row r="46" spans="1:37" s="1357" customFormat="1" ht="15">
      <c r="A46" s="2757" t="s">
        <v>2852</v>
      </c>
      <c r="B46" s="2758">
        <f>1+E48</f>
        <v>1.0525</v>
      </c>
      <c r="C46" s="2759"/>
      <c r="D46" s="812"/>
      <c r="E46" s="813"/>
      <c r="F46" s="2760"/>
      <c r="G46" s="6"/>
      <c r="H46" s="7"/>
      <c r="I46" s="7"/>
      <c r="J46" s="7"/>
      <c r="K46" s="7"/>
      <c r="L46" s="7"/>
      <c r="M46" s="7"/>
      <c r="N46" s="2671"/>
      <c r="Z46" s="1358"/>
      <c r="AA46" s="1358"/>
      <c r="AB46" s="1358"/>
      <c r="AC46" s="1358"/>
      <c r="AD46" s="1358"/>
      <c r="AE46" s="1358"/>
      <c r="AF46" s="1358"/>
      <c r="AG46" s="1358"/>
      <c r="AH46" s="1358"/>
      <c r="AI46" s="1358"/>
      <c r="AJ46" s="1358"/>
    </row>
    <row r="47" spans="1:37" s="1357" customFormat="1" ht="24.75">
      <c r="A47" s="2761" t="s">
        <v>2853</v>
      </c>
      <c r="B47" s="2979" t="s">
        <v>2854</v>
      </c>
      <c r="C47" s="2979" t="s">
        <v>2855</v>
      </c>
      <c r="D47" s="2979" t="s">
        <v>2856</v>
      </c>
      <c r="E47" s="817" t="s">
        <v>2857</v>
      </c>
      <c r="F47" s="2762" t="s">
        <v>2858</v>
      </c>
      <c r="G47" s="2979" t="s">
        <v>754</v>
      </c>
      <c r="H47" s="2763" t="s">
        <v>2859</v>
      </c>
      <c r="I47" s="2979" t="s">
        <v>2860</v>
      </c>
      <c r="J47" s="603" t="s">
        <v>2509</v>
      </c>
      <c r="K47" s="603" t="s">
        <v>2510</v>
      </c>
      <c r="L47" s="603" t="s">
        <v>2511</v>
      </c>
      <c r="M47" s="603" t="s">
        <v>2512</v>
      </c>
      <c r="N47" s="603" t="s">
        <v>2513</v>
      </c>
      <c r="AA47" s="1358"/>
      <c r="AB47" s="1358"/>
      <c r="AC47" s="1358"/>
      <c r="AD47" s="1358"/>
      <c r="AE47" s="1358"/>
      <c r="AF47" s="1358"/>
      <c r="AG47" s="1358"/>
      <c r="AH47" s="1358"/>
      <c r="AI47" s="1358"/>
      <c r="AJ47" s="1358"/>
      <c r="AK47" s="1358"/>
    </row>
    <row r="48" spans="1:37" s="1357" customFormat="1" ht="24.75">
      <c r="A48" s="2761" t="s">
        <v>2861</v>
      </c>
      <c r="B48" s="2764">
        <f>估价对象房地状况!C4</f>
        <v>0</v>
      </c>
      <c r="C48" s="2653" t="s">
        <v>3548</v>
      </c>
      <c r="D48" s="1273">
        <f t="shared" ref="D48:D56" si="10">SUMIF($J$47:$N$47,C48,J48:N48)</f>
        <v>1.61E-2</v>
      </c>
      <c r="E48" s="819">
        <f>ROUND(SUM(D48:D56),4)</f>
        <v>5.2499999999999998E-2</v>
      </c>
      <c r="F48" s="2386">
        <f>IF(E2="商业",SUMIF(L1:L12,G2,N1:N12),"——")</f>
        <v>9.8000000000000004E-2</v>
      </c>
      <c r="G48" s="1271">
        <f>H48</f>
        <v>1.61E-2</v>
      </c>
      <c r="H48" s="1275">
        <f t="shared" ref="H48:H56" si="11">IFERROR(ROUNDDOWN($F$48*I48/2,4),"——")</f>
        <v>1.61E-2</v>
      </c>
      <c r="I48" s="818">
        <v>0.33</v>
      </c>
      <c r="J48" s="1272">
        <f t="shared" ref="J48:J56" si="12">K48+$G48</f>
        <v>3.2199999999999999E-2</v>
      </c>
      <c r="K48" s="1272">
        <f t="shared" ref="K48:K56" si="13">$L48+$G48</f>
        <v>1.61E-2</v>
      </c>
      <c r="L48" s="1272">
        <v>0</v>
      </c>
      <c r="M48" s="1272">
        <f t="shared" ref="M48:N56" si="14">L48-$G48</f>
        <v>-1.61E-2</v>
      </c>
      <c r="N48" s="1272">
        <f t="shared" si="14"/>
        <v>-3.2199999999999999E-2</v>
      </c>
      <c r="AA48" s="1358"/>
      <c r="AB48" s="1358"/>
      <c r="AC48" s="1358"/>
      <c r="AD48" s="1358"/>
      <c r="AE48" s="1358"/>
      <c r="AF48" s="1358"/>
      <c r="AG48" s="1358"/>
      <c r="AH48" s="1358"/>
      <c r="AI48" s="1358"/>
      <c r="AJ48" s="1358"/>
      <c r="AK48" s="1358"/>
    </row>
    <row r="49" spans="1:37" s="1357" customFormat="1" ht="14.25">
      <c r="A49" s="2761" t="s">
        <v>2862</v>
      </c>
      <c r="B49" s="2765">
        <f>估价对象房地状况!C18</f>
        <v>0</v>
      </c>
      <c r="C49" s="2653" t="str">
        <f>C71</f>
        <v>较好</v>
      </c>
      <c r="D49" s="1273">
        <f t="shared" si="10"/>
        <v>1.2200000000000001E-2</v>
      </c>
      <c r="E49" s="820"/>
      <c r="F49" s="2386"/>
      <c r="G49" s="1271">
        <f t="shared" ref="G49:G56" si="15">H49</f>
        <v>1.2200000000000001E-2</v>
      </c>
      <c r="H49" s="1275">
        <f t="shared" si="11"/>
        <v>1.2200000000000001E-2</v>
      </c>
      <c r="I49" s="818">
        <v>0.25</v>
      </c>
      <c r="J49" s="1272">
        <f t="shared" si="12"/>
        <v>2.4400000000000002E-2</v>
      </c>
      <c r="K49" s="1272">
        <f t="shared" si="13"/>
        <v>1.2200000000000001E-2</v>
      </c>
      <c r="L49" s="1272">
        <v>0</v>
      </c>
      <c r="M49" s="1272">
        <f t="shared" si="14"/>
        <v>-1.2200000000000001E-2</v>
      </c>
      <c r="N49" s="1272">
        <f t="shared" si="14"/>
        <v>-2.4400000000000002E-2</v>
      </c>
      <c r="AA49" s="1358"/>
      <c r="AB49" s="1358"/>
      <c r="AC49" s="1358"/>
      <c r="AD49" s="1358"/>
      <c r="AE49" s="1358"/>
      <c r="AF49" s="1358"/>
      <c r="AG49" s="1358"/>
      <c r="AH49" s="1358"/>
      <c r="AI49" s="1358"/>
      <c r="AJ49" s="1358"/>
      <c r="AK49" s="1358"/>
    </row>
    <row r="50" spans="1:37" s="1357" customFormat="1" ht="24">
      <c r="A50" s="2761" t="s">
        <v>2863</v>
      </c>
      <c r="B50" s="2765">
        <f>估价对象房地状况!C19</f>
        <v>0</v>
      </c>
      <c r="C50" s="2653" t="s">
        <v>3619</v>
      </c>
      <c r="D50" s="1273">
        <f t="shared" si="10"/>
        <v>0</v>
      </c>
      <c r="E50" s="820"/>
      <c r="F50" s="2386"/>
      <c r="G50" s="1271">
        <f t="shared" si="15"/>
        <v>2.3999999999999998E-3</v>
      </c>
      <c r="H50" s="1275">
        <f t="shared" si="11"/>
        <v>2.3999999999999998E-3</v>
      </c>
      <c r="I50" s="818">
        <v>0.05</v>
      </c>
      <c r="J50" s="1272">
        <f t="shared" si="12"/>
        <v>4.7999999999999996E-3</v>
      </c>
      <c r="K50" s="1272">
        <f t="shared" si="13"/>
        <v>2.3999999999999998E-3</v>
      </c>
      <c r="L50" s="1272">
        <v>0</v>
      </c>
      <c r="M50" s="1272">
        <f t="shared" si="14"/>
        <v>-2.3999999999999998E-3</v>
      </c>
      <c r="N50" s="1272">
        <f t="shared" si="14"/>
        <v>-4.7999999999999996E-3</v>
      </c>
      <c r="AA50" s="1358"/>
      <c r="AB50" s="1358"/>
      <c r="AC50" s="1358"/>
      <c r="AD50" s="1358"/>
      <c r="AE50" s="1358"/>
      <c r="AF50" s="1358"/>
      <c r="AG50" s="1358"/>
      <c r="AH50" s="1358"/>
      <c r="AI50" s="1358"/>
      <c r="AJ50" s="1358"/>
      <c r="AK50" s="1358"/>
    </row>
    <row r="51" spans="1:37" s="1357" customFormat="1" ht="24">
      <c r="A51" s="2761" t="s">
        <v>2864</v>
      </c>
      <c r="B51" s="2766"/>
      <c r="C51" s="2653" t="s">
        <v>3619</v>
      </c>
      <c r="D51" s="1273">
        <f t="shared" si="10"/>
        <v>0</v>
      </c>
      <c r="E51" s="820"/>
      <c r="F51" s="2386"/>
      <c r="G51" s="1271">
        <f t="shared" si="15"/>
        <v>2.3999999999999998E-3</v>
      </c>
      <c r="H51" s="1275">
        <f t="shared" si="11"/>
        <v>2.3999999999999998E-3</v>
      </c>
      <c r="I51" s="818">
        <v>0.05</v>
      </c>
      <c r="J51" s="1272">
        <f t="shared" si="12"/>
        <v>4.7999999999999996E-3</v>
      </c>
      <c r="K51" s="1272">
        <f t="shared" si="13"/>
        <v>2.3999999999999998E-3</v>
      </c>
      <c r="L51" s="1272">
        <v>0</v>
      </c>
      <c r="M51" s="1272">
        <f t="shared" si="14"/>
        <v>-2.3999999999999998E-3</v>
      </c>
      <c r="N51" s="1272">
        <f t="shared" si="14"/>
        <v>-4.7999999999999996E-3</v>
      </c>
      <c r="AA51" s="1358"/>
      <c r="AB51" s="1358"/>
      <c r="AC51" s="1358"/>
      <c r="AD51" s="1358"/>
      <c r="AE51" s="1358"/>
      <c r="AF51" s="1358"/>
      <c r="AG51" s="1358"/>
      <c r="AH51" s="1358"/>
      <c r="AI51" s="1358"/>
      <c r="AJ51" s="1358"/>
      <c r="AK51" s="1358"/>
    </row>
    <row r="52" spans="1:37" s="1357" customFormat="1" ht="24">
      <c r="A52" s="2761" t="s">
        <v>2866</v>
      </c>
      <c r="B52" s="2765">
        <f>估价对象房地状况!C24</f>
        <v>0</v>
      </c>
      <c r="C52" s="2653" t="str">
        <f>C73</f>
        <v>较好</v>
      </c>
      <c r="D52" s="1273">
        <f t="shared" si="10"/>
        <v>3.8999999999999998E-3</v>
      </c>
      <c r="E52" s="820"/>
      <c r="F52" s="2386"/>
      <c r="G52" s="1271">
        <f t="shared" si="15"/>
        <v>3.8999999999999998E-3</v>
      </c>
      <c r="H52" s="1275">
        <f t="shared" si="11"/>
        <v>3.8999999999999998E-3</v>
      </c>
      <c r="I52" s="818">
        <v>0.08</v>
      </c>
      <c r="J52" s="1272">
        <f t="shared" si="12"/>
        <v>7.7999999999999996E-3</v>
      </c>
      <c r="K52" s="1272">
        <f t="shared" si="13"/>
        <v>3.8999999999999998E-3</v>
      </c>
      <c r="L52" s="1272">
        <v>0</v>
      </c>
      <c r="M52" s="1272">
        <f t="shared" si="14"/>
        <v>-3.8999999999999998E-3</v>
      </c>
      <c r="N52" s="1272">
        <f t="shared" si="14"/>
        <v>-7.7999999999999996E-3</v>
      </c>
      <c r="AA52" s="1358"/>
      <c r="AB52" s="1358"/>
      <c r="AC52" s="1358"/>
      <c r="AD52" s="1358"/>
      <c r="AE52" s="1358"/>
      <c r="AF52" s="1358"/>
      <c r="AG52" s="1358"/>
      <c r="AH52" s="1358"/>
      <c r="AI52" s="1358"/>
      <c r="AJ52" s="1358"/>
      <c r="AK52" s="1358"/>
    </row>
    <row r="53" spans="1:37" s="1357" customFormat="1" ht="24">
      <c r="A53" s="2761" t="s">
        <v>2867</v>
      </c>
      <c r="B53" s="2767"/>
      <c r="C53" s="2653" t="str">
        <f>C76</f>
        <v>好</v>
      </c>
      <c r="D53" s="1273">
        <f t="shared" si="10"/>
        <v>2.8E-3</v>
      </c>
      <c r="E53" s="820"/>
      <c r="F53" s="2386"/>
      <c r="G53" s="1271">
        <f t="shared" si="15"/>
        <v>1.4E-3</v>
      </c>
      <c r="H53" s="1275">
        <f t="shared" si="11"/>
        <v>1.4E-3</v>
      </c>
      <c r="I53" s="818">
        <v>0.03</v>
      </c>
      <c r="J53" s="1272">
        <f t="shared" si="12"/>
        <v>2.8E-3</v>
      </c>
      <c r="K53" s="1272">
        <f t="shared" si="13"/>
        <v>1.4E-3</v>
      </c>
      <c r="L53" s="1272">
        <v>0</v>
      </c>
      <c r="M53" s="1272">
        <f t="shared" si="14"/>
        <v>-1.4E-3</v>
      </c>
      <c r="N53" s="1272">
        <f t="shared" si="14"/>
        <v>-2.8E-3</v>
      </c>
      <c r="AA53" s="1358"/>
      <c r="AB53" s="1358"/>
      <c r="AC53" s="1358"/>
      <c r="AD53" s="1358"/>
      <c r="AE53" s="1358"/>
      <c r="AF53" s="1358"/>
      <c r="AG53" s="1358"/>
      <c r="AH53" s="1358"/>
      <c r="AI53" s="1358"/>
      <c r="AJ53" s="1358"/>
      <c r="AK53" s="1358"/>
    </row>
    <row r="54" spans="1:37" s="1357" customFormat="1" ht="24">
      <c r="A54" s="2768" t="s">
        <v>2869</v>
      </c>
      <c r="B54" s="1711">
        <f>估价对象房地状况!C21</f>
        <v>0</v>
      </c>
      <c r="C54" s="2653" t="str">
        <f>C74</f>
        <v>好</v>
      </c>
      <c r="D54" s="1273">
        <f t="shared" si="10"/>
        <v>4.7999999999999996E-3</v>
      </c>
      <c r="E54" s="820"/>
      <c r="F54" s="2386"/>
      <c r="G54" s="1271">
        <f t="shared" si="15"/>
        <v>2.3999999999999998E-3</v>
      </c>
      <c r="H54" s="1275">
        <f t="shared" si="11"/>
        <v>2.3999999999999998E-3</v>
      </c>
      <c r="I54" s="818">
        <v>0.05</v>
      </c>
      <c r="J54" s="1272">
        <f t="shared" si="12"/>
        <v>4.7999999999999996E-3</v>
      </c>
      <c r="K54" s="1272">
        <f t="shared" si="13"/>
        <v>2.3999999999999998E-3</v>
      </c>
      <c r="L54" s="1272">
        <v>0</v>
      </c>
      <c r="M54" s="1272">
        <f t="shared" si="14"/>
        <v>-2.3999999999999998E-3</v>
      </c>
      <c r="N54" s="1272">
        <f t="shared" si="14"/>
        <v>-4.7999999999999996E-3</v>
      </c>
      <c r="AA54" s="1358"/>
      <c r="AB54" s="1358"/>
      <c r="AC54" s="1358"/>
      <c r="AD54" s="1358"/>
      <c r="AE54" s="1358"/>
      <c r="AF54" s="1358"/>
      <c r="AG54" s="1358"/>
      <c r="AH54" s="1358"/>
      <c r="AI54" s="1358"/>
      <c r="AJ54" s="1358"/>
      <c r="AK54" s="1358"/>
    </row>
    <row r="55" spans="1:37" s="1357" customFormat="1" ht="24">
      <c r="A55" s="2768" t="s">
        <v>2870</v>
      </c>
      <c r="B55" s="2765">
        <f>估价对象房地状况!C22</f>
        <v>0</v>
      </c>
      <c r="C55" s="2653" t="str">
        <f>C75</f>
        <v>好</v>
      </c>
      <c r="D55" s="1273">
        <f t="shared" si="10"/>
        <v>9.7999999999999997E-3</v>
      </c>
      <c r="E55" s="820"/>
      <c r="F55" s="2386"/>
      <c r="G55" s="1271">
        <f t="shared" si="15"/>
        <v>4.8999999999999998E-3</v>
      </c>
      <c r="H55" s="1275">
        <f t="shared" si="11"/>
        <v>4.8999999999999998E-3</v>
      </c>
      <c r="I55" s="818">
        <v>0.1</v>
      </c>
      <c r="J55" s="1272">
        <f t="shared" si="12"/>
        <v>9.7999999999999997E-3</v>
      </c>
      <c r="K55" s="1272">
        <f t="shared" si="13"/>
        <v>4.8999999999999998E-3</v>
      </c>
      <c r="L55" s="1272">
        <v>0</v>
      </c>
      <c r="M55" s="1272">
        <f t="shared" si="14"/>
        <v>-4.8999999999999998E-3</v>
      </c>
      <c r="N55" s="1272">
        <f t="shared" si="14"/>
        <v>-9.7999999999999997E-3</v>
      </c>
      <c r="AA55" s="1358"/>
      <c r="AB55" s="1358"/>
      <c r="AC55" s="1358"/>
      <c r="AD55" s="1358"/>
      <c r="AE55" s="1358"/>
      <c r="AF55" s="1358"/>
      <c r="AG55" s="1358"/>
      <c r="AH55" s="1358"/>
      <c r="AI55" s="1358"/>
      <c r="AJ55" s="1358"/>
      <c r="AK55" s="1358"/>
    </row>
    <row r="56" spans="1:37" s="1357" customFormat="1" ht="24.75" thickBot="1">
      <c r="A56" s="2769" t="s">
        <v>2871</v>
      </c>
      <c r="B56" s="2770">
        <f>估价对象房地状况!C20</f>
        <v>0</v>
      </c>
      <c r="C56" s="2653" t="str">
        <f>C77</f>
        <v>较好</v>
      </c>
      <c r="D56" s="1273">
        <f t="shared" si="10"/>
        <v>2.8999999999999998E-3</v>
      </c>
      <c r="E56" s="823"/>
      <c r="F56" s="2386"/>
      <c r="G56" s="1271">
        <f t="shared" si="15"/>
        <v>2.8999999999999998E-3</v>
      </c>
      <c r="H56" s="1275">
        <f t="shared" si="11"/>
        <v>2.8999999999999998E-3</v>
      </c>
      <c r="I56" s="822">
        <v>0.06</v>
      </c>
      <c r="J56" s="1272">
        <f t="shared" si="12"/>
        <v>5.7999999999999996E-3</v>
      </c>
      <c r="K56" s="1272">
        <f t="shared" si="13"/>
        <v>2.8999999999999998E-3</v>
      </c>
      <c r="L56" s="1272">
        <v>0</v>
      </c>
      <c r="M56" s="1272">
        <f t="shared" si="14"/>
        <v>-2.8999999999999998E-3</v>
      </c>
      <c r="N56" s="1272">
        <f t="shared" si="14"/>
        <v>-5.7999999999999996E-3</v>
      </c>
      <c r="AA56" s="1358"/>
      <c r="AB56" s="1358"/>
      <c r="AC56" s="1358"/>
      <c r="AD56" s="1358"/>
      <c r="AE56" s="1358"/>
      <c r="AF56" s="1358"/>
      <c r="AG56" s="1358"/>
      <c r="AH56" s="1358"/>
      <c r="AI56" s="1358"/>
      <c r="AJ56" s="1358"/>
      <c r="AK56" s="1358"/>
    </row>
    <row r="57" spans="1:37" s="1357" customFormat="1" ht="15">
      <c r="A57" s="2757" t="s">
        <v>2872</v>
      </c>
      <c r="B57" s="2758">
        <f>1+E59</f>
        <v>1</v>
      </c>
      <c r="C57" s="812"/>
      <c r="D57" s="812"/>
      <c r="E57" s="813"/>
      <c r="F57" s="2760"/>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761" t="s">
        <v>2853</v>
      </c>
      <c r="B58" s="2979"/>
      <c r="C58" s="2979" t="s">
        <v>2855</v>
      </c>
      <c r="D58" s="2979" t="s">
        <v>2856</v>
      </c>
      <c r="E58" s="817" t="s">
        <v>2857</v>
      </c>
      <c r="F58" s="2762" t="s">
        <v>2873</v>
      </c>
      <c r="G58" s="2979" t="s">
        <v>754</v>
      </c>
      <c r="H58" s="2763" t="s">
        <v>2859</v>
      </c>
      <c r="I58" s="2979" t="s">
        <v>2860</v>
      </c>
      <c r="J58" s="603" t="s">
        <v>2509</v>
      </c>
      <c r="K58" s="603" t="s">
        <v>2510</v>
      </c>
      <c r="L58" s="603" t="s">
        <v>2511</v>
      </c>
      <c r="M58" s="603" t="s">
        <v>2512</v>
      </c>
      <c r="N58" s="603" t="s">
        <v>2513</v>
      </c>
      <c r="AA58" s="1358"/>
      <c r="AB58" s="1358"/>
      <c r="AC58" s="1358"/>
      <c r="AD58" s="1358"/>
      <c r="AE58" s="1358"/>
      <c r="AF58" s="1358"/>
      <c r="AG58" s="1358"/>
      <c r="AH58" s="1358"/>
      <c r="AI58" s="1358"/>
      <c r="AJ58" s="1358"/>
      <c r="AK58" s="1358"/>
    </row>
    <row r="59" spans="1:37" s="1357" customFormat="1" ht="24">
      <c r="A59" s="2761" t="s">
        <v>2874</v>
      </c>
      <c r="B59" s="2764">
        <f>估价对象房地状况!C17</f>
        <v>0</v>
      </c>
      <c r="C59" s="2653"/>
      <c r="D59" s="1273">
        <f t="shared" ref="D59:D67" si="16">SUMIF($J$58:$N$58,C59,J59:N59)</f>
        <v>0</v>
      </c>
      <c r="E59" s="819">
        <f>ROUND(SUM(D59:D67),4)</f>
        <v>0</v>
      </c>
      <c r="F59" s="2386" t="str">
        <f>IF(E2="办公",SUMIF(L1:L12,G2,N1:N12),"——")</f>
        <v>——</v>
      </c>
      <c r="G59" s="1271"/>
      <c r="H59" s="1275" t="str">
        <f t="shared" ref="H59:H67" si="17">IFERROR(ROUNDDOWN($F$59*I59/2,4),"——")</f>
        <v>——</v>
      </c>
      <c r="I59" s="818">
        <v>0.24</v>
      </c>
      <c r="J59" s="1272">
        <f t="shared" ref="J59:J67" si="18">K59+$G59</f>
        <v>0</v>
      </c>
      <c r="K59" s="1272">
        <f t="shared" ref="K59:K67" si="19">$L59+$G59</f>
        <v>0</v>
      </c>
      <c r="L59" s="1272">
        <v>0</v>
      </c>
      <c r="M59" s="1272">
        <f t="shared" ref="M59:N67" si="20">L59-$G59</f>
        <v>0</v>
      </c>
      <c r="N59" s="1272">
        <f t="shared" si="20"/>
        <v>0</v>
      </c>
      <c r="AA59" s="1358"/>
      <c r="AB59" s="1358"/>
      <c r="AC59" s="1358"/>
      <c r="AD59" s="1358"/>
      <c r="AE59" s="1358"/>
      <c r="AF59" s="1358"/>
      <c r="AG59" s="1358"/>
      <c r="AH59" s="1358"/>
      <c r="AI59" s="1358"/>
      <c r="AJ59" s="1358"/>
      <c r="AK59" s="1358"/>
    </row>
    <row r="60" spans="1:37" s="1357" customFormat="1" ht="14.25">
      <c r="A60" s="2761" t="s">
        <v>2862</v>
      </c>
      <c r="B60" s="2765">
        <f>估价对象房地状况!C18</f>
        <v>0</v>
      </c>
      <c r="C60" s="2653"/>
      <c r="D60" s="1273">
        <f t="shared" si="16"/>
        <v>0</v>
      </c>
      <c r="E60" s="820"/>
      <c r="F60" s="2386"/>
      <c r="G60" s="1271"/>
      <c r="H60" s="1275" t="str">
        <f t="shared" si="17"/>
        <v>——</v>
      </c>
      <c r="I60" s="818">
        <v>0.3</v>
      </c>
      <c r="J60" s="1272">
        <f t="shared" si="18"/>
        <v>0</v>
      </c>
      <c r="K60" s="1272">
        <f t="shared" si="19"/>
        <v>0</v>
      </c>
      <c r="L60" s="1272">
        <v>0</v>
      </c>
      <c r="M60" s="1272">
        <f t="shared" si="20"/>
        <v>0</v>
      </c>
      <c r="N60" s="1272">
        <f t="shared" si="20"/>
        <v>0</v>
      </c>
      <c r="AA60" s="1358"/>
      <c r="AB60" s="1358"/>
      <c r="AC60" s="1358"/>
      <c r="AD60" s="1358"/>
      <c r="AE60" s="1358"/>
      <c r="AF60" s="1358"/>
      <c r="AG60" s="1358"/>
      <c r="AH60" s="1358"/>
      <c r="AI60" s="1358"/>
      <c r="AJ60" s="1358"/>
      <c r="AK60" s="1358"/>
    </row>
    <row r="61" spans="1:37" s="1357" customFormat="1" ht="24">
      <c r="A61" s="2761" t="s">
        <v>2863</v>
      </c>
      <c r="B61" s="2765">
        <f>估价对象房地状况!C19</f>
        <v>0</v>
      </c>
      <c r="C61" s="2653"/>
      <c r="D61" s="1273">
        <f t="shared" si="16"/>
        <v>0</v>
      </c>
      <c r="E61" s="820"/>
      <c r="F61" s="2386"/>
      <c r="G61" s="1271"/>
      <c r="H61" s="1275" t="str">
        <f t="shared" si="17"/>
        <v>——</v>
      </c>
      <c r="I61" s="818">
        <v>0.08</v>
      </c>
      <c r="J61" s="1272">
        <f t="shared" si="18"/>
        <v>0</v>
      </c>
      <c r="K61" s="1272">
        <f t="shared" si="19"/>
        <v>0</v>
      </c>
      <c r="L61" s="1272">
        <v>0</v>
      </c>
      <c r="M61" s="1272">
        <f t="shared" si="20"/>
        <v>0</v>
      </c>
      <c r="N61" s="1272">
        <f t="shared" si="20"/>
        <v>0</v>
      </c>
      <c r="AA61" s="1358"/>
      <c r="AB61" s="1358"/>
      <c r="AC61" s="1358"/>
      <c r="AD61" s="1358"/>
      <c r="AE61" s="1358"/>
      <c r="AF61" s="1358"/>
      <c r="AG61" s="1358"/>
      <c r="AH61" s="1358"/>
      <c r="AI61" s="1358"/>
      <c r="AJ61" s="1358"/>
      <c r="AK61" s="1358"/>
    </row>
    <row r="62" spans="1:37" s="1357" customFormat="1" ht="36.75">
      <c r="A62" s="2761" t="s">
        <v>2864</v>
      </c>
      <c r="B62" s="2766" t="s">
        <v>2865</v>
      </c>
      <c r="C62" s="2653"/>
      <c r="D62" s="1273">
        <f t="shared" si="16"/>
        <v>0</v>
      </c>
      <c r="E62" s="820"/>
      <c r="F62" s="2386"/>
      <c r="G62" s="1271"/>
      <c r="H62" s="1275" t="str">
        <f t="shared" si="17"/>
        <v>——</v>
      </c>
      <c r="I62" s="818">
        <v>0.04</v>
      </c>
      <c r="J62" s="1272">
        <f t="shared" si="18"/>
        <v>0</v>
      </c>
      <c r="K62" s="1272">
        <f t="shared" si="19"/>
        <v>0</v>
      </c>
      <c r="L62" s="1272">
        <v>0</v>
      </c>
      <c r="M62" s="1272">
        <f t="shared" si="20"/>
        <v>0</v>
      </c>
      <c r="N62" s="1272">
        <f t="shared" si="20"/>
        <v>0</v>
      </c>
      <c r="AA62" s="1358"/>
      <c r="AB62" s="1358"/>
      <c r="AC62" s="1358"/>
      <c r="AD62" s="1358"/>
      <c r="AE62" s="1358"/>
      <c r="AF62" s="1358"/>
      <c r="AG62" s="1358"/>
      <c r="AH62" s="1358"/>
      <c r="AI62" s="1358"/>
      <c r="AJ62" s="1358"/>
      <c r="AK62" s="1358"/>
    </row>
    <row r="63" spans="1:37" s="1357" customFormat="1" ht="24">
      <c r="A63" s="2761" t="s">
        <v>2866</v>
      </c>
      <c r="B63" s="2765">
        <f>估价对象房地状况!C24</f>
        <v>0</v>
      </c>
      <c r="C63" s="2653"/>
      <c r="D63" s="1273">
        <f t="shared" si="16"/>
        <v>0</v>
      </c>
      <c r="E63" s="820"/>
      <c r="F63" s="2386"/>
      <c r="G63" s="1271"/>
      <c r="H63" s="1275" t="str">
        <f t="shared" si="17"/>
        <v>——</v>
      </c>
      <c r="I63" s="818">
        <v>0.05</v>
      </c>
      <c r="J63" s="1272">
        <f t="shared" si="18"/>
        <v>0</v>
      </c>
      <c r="K63" s="1272">
        <f t="shared" si="19"/>
        <v>0</v>
      </c>
      <c r="L63" s="1272">
        <v>0</v>
      </c>
      <c r="M63" s="1272">
        <f t="shared" si="20"/>
        <v>0</v>
      </c>
      <c r="N63" s="1272">
        <f t="shared" si="20"/>
        <v>0</v>
      </c>
      <c r="AA63" s="1358"/>
      <c r="AB63" s="1358"/>
      <c r="AC63" s="1358"/>
      <c r="AD63" s="1358"/>
      <c r="AE63" s="1358"/>
      <c r="AF63" s="1358"/>
      <c r="AG63" s="1358"/>
      <c r="AH63" s="1358"/>
      <c r="AI63" s="1358"/>
      <c r="AJ63" s="1358"/>
      <c r="AK63" s="1358"/>
    </row>
    <row r="64" spans="1:37" s="1357" customFormat="1" ht="24">
      <c r="A64" s="2761" t="s">
        <v>2867</v>
      </c>
      <c r="B64" s="2767" t="s">
        <v>2868</v>
      </c>
      <c r="C64" s="2653"/>
      <c r="D64" s="1273">
        <f t="shared" si="16"/>
        <v>0</v>
      </c>
      <c r="E64" s="820"/>
      <c r="F64" s="2386"/>
      <c r="G64" s="1271"/>
      <c r="H64" s="1275" t="str">
        <f t="shared" si="17"/>
        <v>——</v>
      </c>
      <c r="I64" s="818">
        <v>0.05</v>
      </c>
      <c r="J64" s="1272">
        <f t="shared" si="18"/>
        <v>0</v>
      </c>
      <c r="K64" s="1272">
        <f t="shared" si="19"/>
        <v>0</v>
      </c>
      <c r="L64" s="1272">
        <v>0</v>
      </c>
      <c r="M64" s="1272">
        <f t="shared" si="20"/>
        <v>0</v>
      </c>
      <c r="N64" s="1272">
        <f t="shared" si="20"/>
        <v>0</v>
      </c>
      <c r="AA64" s="1358"/>
      <c r="AB64" s="1358"/>
      <c r="AC64" s="1358"/>
      <c r="AD64" s="1358"/>
      <c r="AE64" s="1358"/>
      <c r="AF64" s="1358"/>
      <c r="AG64" s="1358"/>
      <c r="AH64" s="1358"/>
      <c r="AI64" s="1358"/>
      <c r="AJ64" s="1358"/>
      <c r="AK64" s="1358"/>
    </row>
    <row r="65" spans="1:37" s="1357" customFormat="1" ht="24">
      <c r="A65" s="2761" t="s">
        <v>2869</v>
      </c>
      <c r="B65" s="1711">
        <f>估价对象房地状况!C21</f>
        <v>0</v>
      </c>
      <c r="C65" s="2653"/>
      <c r="D65" s="1273">
        <f t="shared" si="16"/>
        <v>0</v>
      </c>
      <c r="E65" s="820"/>
      <c r="F65" s="2386"/>
      <c r="G65" s="1271"/>
      <c r="H65" s="1275" t="str">
        <f t="shared" si="17"/>
        <v>——</v>
      </c>
      <c r="I65" s="818">
        <v>0.06</v>
      </c>
      <c r="J65" s="1272">
        <f t="shared" si="18"/>
        <v>0</v>
      </c>
      <c r="K65" s="1272">
        <f t="shared" si="19"/>
        <v>0</v>
      </c>
      <c r="L65" s="1272">
        <v>0</v>
      </c>
      <c r="M65" s="1272">
        <f t="shared" si="20"/>
        <v>0</v>
      </c>
      <c r="N65" s="1272">
        <f t="shared" si="20"/>
        <v>0</v>
      </c>
      <c r="AA65" s="1358"/>
      <c r="AB65" s="1358"/>
      <c r="AC65" s="1358"/>
      <c r="AD65" s="1358"/>
      <c r="AE65" s="1358"/>
      <c r="AF65" s="1358"/>
      <c r="AG65" s="1358"/>
      <c r="AH65" s="1358"/>
      <c r="AI65" s="1358"/>
      <c r="AJ65" s="1358"/>
      <c r="AK65" s="1358"/>
    </row>
    <row r="66" spans="1:37" s="1357" customFormat="1" ht="24">
      <c r="A66" s="2761" t="s">
        <v>2870</v>
      </c>
      <c r="B66" s="1711">
        <f>估价对象房地状况!C22</f>
        <v>0</v>
      </c>
      <c r="C66" s="2653"/>
      <c r="D66" s="1273">
        <f t="shared" si="16"/>
        <v>0</v>
      </c>
      <c r="E66" s="820"/>
      <c r="F66" s="2386"/>
      <c r="G66" s="1271"/>
      <c r="H66" s="1275" t="str">
        <f t="shared" si="17"/>
        <v>——</v>
      </c>
      <c r="I66" s="818">
        <v>0.12</v>
      </c>
      <c r="J66" s="1272">
        <f t="shared" si="18"/>
        <v>0</v>
      </c>
      <c r="K66" s="1272">
        <f t="shared" si="19"/>
        <v>0</v>
      </c>
      <c r="L66" s="1272">
        <v>0</v>
      </c>
      <c r="M66" s="1272">
        <f t="shared" si="20"/>
        <v>0</v>
      </c>
      <c r="N66" s="1272">
        <f t="shared" si="20"/>
        <v>0</v>
      </c>
      <c r="AA66" s="1358"/>
      <c r="AB66" s="1358"/>
      <c r="AC66" s="1358"/>
      <c r="AD66" s="1358"/>
      <c r="AE66" s="1358"/>
      <c r="AF66" s="1358"/>
      <c r="AG66" s="1358"/>
      <c r="AH66" s="1358"/>
      <c r="AI66" s="1358"/>
      <c r="AJ66" s="1358"/>
      <c r="AK66" s="1358"/>
    </row>
    <row r="67" spans="1:37" s="1357" customFormat="1" ht="24.75" thickBot="1">
      <c r="A67" s="2769" t="s">
        <v>2871</v>
      </c>
      <c r="B67" s="2771">
        <f>估价对象房地状况!C20</f>
        <v>0</v>
      </c>
      <c r="C67" s="2653"/>
      <c r="D67" s="1273">
        <f t="shared" si="16"/>
        <v>0</v>
      </c>
      <c r="E67" s="823"/>
      <c r="F67" s="2386"/>
      <c r="G67" s="1271"/>
      <c r="H67" s="1275" t="str">
        <f t="shared" si="17"/>
        <v>——</v>
      </c>
      <c r="I67" s="822">
        <v>0.06</v>
      </c>
      <c r="J67" s="1272">
        <f t="shared" si="18"/>
        <v>0</v>
      </c>
      <c r="K67" s="1272">
        <f t="shared" si="19"/>
        <v>0</v>
      </c>
      <c r="L67" s="1272">
        <v>0</v>
      </c>
      <c r="M67" s="1272">
        <f t="shared" si="20"/>
        <v>0</v>
      </c>
      <c r="N67" s="1272">
        <f t="shared" si="20"/>
        <v>0</v>
      </c>
      <c r="AA67" s="1358"/>
      <c r="AB67" s="1358"/>
      <c r="AC67" s="1358"/>
      <c r="AD67" s="1358"/>
      <c r="AE67" s="1358"/>
      <c r="AF67" s="1358"/>
      <c r="AG67" s="1358"/>
      <c r="AH67" s="1358"/>
      <c r="AI67" s="1358"/>
      <c r="AJ67" s="1358"/>
      <c r="AK67" s="1358"/>
    </row>
    <row r="68" spans="1:37" s="1357" customFormat="1" ht="15">
      <c r="A68" s="2757" t="s">
        <v>2875</v>
      </c>
      <c r="B68" s="2758" t="e">
        <f>1+E70</f>
        <v>#VALUE!</v>
      </c>
      <c r="C68" s="812"/>
      <c r="D68" s="812"/>
      <c r="E68" s="813"/>
      <c r="F68" s="2760"/>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761" t="s">
        <v>2853</v>
      </c>
      <c r="B69" s="2979"/>
      <c r="C69" s="2979" t="s">
        <v>2855</v>
      </c>
      <c r="D69" s="2979" t="s">
        <v>2856</v>
      </c>
      <c r="E69" s="817" t="s">
        <v>2857</v>
      </c>
      <c r="F69" s="2762" t="s">
        <v>2873</v>
      </c>
      <c r="G69" s="2979" t="s">
        <v>754</v>
      </c>
      <c r="H69" s="2763" t="s">
        <v>2859</v>
      </c>
      <c r="I69" s="2979" t="s">
        <v>2860</v>
      </c>
      <c r="J69" s="603" t="s">
        <v>2509</v>
      </c>
      <c r="K69" s="603" t="s">
        <v>2510</v>
      </c>
      <c r="L69" s="603" t="s">
        <v>2511</v>
      </c>
      <c r="M69" s="603" t="s">
        <v>2512</v>
      </c>
      <c r="N69" s="603" t="s">
        <v>2513</v>
      </c>
      <c r="AA69" s="1358"/>
      <c r="AB69" s="1358"/>
      <c r="AC69" s="1358"/>
      <c r="AD69" s="1358"/>
      <c r="AE69" s="1358"/>
      <c r="AF69" s="1358"/>
      <c r="AG69" s="1358"/>
      <c r="AH69" s="1358"/>
      <c r="AI69" s="1358"/>
      <c r="AJ69" s="1358"/>
      <c r="AK69" s="1358"/>
    </row>
    <row r="70" spans="1:37" s="1357" customFormat="1" ht="24">
      <c r="A70" s="2761" t="s">
        <v>2876</v>
      </c>
      <c r="B70" s="2764">
        <f>估价对象房地状况!C15</f>
        <v>0</v>
      </c>
      <c r="C70" s="2653" t="str">
        <f>'比较法-住宅'!C16</f>
        <v>较好</v>
      </c>
      <c r="D70" s="1273" t="e">
        <f t="shared" ref="D70:D78" si="21">SUMIF($J$69:$N$69,C70,J70:N70)</f>
        <v>#VALUE!</v>
      </c>
      <c r="E70" s="819" t="e">
        <f>ROUND(SUM(D70:D78),4)</f>
        <v>#VALUE!</v>
      </c>
      <c r="F70" s="2386" t="str">
        <f>IF(E2="住宅",SUMIF(L1:L12,G2,N1:N12),"——")</f>
        <v>——</v>
      </c>
      <c r="G70" s="1271" t="str">
        <f>H70</f>
        <v>——</v>
      </c>
      <c r="H70" s="1275" t="str">
        <f t="shared" ref="H70:H78" si="22">IFERROR(ROUNDDOWN($F$70*I70/2,4),"——")</f>
        <v>——</v>
      </c>
      <c r="I70" s="818">
        <v>0.14000000000000001</v>
      </c>
      <c r="J70" s="1272" t="e">
        <f t="shared" ref="J70:J78" si="23">K70+$G70</f>
        <v>#VALUE!</v>
      </c>
      <c r="K70" s="1272" t="e">
        <f t="shared" ref="K70:K78" si="24">$L70+$G70</f>
        <v>#VALUE!</v>
      </c>
      <c r="L70" s="1272">
        <v>0</v>
      </c>
      <c r="M70" s="1272" t="e">
        <f t="shared" ref="M70:N78" si="25">L70-$G70</f>
        <v>#VALUE!</v>
      </c>
      <c r="N70" s="1272" t="e">
        <f t="shared" si="25"/>
        <v>#VALUE!</v>
      </c>
      <c r="AA70" s="1358"/>
      <c r="AB70" s="1358"/>
      <c r="AC70" s="1358"/>
      <c r="AD70" s="1358"/>
      <c r="AE70" s="1358"/>
      <c r="AF70" s="1358"/>
      <c r="AG70" s="1358"/>
      <c r="AH70" s="1358"/>
      <c r="AI70" s="1358"/>
      <c r="AJ70" s="1358"/>
      <c r="AK70" s="1358"/>
    </row>
    <row r="71" spans="1:37" s="1357" customFormat="1" ht="14.25">
      <c r="A71" s="2761" t="s">
        <v>2862</v>
      </c>
      <c r="B71" s="2765">
        <f>估价对象房地状况!C18</f>
        <v>0</v>
      </c>
      <c r="C71" s="2653" t="str">
        <f>'比较法-住宅'!C18</f>
        <v>较好</v>
      </c>
      <c r="D71" s="1273" t="e">
        <f t="shared" si="21"/>
        <v>#VALUE!</v>
      </c>
      <c r="E71" s="824"/>
      <c r="F71" s="2386"/>
      <c r="G71" s="1271" t="str">
        <f t="shared" ref="G71:G78" si="26">H71</f>
        <v>——</v>
      </c>
      <c r="H71" s="1275" t="str">
        <f t="shared" si="22"/>
        <v>——</v>
      </c>
      <c r="I71" s="818">
        <v>0.3</v>
      </c>
      <c r="J71" s="1272" t="e">
        <f t="shared" si="23"/>
        <v>#VALUE!</v>
      </c>
      <c r="K71" s="1272" t="e">
        <f t="shared" si="24"/>
        <v>#VALUE!</v>
      </c>
      <c r="L71" s="1272">
        <v>0</v>
      </c>
      <c r="M71" s="1272" t="e">
        <f t="shared" si="25"/>
        <v>#VALUE!</v>
      </c>
      <c r="N71" s="1272" t="e">
        <f t="shared" si="25"/>
        <v>#VALUE!</v>
      </c>
      <c r="AA71" s="1358"/>
      <c r="AB71" s="1358"/>
      <c r="AC71" s="1358"/>
      <c r="AD71" s="1358"/>
      <c r="AE71" s="1358"/>
      <c r="AF71" s="1358"/>
      <c r="AG71" s="1358"/>
      <c r="AH71" s="1358"/>
      <c r="AI71" s="1358"/>
      <c r="AJ71" s="1358"/>
      <c r="AK71" s="1358"/>
    </row>
    <row r="72" spans="1:37" s="1357" customFormat="1" ht="24">
      <c r="A72" s="2761" t="s">
        <v>2863</v>
      </c>
      <c r="B72" s="2765">
        <f>估价对象房地状况!C19</f>
        <v>0</v>
      </c>
      <c r="C72" s="2653" t="s">
        <v>3548</v>
      </c>
      <c r="D72" s="1273" t="e">
        <f t="shared" si="21"/>
        <v>#VALUE!</v>
      </c>
      <c r="E72" s="824"/>
      <c r="F72" s="2386"/>
      <c r="G72" s="1271" t="str">
        <f t="shared" si="26"/>
        <v>——</v>
      </c>
      <c r="H72" s="1275" t="str">
        <f t="shared" si="22"/>
        <v>——</v>
      </c>
      <c r="I72" s="818">
        <v>0.08</v>
      </c>
      <c r="J72" s="1272" t="e">
        <f t="shared" si="23"/>
        <v>#VALUE!</v>
      </c>
      <c r="K72" s="1272" t="e">
        <f t="shared" si="24"/>
        <v>#VALUE!</v>
      </c>
      <c r="L72" s="1272">
        <v>0</v>
      </c>
      <c r="M72" s="1272" t="e">
        <f t="shared" si="25"/>
        <v>#VALUE!</v>
      </c>
      <c r="N72" s="1272" t="e">
        <f t="shared" si="25"/>
        <v>#VALUE!</v>
      </c>
      <c r="AA72" s="1358"/>
      <c r="AB72" s="1358"/>
      <c r="AC72" s="1358"/>
      <c r="AD72" s="1358"/>
      <c r="AE72" s="1358"/>
      <c r="AF72" s="1358"/>
      <c r="AG72" s="1358"/>
      <c r="AH72" s="1358"/>
      <c r="AI72" s="1358"/>
      <c r="AJ72" s="1358"/>
      <c r="AK72" s="1358"/>
    </row>
    <row r="73" spans="1:37" s="1357" customFormat="1" ht="14.25">
      <c r="A73" s="2761" t="s">
        <v>2877</v>
      </c>
      <c r="B73" s="2765">
        <f>估价对象房地状况!C24</f>
        <v>0</v>
      </c>
      <c r="C73" s="2653" t="s">
        <v>3548</v>
      </c>
      <c r="D73" s="1273" t="e">
        <f t="shared" si="21"/>
        <v>#VALUE!</v>
      </c>
      <c r="E73" s="824"/>
      <c r="F73" s="2386"/>
      <c r="G73" s="1271" t="str">
        <f t="shared" si="26"/>
        <v>——</v>
      </c>
      <c r="H73" s="1275" t="str">
        <f t="shared" si="22"/>
        <v>——</v>
      </c>
      <c r="I73" s="818">
        <v>0.04</v>
      </c>
      <c r="J73" s="1272" t="e">
        <f t="shared" si="23"/>
        <v>#VALUE!</v>
      </c>
      <c r="K73" s="1272" t="e">
        <f t="shared" si="24"/>
        <v>#VALUE!</v>
      </c>
      <c r="L73" s="1272">
        <v>0</v>
      </c>
      <c r="M73" s="1272" t="e">
        <f t="shared" si="25"/>
        <v>#VALUE!</v>
      </c>
      <c r="N73" s="1272" t="e">
        <f t="shared" si="25"/>
        <v>#VALUE!</v>
      </c>
      <c r="AA73" s="1358"/>
      <c r="AB73" s="1358"/>
      <c r="AC73" s="1358"/>
      <c r="AD73" s="1358"/>
      <c r="AE73" s="1358"/>
      <c r="AF73" s="1358"/>
      <c r="AG73" s="1358"/>
      <c r="AH73" s="1358"/>
      <c r="AI73" s="1358"/>
      <c r="AJ73" s="1358"/>
      <c r="AK73" s="1358"/>
    </row>
    <row r="74" spans="1:37" s="1357" customFormat="1" ht="24">
      <c r="A74" s="2761" t="s">
        <v>2869</v>
      </c>
      <c r="B74" s="1711">
        <f>估价对象房地状况!C21</f>
        <v>0</v>
      </c>
      <c r="C74" s="2653" t="s">
        <v>3549</v>
      </c>
      <c r="D74" s="1273" t="e">
        <f t="shared" si="21"/>
        <v>#VALUE!</v>
      </c>
      <c r="E74" s="824"/>
      <c r="F74" s="2386"/>
      <c r="G74" s="1271" t="str">
        <f t="shared" si="26"/>
        <v>——</v>
      </c>
      <c r="H74" s="1275" t="str">
        <f t="shared" si="22"/>
        <v>——</v>
      </c>
      <c r="I74" s="818">
        <v>0.08</v>
      </c>
      <c r="J74" s="1272" t="e">
        <f t="shared" si="23"/>
        <v>#VALUE!</v>
      </c>
      <c r="K74" s="1272" t="e">
        <f t="shared" si="24"/>
        <v>#VALUE!</v>
      </c>
      <c r="L74" s="1272">
        <v>0</v>
      </c>
      <c r="M74" s="1272" t="e">
        <f t="shared" si="25"/>
        <v>#VALUE!</v>
      </c>
      <c r="N74" s="1272" t="e">
        <f t="shared" si="25"/>
        <v>#VALUE!</v>
      </c>
      <c r="AA74" s="1358"/>
      <c r="AB74" s="1358"/>
      <c r="AC74" s="1358"/>
      <c r="AD74" s="1358"/>
      <c r="AE74" s="1358"/>
      <c r="AF74" s="1358"/>
      <c r="AG74" s="1358"/>
      <c r="AH74" s="1358"/>
      <c r="AI74" s="1358"/>
      <c r="AJ74" s="1358"/>
      <c r="AK74" s="1358"/>
    </row>
    <row r="75" spans="1:37" s="1357" customFormat="1" ht="24">
      <c r="A75" s="2761" t="s">
        <v>2870</v>
      </c>
      <c r="B75" s="1711">
        <f>估价对象房地状况!C22</f>
        <v>0</v>
      </c>
      <c r="C75" s="2653" t="s">
        <v>3549</v>
      </c>
      <c r="D75" s="1273" t="e">
        <f t="shared" si="21"/>
        <v>#VALUE!</v>
      </c>
      <c r="E75" s="824"/>
      <c r="F75" s="2386"/>
      <c r="G75" s="1271" t="str">
        <f t="shared" si="26"/>
        <v>——</v>
      </c>
      <c r="H75" s="1275" t="str">
        <f t="shared" si="22"/>
        <v>——</v>
      </c>
      <c r="I75" s="818">
        <v>0.12</v>
      </c>
      <c r="J75" s="1272" t="e">
        <f t="shared" si="23"/>
        <v>#VALUE!</v>
      </c>
      <c r="K75" s="1272" t="e">
        <f t="shared" si="24"/>
        <v>#VALUE!</v>
      </c>
      <c r="L75" s="1272">
        <v>0</v>
      </c>
      <c r="M75" s="1272" t="e">
        <f t="shared" si="25"/>
        <v>#VALUE!</v>
      </c>
      <c r="N75" s="1272" t="e">
        <f t="shared" si="25"/>
        <v>#VALUE!</v>
      </c>
      <c r="AA75" s="1358"/>
      <c r="AB75" s="1358"/>
      <c r="AC75" s="1358"/>
      <c r="AD75" s="1358"/>
      <c r="AE75" s="1358"/>
      <c r="AF75" s="1358"/>
      <c r="AG75" s="1358"/>
      <c r="AH75" s="1358"/>
      <c r="AI75" s="1358"/>
      <c r="AJ75" s="1358"/>
      <c r="AK75" s="1358"/>
    </row>
    <row r="76" spans="1:37" s="2602" customFormat="1" ht="24">
      <c r="A76" s="2761" t="s">
        <v>2867</v>
      </c>
      <c r="B76" s="2767"/>
      <c r="C76" s="2653" t="s">
        <v>3549</v>
      </c>
      <c r="D76" s="1273" t="e">
        <f t="shared" si="21"/>
        <v>#VALUE!</v>
      </c>
      <c r="E76" s="824"/>
      <c r="F76" s="2386"/>
      <c r="G76" s="1271" t="str">
        <f t="shared" si="26"/>
        <v>——</v>
      </c>
      <c r="H76" s="1275" t="str">
        <f t="shared" si="22"/>
        <v>——</v>
      </c>
      <c r="I76" s="818">
        <v>0.05</v>
      </c>
      <c r="J76" s="1272" t="e">
        <f t="shared" si="23"/>
        <v>#VALUE!</v>
      </c>
      <c r="K76" s="1272" t="e">
        <f t="shared" si="24"/>
        <v>#VALUE!</v>
      </c>
      <c r="L76" s="1272">
        <v>0</v>
      </c>
      <c r="M76" s="1272" t="e">
        <f t="shared" si="25"/>
        <v>#VALUE!</v>
      </c>
      <c r="N76" s="1272" t="e">
        <f t="shared" si="25"/>
        <v>#VALUE!</v>
      </c>
      <c r="AA76" s="2772"/>
      <c r="AB76" s="1358"/>
      <c r="AC76" s="1358"/>
      <c r="AD76" s="1358"/>
      <c r="AE76" s="1358"/>
      <c r="AF76" s="1358"/>
      <c r="AG76" s="1358"/>
      <c r="AH76" s="2772"/>
      <c r="AI76" s="2772"/>
      <c r="AJ76" s="2772"/>
      <c r="AK76" s="2772"/>
    </row>
    <row r="77" spans="1:37" ht="24">
      <c r="A77" s="2761" t="s">
        <v>2871</v>
      </c>
      <c r="B77" s="2764">
        <f>估价对象房地状况!C20</f>
        <v>0</v>
      </c>
      <c r="C77" s="2653" t="str">
        <f>'比较法-住宅'!C24</f>
        <v>较好</v>
      </c>
      <c r="D77" s="1273" t="e">
        <f t="shared" si="21"/>
        <v>#VALUE!</v>
      </c>
      <c r="E77" s="824"/>
      <c r="F77" s="2386"/>
      <c r="G77" s="1271" t="str">
        <f t="shared" si="26"/>
        <v>——</v>
      </c>
      <c r="H77" s="1275" t="str">
        <f t="shared" si="22"/>
        <v>——</v>
      </c>
      <c r="I77" s="818">
        <v>0.15</v>
      </c>
      <c r="J77" s="1272" t="e">
        <f t="shared" si="23"/>
        <v>#VALUE!</v>
      </c>
      <c r="K77" s="1272" t="e">
        <f t="shared" si="24"/>
        <v>#VALUE!</v>
      </c>
      <c r="L77" s="1272">
        <v>0</v>
      </c>
      <c r="M77" s="1272" t="e">
        <f t="shared" si="25"/>
        <v>#VALUE!</v>
      </c>
      <c r="N77" s="1272" t="e">
        <f t="shared" si="25"/>
        <v>#VALUE!</v>
      </c>
      <c r="Z77" s="2603"/>
      <c r="AA77" s="2679"/>
      <c r="AG77" s="1359"/>
      <c r="AK77" s="2679"/>
    </row>
    <row r="78" spans="1:37" ht="24.75" thickBot="1">
      <c r="A78" s="2769" t="s">
        <v>2878</v>
      </c>
      <c r="B78" s="2773"/>
      <c r="C78" s="2653" t="s">
        <v>3549</v>
      </c>
      <c r="D78" s="1273" t="e">
        <f t="shared" si="21"/>
        <v>#VALUE!</v>
      </c>
      <c r="E78" s="825"/>
      <c r="F78" s="2386"/>
      <c r="G78" s="1271" t="str">
        <f t="shared" si="26"/>
        <v>——</v>
      </c>
      <c r="H78" s="1275" t="str">
        <f t="shared" si="22"/>
        <v>——</v>
      </c>
      <c r="I78" s="822">
        <v>0.04</v>
      </c>
      <c r="J78" s="1272" t="e">
        <f t="shared" si="23"/>
        <v>#VALUE!</v>
      </c>
      <c r="K78" s="1272" t="e">
        <f t="shared" si="24"/>
        <v>#VALUE!</v>
      </c>
      <c r="L78" s="1272">
        <v>0</v>
      </c>
      <c r="M78" s="1272" t="e">
        <f t="shared" si="25"/>
        <v>#VALUE!</v>
      </c>
      <c r="N78" s="1272" t="e">
        <f t="shared" si="25"/>
        <v>#VALUE!</v>
      </c>
      <c r="Z78" s="2603"/>
      <c r="AA78" s="2679"/>
      <c r="AG78" s="1359"/>
      <c r="AK78" s="2679"/>
    </row>
    <row r="79" spans="1:37" ht="15">
      <c r="A79" s="2757" t="s">
        <v>2879</v>
      </c>
      <c r="B79" s="2758">
        <f>1+E81</f>
        <v>1</v>
      </c>
      <c r="C79" s="812"/>
      <c r="D79" s="812"/>
      <c r="E79" s="813"/>
      <c r="F79" s="2760"/>
      <c r="G79" s="6"/>
      <c r="H79" s="6"/>
      <c r="I79" s="6"/>
      <c r="J79" s="7"/>
      <c r="K79" s="7"/>
      <c r="L79" s="7"/>
      <c r="M79" s="7"/>
      <c r="N79" s="7"/>
      <c r="Z79" s="2603"/>
      <c r="AA79" s="2679"/>
      <c r="AG79" s="1359"/>
      <c r="AK79" s="2679"/>
    </row>
    <row r="80" spans="1:37" ht="24.75">
      <c r="A80" s="2761" t="s">
        <v>2853</v>
      </c>
      <c r="B80" s="2979"/>
      <c r="C80" s="2979" t="s">
        <v>2855</v>
      </c>
      <c r="D80" s="2979" t="s">
        <v>2856</v>
      </c>
      <c r="E80" s="817" t="s">
        <v>2857</v>
      </c>
      <c r="F80" s="2762" t="s">
        <v>2873</v>
      </c>
      <c r="G80" s="2979" t="s">
        <v>754</v>
      </c>
      <c r="H80" s="2763" t="s">
        <v>2859</v>
      </c>
      <c r="I80" s="2979" t="s">
        <v>2860</v>
      </c>
      <c r="J80" s="603" t="s">
        <v>2509</v>
      </c>
      <c r="K80" s="603" t="s">
        <v>2510</v>
      </c>
      <c r="L80" s="603" t="s">
        <v>2511</v>
      </c>
      <c r="M80" s="603" t="s">
        <v>2512</v>
      </c>
      <c r="N80" s="603" t="s">
        <v>2513</v>
      </c>
      <c r="Z80" s="2603"/>
      <c r="AA80" s="2679"/>
      <c r="AG80" s="1359"/>
      <c r="AK80" s="2679"/>
    </row>
    <row r="81" spans="1:37" ht="24">
      <c r="A81" s="2761" t="s">
        <v>2880</v>
      </c>
      <c r="B81" s="2765">
        <f>估价对象房地状况!G15</f>
        <v>0</v>
      </c>
      <c r="C81" s="2653"/>
      <c r="D81" s="1273">
        <f t="shared" ref="D81:D88" si="27">SUMIF($J$80:$N$80,C81,J81:N81)</f>
        <v>0</v>
      </c>
      <c r="E81" s="819">
        <f>ROUND(SUM(D81:D88),4)</f>
        <v>0</v>
      </c>
      <c r="F81" s="2386" t="str">
        <f>IF(E2="工业",SUMIF(L1:L12,G2,N1:N12),"——")</f>
        <v>——</v>
      </c>
      <c r="G81" s="1271"/>
      <c r="H81" s="1275" t="str">
        <f t="shared" ref="H81:H88" si="28">IFERROR(ROUNDDOWN($F$81*I81/2,4),"——")</f>
        <v>——</v>
      </c>
      <c r="I81" s="818">
        <v>0.26</v>
      </c>
      <c r="J81" s="1272">
        <f t="shared" ref="J81:J88" si="29">K81+$G81</f>
        <v>0</v>
      </c>
      <c r="K81" s="1272">
        <f t="shared" ref="K81:K88" si="30">$L81+$G81</f>
        <v>0</v>
      </c>
      <c r="L81" s="1272">
        <v>0</v>
      </c>
      <c r="M81" s="1272">
        <f t="shared" ref="M81:N88" si="31">L81-$G81</f>
        <v>0</v>
      </c>
      <c r="N81" s="1272">
        <f t="shared" si="31"/>
        <v>0</v>
      </c>
      <c r="Z81" s="2603"/>
      <c r="AA81" s="2679"/>
      <c r="AG81" s="1359"/>
      <c r="AK81" s="2679"/>
    </row>
    <row r="82" spans="1:37" ht="14.25">
      <c r="A82" s="2761" t="s">
        <v>2862</v>
      </c>
      <c r="B82" s="2765">
        <f>估价对象房地状况!G16</f>
        <v>0</v>
      </c>
      <c r="C82" s="2653"/>
      <c r="D82" s="1273">
        <f t="shared" si="27"/>
        <v>0</v>
      </c>
      <c r="E82" s="824"/>
      <c r="F82" s="2386"/>
      <c r="G82" s="1271"/>
      <c r="H82" s="1275" t="str">
        <f t="shared" si="28"/>
        <v>——</v>
      </c>
      <c r="I82" s="818">
        <v>0.33</v>
      </c>
      <c r="J82" s="1272">
        <f t="shared" si="29"/>
        <v>0</v>
      </c>
      <c r="K82" s="1272">
        <f t="shared" si="30"/>
        <v>0</v>
      </c>
      <c r="L82" s="1272">
        <v>0</v>
      </c>
      <c r="M82" s="1272">
        <f t="shared" si="31"/>
        <v>0</v>
      </c>
      <c r="N82" s="1272">
        <f t="shared" si="31"/>
        <v>0</v>
      </c>
      <c r="Z82" s="2603"/>
      <c r="AA82" s="2679"/>
      <c r="AG82" s="1359"/>
      <c r="AK82" s="2679"/>
    </row>
    <row r="83" spans="1:37" ht="24">
      <c r="A83" s="2761" t="s">
        <v>2863</v>
      </c>
      <c r="B83" s="2765">
        <f>估价对象房地状况!G17</f>
        <v>0</v>
      </c>
      <c r="C83" s="2653"/>
      <c r="D83" s="1273">
        <f t="shared" si="27"/>
        <v>0</v>
      </c>
      <c r="E83" s="824"/>
      <c r="F83" s="2386"/>
      <c r="G83" s="1271"/>
      <c r="H83" s="1275" t="str">
        <f t="shared" si="28"/>
        <v>——</v>
      </c>
      <c r="I83" s="818">
        <v>0.05</v>
      </c>
      <c r="J83" s="1272">
        <f t="shared" si="29"/>
        <v>0</v>
      </c>
      <c r="K83" s="1272">
        <f t="shared" si="30"/>
        <v>0</v>
      </c>
      <c r="L83" s="1272">
        <v>0</v>
      </c>
      <c r="M83" s="1272">
        <f t="shared" si="31"/>
        <v>0</v>
      </c>
      <c r="N83" s="1272">
        <f t="shared" si="31"/>
        <v>0</v>
      </c>
      <c r="Z83" s="2603"/>
      <c r="AA83" s="2679"/>
      <c r="AG83" s="1359"/>
      <c r="AK83" s="2679"/>
    </row>
    <row r="84" spans="1:37" ht="14.25">
      <c r="A84" s="2761" t="s">
        <v>2877</v>
      </c>
      <c r="B84" s="2765">
        <f>估价对象房地状况!G22</f>
        <v>0</v>
      </c>
      <c r="C84" s="2653"/>
      <c r="D84" s="1273">
        <f t="shared" si="27"/>
        <v>0</v>
      </c>
      <c r="E84" s="824"/>
      <c r="F84" s="2386"/>
      <c r="G84" s="1271"/>
      <c r="H84" s="1275" t="str">
        <f t="shared" si="28"/>
        <v>——</v>
      </c>
      <c r="I84" s="818">
        <v>0.04</v>
      </c>
      <c r="J84" s="1272">
        <f t="shared" si="29"/>
        <v>0</v>
      </c>
      <c r="K84" s="1272">
        <f t="shared" si="30"/>
        <v>0</v>
      </c>
      <c r="L84" s="1272">
        <v>0</v>
      </c>
      <c r="M84" s="1272">
        <f t="shared" si="31"/>
        <v>0</v>
      </c>
      <c r="N84" s="1272">
        <f t="shared" si="31"/>
        <v>0</v>
      </c>
      <c r="Z84" s="2603"/>
      <c r="AA84" s="2679"/>
      <c r="AG84" s="1359"/>
      <c r="AK84" s="2679"/>
    </row>
    <row r="85" spans="1:37" ht="24">
      <c r="A85" s="2761" t="s">
        <v>2869</v>
      </c>
      <c r="B85" s="1711">
        <f>估价对象房地状况!G19</f>
        <v>0</v>
      </c>
      <c r="C85" s="2653"/>
      <c r="D85" s="1273">
        <f t="shared" si="27"/>
        <v>0</v>
      </c>
      <c r="E85" s="824"/>
      <c r="F85" s="2386"/>
      <c r="G85" s="1271"/>
      <c r="H85" s="1275" t="str">
        <f t="shared" si="28"/>
        <v>——</v>
      </c>
      <c r="I85" s="818">
        <v>0.06</v>
      </c>
      <c r="J85" s="1272">
        <f t="shared" si="29"/>
        <v>0</v>
      </c>
      <c r="K85" s="1272">
        <f t="shared" si="30"/>
        <v>0</v>
      </c>
      <c r="L85" s="1272">
        <v>0</v>
      </c>
      <c r="M85" s="1272">
        <f t="shared" si="31"/>
        <v>0</v>
      </c>
      <c r="N85" s="1272">
        <f t="shared" si="31"/>
        <v>0</v>
      </c>
      <c r="Z85" s="2603"/>
      <c r="AA85" s="2679"/>
      <c r="AG85" s="1359"/>
      <c r="AK85" s="2679"/>
    </row>
    <row r="86" spans="1:37" ht="24">
      <c r="A86" s="2761" t="s">
        <v>2870</v>
      </c>
      <c r="B86" s="1711">
        <f>估价对象房地状况!G20</f>
        <v>0</v>
      </c>
      <c r="C86" s="2653"/>
      <c r="D86" s="1273">
        <f t="shared" si="27"/>
        <v>0</v>
      </c>
      <c r="E86" s="824"/>
      <c r="F86" s="2386"/>
      <c r="G86" s="1271"/>
      <c r="H86" s="1275" t="str">
        <f t="shared" si="28"/>
        <v>——</v>
      </c>
      <c r="I86" s="818">
        <v>0.15</v>
      </c>
      <c r="J86" s="1272">
        <f t="shared" si="29"/>
        <v>0</v>
      </c>
      <c r="K86" s="1272">
        <f t="shared" si="30"/>
        <v>0</v>
      </c>
      <c r="L86" s="1272">
        <v>0</v>
      </c>
      <c r="M86" s="1272">
        <f t="shared" si="31"/>
        <v>0</v>
      </c>
      <c r="N86" s="1272">
        <f t="shared" si="31"/>
        <v>0</v>
      </c>
      <c r="Z86" s="2603"/>
      <c r="AA86" s="2679"/>
      <c r="AG86" s="1359"/>
      <c r="AK86" s="2679"/>
    </row>
    <row r="87" spans="1:37" ht="24">
      <c r="A87" s="2761" t="s">
        <v>2867</v>
      </c>
      <c r="B87" s="2767" t="s">
        <v>2881</v>
      </c>
      <c r="C87" s="2653"/>
      <c r="D87" s="1273">
        <f t="shared" si="27"/>
        <v>0</v>
      </c>
      <c r="E87" s="824"/>
      <c r="F87" s="2386"/>
      <c r="G87" s="1271"/>
      <c r="H87" s="1275" t="str">
        <f t="shared" si="28"/>
        <v>——</v>
      </c>
      <c r="I87" s="818">
        <v>0.05</v>
      </c>
      <c r="J87" s="1272">
        <f t="shared" si="29"/>
        <v>0</v>
      </c>
      <c r="K87" s="1272">
        <f t="shared" si="30"/>
        <v>0</v>
      </c>
      <c r="L87" s="1272">
        <v>0</v>
      </c>
      <c r="M87" s="1272">
        <f t="shared" si="31"/>
        <v>0</v>
      </c>
      <c r="N87" s="1272">
        <f t="shared" si="31"/>
        <v>0</v>
      </c>
      <c r="Z87" s="2603"/>
      <c r="AA87" s="2679"/>
      <c r="AG87" s="1359"/>
      <c r="AK87" s="2679"/>
    </row>
    <row r="88" spans="1:37" ht="15" thickBot="1">
      <c r="A88" s="2769" t="s">
        <v>2882</v>
      </c>
      <c r="B88" s="2774">
        <f>估价对象房地状况!G18</f>
        <v>0</v>
      </c>
      <c r="C88" s="2653"/>
      <c r="D88" s="1273">
        <f t="shared" si="27"/>
        <v>0</v>
      </c>
      <c r="E88" s="825"/>
      <c r="F88" s="2386"/>
      <c r="G88" s="1271"/>
      <c r="H88" s="1275" t="str">
        <f t="shared" si="28"/>
        <v>——</v>
      </c>
      <c r="I88" s="822">
        <v>0.06</v>
      </c>
      <c r="J88" s="1272">
        <f t="shared" si="29"/>
        <v>0</v>
      </c>
      <c r="K88" s="1272">
        <f t="shared" si="30"/>
        <v>0</v>
      </c>
      <c r="L88" s="1272">
        <v>0</v>
      </c>
      <c r="M88" s="1272">
        <f t="shared" si="31"/>
        <v>0</v>
      </c>
      <c r="N88" s="1272">
        <f t="shared" si="31"/>
        <v>0</v>
      </c>
      <c r="Z88" s="2603"/>
      <c r="AA88" s="2679"/>
      <c r="AG88" s="1359"/>
      <c r="AK88" s="2679"/>
    </row>
    <row r="90" spans="1:37">
      <c r="A90" s="3253" t="s">
        <v>2883</v>
      </c>
      <c r="B90" s="3253"/>
      <c r="C90" s="3253"/>
      <c r="D90" s="3253"/>
      <c r="E90" s="3253"/>
      <c r="F90" s="3253"/>
      <c r="G90" s="3253"/>
      <c r="H90" s="3253"/>
      <c r="I90" s="3253"/>
      <c r="J90" s="3253"/>
      <c r="K90" s="2987"/>
      <c r="L90" s="2987"/>
      <c r="M90" s="2987"/>
      <c r="N90" s="2987"/>
    </row>
    <row r="91" spans="1:37">
      <c r="A91" s="3255" t="s">
        <v>2884</v>
      </c>
      <c r="B91" s="3255" t="s">
        <v>2885</v>
      </c>
      <c r="C91" s="2729" t="s">
        <v>2886</v>
      </c>
      <c r="D91" s="2730"/>
      <c r="E91" s="2730"/>
      <c r="F91" s="2730"/>
      <c r="G91" s="2730"/>
      <c r="H91" s="2730"/>
      <c r="I91" s="2730"/>
      <c r="J91" s="2776"/>
      <c r="K91" s="2777"/>
      <c r="L91" s="2777"/>
      <c r="M91" s="2777"/>
      <c r="N91" s="2777"/>
    </row>
    <row r="92" spans="1:37">
      <c r="A92" s="3255"/>
      <c r="B92" s="3255"/>
      <c r="C92" s="2989" t="s">
        <v>2752</v>
      </c>
      <c r="D92" s="2989" t="s">
        <v>2753</v>
      </c>
      <c r="E92" s="2989" t="s">
        <v>2754</v>
      </c>
      <c r="F92" s="2989" t="s">
        <v>2755</v>
      </c>
      <c r="G92" s="2989" t="s">
        <v>2756</v>
      </c>
      <c r="H92" s="2989" t="s">
        <v>2757</v>
      </c>
      <c r="I92" s="2989" t="s">
        <v>2758</v>
      </c>
      <c r="J92" s="2989" t="s">
        <v>2759</v>
      </c>
      <c r="K92" s="2989" t="s">
        <v>2760</v>
      </c>
      <c r="L92" s="2989" t="s">
        <v>2761</v>
      </c>
      <c r="M92" s="2989" t="s">
        <v>2762</v>
      </c>
      <c r="N92" s="2989" t="s">
        <v>2763</v>
      </c>
    </row>
    <row r="93" spans="1:37">
      <c r="A93" s="3256" t="s">
        <v>2887</v>
      </c>
      <c r="B93" s="2778">
        <v>1</v>
      </c>
      <c r="C93" s="2779">
        <v>1.9361999999999999</v>
      </c>
      <c r="D93" s="2779">
        <v>1.9361999999999999</v>
      </c>
      <c r="E93" s="2779">
        <v>1.8629</v>
      </c>
      <c r="F93" s="2779">
        <v>1.8629</v>
      </c>
      <c r="G93" s="2779">
        <v>1.8629</v>
      </c>
      <c r="H93" s="2779">
        <v>1.8629</v>
      </c>
      <c r="I93" s="2779">
        <v>1.8629</v>
      </c>
      <c r="J93" s="2779">
        <v>1.9419999999999999</v>
      </c>
      <c r="K93" s="2779">
        <v>1.9419999999999999</v>
      </c>
      <c r="L93" s="2779">
        <v>1.9419999999999999</v>
      </c>
      <c r="M93" s="2779">
        <v>1.9419999999999999</v>
      </c>
      <c r="N93" s="2779">
        <v>1.9419999999999999</v>
      </c>
    </row>
    <row r="94" spans="1:37">
      <c r="A94" s="3257"/>
      <c r="B94" s="2778">
        <v>2</v>
      </c>
      <c r="C94" s="2779">
        <v>1.4198</v>
      </c>
      <c r="D94" s="2779">
        <v>1.4198</v>
      </c>
      <c r="E94" s="2779">
        <v>1.3371999999999999</v>
      </c>
      <c r="F94" s="2779">
        <v>1.3371999999999999</v>
      </c>
      <c r="G94" s="2779">
        <v>1.3371999999999999</v>
      </c>
      <c r="H94" s="2779">
        <v>1.3371999999999999</v>
      </c>
      <c r="I94" s="2779">
        <v>1.3371999999999999</v>
      </c>
      <c r="J94" s="2779">
        <v>1.2799</v>
      </c>
      <c r="K94" s="2779">
        <v>1.2799</v>
      </c>
      <c r="L94" s="2779">
        <v>1.2799</v>
      </c>
      <c r="M94" s="2779">
        <v>1.2799</v>
      </c>
      <c r="N94" s="2779">
        <v>1.2799</v>
      </c>
    </row>
    <row r="95" spans="1:37">
      <c r="A95" s="3257"/>
      <c r="B95" s="2778">
        <v>3</v>
      </c>
      <c r="C95" s="2779">
        <v>1.1594</v>
      </c>
      <c r="D95" s="2779">
        <v>1.1594</v>
      </c>
      <c r="E95" s="2779">
        <v>1.0788</v>
      </c>
      <c r="F95" s="2779">
        <v>1.0788</v>
      </c>
      <c r="G95" s="2779">
        <v>1.0788</v>
      </c>
      <c r="H95" s="2779">
        <v>1.0788</v>
      </c>
      <c r="I95" s="2779">
        <v>1.0788</v>
      </c>
      <c r="J95" s="2779">
        <v>1.0072000000000001</v>
      </c>
      <c r="K95" s="2779">
        <v>1.0072000000000001</v>
      </c>
      <c r="L95" s="2779">
        <v>1.0072000000000001</v>
      </c>
      <c r="M95" s="2779">
        <v>1.0072000000000001</v>
      </c>
      <c r="N95" s="2779">
        <v>1.0072000000000001</v>
      </c>
    </row>
    <row r="96" spans="1:37">
      <c r="A96" s="3257"/>
      <c r="B96" s="2778">
        <v>4</v>
      </c>
      <c r="C96" s="2779">
        <v>0.96220000000000006</v>
      </c>
      <c r="D96" s="2779">
        <v>0.96220000000000006</v>
      </c>
      <c r="E96" s="2779">
        <v>0.86560000000000004</v>
      </c>
      <c r="F96" s="2779">
        <v>0.86560000000000004</v>
      </c>
      <c r="G96" s="2779">
        <v>0.86560000000000004</v>
      </c>
      <c r="H96" s="2779">
        <v>0.86560000000000004</v>
      </c>
      <c r="I96" s="2779">
        <v>0.86560000000000004</v>
      </c>
      <c r="J96" s="2779">
        <v>0.75249999999999995</v>
      </c>
      <c r="K96" s="2779">
        <v>0.75249999999999995</v>
      </c>
      <c r="L96" s="2779">
        <v>0.75249999999999995</v>
      </c>
      <c r="M96" s="2779">
        <v>0.75249999999999995</v>
      </c>
      <c r="N96" s="2779">
        <v>0.75249999999999995</v>
      </c>
    </row>
    <row r="97" spans="1:14">
      <c r="A97" s="3257"/>
      <c r="B97" s="2778">
        <v>5</v>
      </c>
      <c r="C97" s="2779">
        <v>0.8417</v>
      </c>
      <c r="D97" s="2779">
        <v>0.8417</v>
      </c>
      <c r="E97" s="2779">
        <v>0.73709999999999998</v>
      </c>
      <c r="F97" s="2779">
        <v>0.73709999999999998</v>
      </c>
      <c r="G97" s="2779">
        <v>0.73709999999999998</v>
      </c>
      <c r="H97" s="2779">
        <v>0.73709999999999998</v>
      </c>
      <c r="I97" s="2779">
        <v>0.73709999999999998</v>
      </c>
      <c r="J97" s="2779">
        <v>0.56589999999999996</v>
      </c>
      <c r="K97" s="2779">
        <v>0.56589999999999996</v>
      </c>
      <c r="L97" s="2779">
        <v>0.56589999999999996</v>
      </c>
      <c r="M97" s="2779">
        <v>0.56589999999999996</v>
      </c>
      <c r="N97" s="2779">
        <v>0.56589999999999996</v>
      </c>
    </row>
    <row r="98" spans="1:14">
      <c r="A98" s="3257"/>
      <c r="B98" s="2778">
        <v>6</v>
      </c>
      <c r="C98" s="2779">
        <v>0.76080000000000003</v>
      </c>
      <c r="D98" s="2779">
        <v>0.76080000000000003</v>
      </c>
      <c r="E98" s="2779">
        <v>0.6482</v>
      </c>
      <c r="F98" s="2779">
        <v>0.6482</v>
      </c>
      <c r="G98" s="2779">
        <v>0.6482</v>
      </c>
      <c r="H98" s="2779">
        <v>0.6482</v>
      </c>
      <c r="I98" s="2779">
        <v>0.6482</v>
      </c>
      <c r="J98" s="2779">
        <v>0.45250000000000001</v>
      </c>
      <c r="K98" s="2779">
        <v>0.45250000000000001</v>
      </c>
      <c r="L98" s="2779">
        <v>0.45250000000000001</v>
      </c>
      <c r="M98" s="2779">
        <v>0.45250000000000001</v>
      </c>
      <c r="N98" s="2779">
        <v>0.45250000000000001</v>
      </c>
    </row>
    <row r="99" spans="1:14">
      <c r="A99" s="3257"/>
      <c r="B99" s="2778" t="s">
        <v>2768</v>
      </c>
      <c r="C99" s="2780">
        <f>$I$3</f>
        <v>0</v>
      </c>
      <c r="D99" s="2780">
        <f t="shared" ref="D99:M99" si="32">$I$3</f>
        <v>0</v>
      </c>
      <c r="E99" s="2780">
        <f t="shared" si="32"/>
        <v>0</v>
      </c>
      <c r="F99" s="2780">
        <f t="shared" si="32"/>
        <v>0</v>
      </c>
      <c r="G99" s="2780">
        <f t="shared" si="32"/>
        <v>0</v>
      </c>
      <c r="H99" s="2780">
        <f t="shared" si="32"/>
        <v>0</v>
      </c>
      <c r="I99" s="2780">
        <f t="shared" si="32"/>
        <v>0</v>
      </c>
      <c r="J99" s="2780">
        <f t="shared" si="32"/>
        <v>0</v>
      </c>
      <c r="K99" s="2780">
        <f t="shared" si="32"/>
        <v>0</v>
      </c>
      <c r="L99" s="2780">
        <f t="shared" si="32"/>
        <v>0</v>
      </c>
      <c r="M99" s="2780">
        <f t="shared" si="32"/>
        <v>0</v>
      </c>
      <c r="N99" s="2780">
        <f>$I$3</f>
        <v>0</v>
      </c>
    </row>
    <row r="100" spans="1:14">
      <c r="A100" s="3258"/>
      <c r="B100" s="2778">
        <v>7</v>
      </c>
      <c r="C100" s="2781">
        <f>(-0.163*(C99^2)-0.59*C99+7617)*(10^(-4))</f>
        <v>0.76170000000000004</v>
      </c>
      <c r="D100" s="2781">
        <f>(-0.163*(D99^2)-0.59*D99+7617)*(10^(-4))</f>
        <v>0.76170000000000004</v>
      </c>
      <c r="E100" s="2781">
        <f>(-0.161*(E99^2)-7.509*E99+6533)*(10^(-4))</f>
        <v>0.65329999999999999</v>
      </c>
      <c r="F100" s="2781">
        <f>(-0.161*(F99^2)-7.509*F99+6533)*(10^(-4))</f>
        <v>0.65329999999999999</v>
      </c>
      <c r="G100" s="2781">
        <f>(-0.161*(G99^2)-7.509*G99+6533)*(10^(-4))</f>
        <v>0.65329999999999999</v>
      </c>
      <c r="H100" s="2781">
        <f>(-0.161*(H99^2)-7.509*H99+6533)*(10^(-4))</f>
        <v>0.65329999999999999</v>
      </c>
      <c r="I100" s="2781">
        <f>(-0.161*(I99^2)-7.509*I99+6533)*(10^(-4))</f>
        <v>0.65329999999999999</v>
      </c>
      <c r="J100" s="2781">
        <f>(-0.214*(J99^2)-21.991*J99+4665)*(10^(-4))</f>
        <v>0.46650000000000003</v>
      </c>
      <c r="K100" s="2781">
        <f>(-0.214*(K99^2)-21.991*K99+4665)*(10^(-4))</f>
        <v>0.46650000000000003</v>
      </c>
      <c r="L100" s="2781">
        <f>(-0.214*(L99^2)-21.991*L99+4665)*(10^(-4))</f>
        <v>0.46650000000000003</v>
      </c>
      <c r="M100" s="2781">
        <f>(-0.214*(M99^2)-21.991*M99+4665)*(10^(-4))</f>
        <v>0.46650000000000003</v>
      </c>
      <c r="N100" s="2781">
        <f>(-0.214*(N99^2)-21.991*N99+4665)*(10^(-4))</f>
        <v>0.46650000000000003</v>
      </c>
    </row>
    <row r="101" spans="1:14">
      <c r="A101" s="3256" t="s">
        <v>2888</v>
      </c>
      <c r="B101" s="2782" t="s">
        <v>2889</v>
      </c>
      <c r="C101" s="2783">
        <f>$G$3</f>
        <v>4.79</v>
      </c>
      <c r="D101" s="2783">
        <f t="shared" ref="D101:N101" si="33">$G$3</f>
        <v>4.79</v>
      </c>
      <c r="E101" s="2783">
        <f t="shared" si="33"/>
        <v>4.79</v>
      </c>
      <c r="F101" s="2783">
        <f t="shared" si="33"/>
        <v>4.79</v>
      </c>
      <c r="G101" s="2783">
        <f t="shared" si="33"/>
        <v>4.79</v>
      </c>
      <c r="H101" s="2783">
        <f t="shared" si="33"/>
        <v>4.79</v>
      </c>
      <c r="I101" s="2783">
        <f t="shared" si="33"/>
        <v>4.79</v>
      </c>
      <c r="J101" s="2783">
        <f t="shared" si="33"/>
        <v>4.79</v>
      </c>
      <c r="K101" s="2783">
        <f t="shared" si="33"/>
        <v>4.79</v>
      </c>
      <c r="L101" s="2783">
        <f t="shared" si="33"/>
        <v>4.79</v>
      </c>
      <c r="M101" s="2783">
        <f t="shared" si="33"/>
        <v>4.79</v>
      </c>
      <c r="N101" s="2783">
        <f t="shared" si="33"/>
        <v>4.79</v>
      </c>
    </row>
    <row r="102" spans="1:14">
      <c r="A102" s="3257"/>
      <c r="B102" s="2778">
        <v>1</v>
      </c>
      <c r="C102" s="2779">
        <f>1.9362/C101</f>
        <v>0.40421711899791229</v>
      </c>
      <c r="D102" s="2779">
        <f>1.9362/D101</f>
        <v>0.40421711899791229</v>
      </c>
      <c r="E102" s="2779">
        <f>1.8629/E101</f>
        <v>0.38891440501043839</v>
      </c>
      <c r="F102" s="2779">
        <f>1.8629/F101</f>
        <v>0.38891440501043839</v>
      </c>
      <c r="G102" s="2779">
        <f>1.8629/G101</f>
        <v>0.38891440501043839</v>
      </c>
      <c r="H102" s="2779">
        <f>1.8629/H101</f>
        <v>0.38891440501043839</v>
      </c>
      <c r="I102" s="2779">
        <f>1.8629/I101</f>
        <v>0.38891440501043839</v>
      </c>
      <c r="J102" s="2779">
        <f>1.942/J101</f>
        <v>0.40542797494780791</v>
      </c>
      <c r="K102" s="2779">
        <f>1.942/K101</f>
        <v>0.40542797494780791</v>
      </c>
      <c r="L102" s="2779">
        <f>1.942/L101</f>
        <v>0.40542797494780791</v>
      </c>
      <c r="M102" s="2779">
        <f>1.942/M101</f>
        <v>0.40542797494780791</v>
      </c>
      <c r="N102" s="2779">
        <f>1.942/N101</f>
        <v>0.40542797494780791</v>
      </c>
    </row>
    <row r="103" spans="1:14">
      <c r="A103" s="3257"/>
      <c r="B103" s="2778">
        <v>2</v>
      </c>
      <c r="C103" s="2779">
        <f>1.4198/C101</f>
        <v>0.2964091858037578</v>
      </c>
      <c r="D103" s="2779">
        <f>1.4198/D101</f>
        <v>0.2964091858037578</v>
      </c>
      <c r="E103" s="2779">
        <f>1.3372/E101</f>
        <v>0.27916492693110645</v>
      </c>
      <c r="F103" s="2779">
        <f>1.3372/F101</f>
        <v>0.27916492693110645</v>
      </c>
      <c r="G103" s="2779">
        <f>1.3372/G101</f>
        <v>0.27916492693110645</v>
      </c>
      <c r="H103" s="2779">
        <f>1.3372/H101</f>
        <v>0.27916492693110645</v>
      </c>
      <c r="I103" s="2779">
        <f>1.3372/I101</f>
        <v>0.27916492693110645</v>
      </c>
      <c r="J103" s="2779">
        <f>1.2799/J101</f>
        <v>0.26720250521920669</v>
      </c>
      <c r="K103" s="2779">
        <f>1.2799/K101</f>
        <v>0.26720250521920669</v>
      </c>
      <c r="L103" s="2779">
        <f>1.2799/L101</f>
        <v>0.26720250521920669</v>
      </c>
      <c r="M103" s="2779">
        <f>1.2799/M101</f>
        <v>0.26720250521920669</v>
      </c>
      <c r="N103" s="2779">
        <f>1.2799/N101</f>
        <v>0.26720250521920669</v>
      </c>
    </row>
    <row r="104" spans="1:14">
      <c r="A104" s="3257"/>
      <c r="B104" s="2778">
        <v>3</v>
      </c>
      <c r="C104" s="2779">
        <f>1.1594/C101</f>
        <v>0.24204592901878913</v>
      </c>
      <c r="D104" s="2779">
        <f>1.1594/D101</f>
        <v>0.24204592901878913</v>
      </c>
      <c r="E104" s="2779">
        <f>1.0788/E101</f>
        <v>0.22521920668058454</v>
      </c>
      <c r="F104" s="2779">
        <f>1.0788/F101</f>
        <v>0.22521920668058454</v>
      </c>
      <c r="G104" s="2779">
        <f>1.0788/G101</f>
        <v>0.22521920668058454</v>
      </c>
      <c r="H104" s="2779">
        <f>1.0788/H101</f>
        <v>0.22521920668058454</v>
      </c>
      <c r="I104" s="2779">
        <f>1.0788/I101</f>
        <v>0.22521920668058454</v>
      </c>
      <c r="J104" s="2779">
        <f>1.0072/J101</f>
        <v>0.21027139874739043</v>
      </c>
      <c r="K104" s="2779">
        <f>1.0072/K101</f>
        <v>0.21027139874739043</v>
      </c>
      <c r="L104" s="2779">
        <f>1.0072/L101</f>
        <v>0.21027139874739043</v>
      </c>
      <c r="M104" s="2779">
        <f>1.0072/M101</f>
        <v>0.21027139874739043</v>
      </c>
      <c r="N104" s="2779">
        <f>1.0072/N101</f>
        <v>0.21027139874739043</v>
      </c>
    </row>
    <row r="105" spans="1:14">
      <c r="A105" s="3257"/>
      <c r="B105" s="2778">
        <v>4</v>
      </c>
      <c r="C105" s="2779">
        <f>0.9622/C101</f>
        <v>0.20087682672233823</v>
      </c>
      <c r="D105" s="2779">
        <f>0.9622/D101</f>
        <v>0.20087682672233823</v>
      </c>
      <c r="E105" s="2779">
        <f>0.8656/E101</f>
        <v>0.18070981210855949</v>
      </c>
      <c r="F105" s="2779">
        <f>0.8656/F101</f>
        <v>0.18070981210855949</v>
      </c>
      <c r="G105" s="2779">
        <f>0.8656/G101</f>
        <v>0.18070981210855949</v>
      </c>
      <c r="H105" s="2779">
        <f>0.8656/H101</f>
        <v>0.18070981210855949</v>
      </c>
      <c r="I105" s="2779">
        <f>0.8656/I101</f>
        <v>0.18070981210855949</v>
      </c>
      <c r="J105" s="2779">
        <f>0.7525/J101</f>
        <v>0.15709812108559498</v>
      </c>
      <c r="K105" s="2779">
        <f>0.7525/K101</f>
        <v>0.15709812108559498</v>
      </c>
      <c r="L105" s="2779">
        <f>0.7525/L101</f>
        <v>0.15709812108559498</v>
      </c>
      <c r="M105" s="2779">
        <f>0.7525/M101</f>
        <v>0.15709812108559498</v>
      </c>
      <c r="N105" s="2779">
        <f>0.7525/N101</f>
        <v>0.15709812108559498</v>
      </c>
    </row>
    <row r="106" spans="1:14">
      <c r="A106" s="3257"/>
      <c r="B106" s="2778">
        <v>5</v>
      </c>
      <c r="C106" s="2779">
        <f>0.8417/C101</f>
        <v>0.17572025052192067</v>
      </c>
      <c r="D106" s="2779">
        <f>0.8417/D101</f>
        <v>0.17572025052192067</v>
      </c>
      <c r="E106" s="2779">
        <f>0.7371/E101</f>
        <v>0.15388308977035489</v>
      </c>
      <c r="F106" s="2779">
        <f>0.7371/F101</f>
        <v>0.15388308977035489</v>
      </c>
      <c r="G106" s="2779">
        <f>0.7371/G101</f>
        <v>0.15388308977035489</v>
      </c>
      <c r="H106" s="2779">
        <f>0.7371/H101</f>
        <v>0.15388308977035489</v>
      </c>
      <c r="I106" s="2779">
        <f>0.7371/I101</f>
        <v>0.15388308977035489</v>
      </c>
      <c r="J106" s="2779">
        <f>0.5659/J101</f>
        <v>0.11814196242171189</v>
      </c>
      <c r="K106" s="2779">
        <f>0.5659/K101</f>
        <v>0.11814196242171189</v>
      </c>
      <c r="L106" s="2779">
        <f>0.5659/L101</f>
        <v>0.11814196242171189</v>
      </c>
      <c r="M106" s="2779">
        <f>0.5659/M101</f>
        <v>0.11814196242171189</v>
      </c>
      <c r="N106" s="2779">
        <f>0.5659/N101</f>
        <v>0.11814196242171189</v>
      </c>
    </row>
    <row r="107" spans="1:14">
      <c r="A107" s="3257"/>
      <c r="B107" s="2778">
        <v>6</v>
      </c>
      <c r="C107" s="2779">
        <f>0.7608/C101</f>
        <v>0.15883089770354908</v>
      </c>
      <c r="D107" s="2779">
        <f>0.7608/D101</f>
        <v>0.15883089770354908</v>
      </c>
      <c r="E107" s="2779">
        <f>0.6482/E101</f>
        <v>0.13532359081419623</v>
      </c>
      <c r="F107" s="2779">
        <f>0.6482/F101</f>
        <v>0.13532359081419623</v>
      </c>
      <c r="G107" s="2779">
        <f>0.6482/G101</f>
        <v>0.13532359081419623</v>
      </c>
      <c r="H107" s="2779">
        <f>0.6482/H101</f>
        <v>0.13532359081419623</v>
      </c>
      <c r="I107" s="2779">
        <f>0.6482/I101</f>
        <v>0.13532359081419623</v>
      </c>
      <c r="J107" s="2779">
        <f>0.4525/J101</f>
        <v>9.4467640918580384E-2</v>
      </c>
      <c r="K107" s="2779">
        <f>0.4525/K101</f>
        <v>9.4467640918580384E-2</v>
      </c>
      <c r="L107" s="2779">
        <f>0.4525/L101</f>
        <v>9.4467640918580384E-2</v>
      </c>
      <c r="M107" s="2779">
        <f>0.4525/M101</f>
        <v>9.4467640918580384E-2</v>
      </c>
      <c r="N107" s="2779">
        <f>0.4525/N101</f>
        <v>9.4467640918580384E-2</v>
      </c>
    </row>
    <row r="108" spans="1:14">
      <c r="A108" s="3257"/>
      <c r="B108" s="3208" t="s">
        <v>2781</v>
      </c>
      <c r="C108" s="2780">
        <f>C99</f>
        <v>0</v>
      </c>
      <c r="D108" s="2780">
        <f t="shared" ref="D108:N108" si="34">D99</f>
        <v>0</v>
      </c>
      <c r="E108" s="2780">
        <f t="shared" si="34"/>
        <v>0</v>
      </c>
      <c r="F108" s="2780">
        <f t="shared" si="34"/>
        <v>0</v>
      </c>
      <c r="G108" s="2780">
        <f t="shared" si="34"/>
        <v>0</v>
      </c>
      <c r="H108" s="2780">
        <f t="shared" si="34"/>
        <v>0</v>
      </c>
      <c r="I108" s="2780">
        <f t="shared" si="34"/>
        <v>0</v>
      </c>
      <c r="J108" s="2780">
        <f t="shared" si="34"/>
        <v>0</v>
      </c>
      <c r="K108" s="2780">
        <f t="shared" si="34"/>
        <v>0</v>
      </c>
      <c r="L108" s="2780">
        <f t="shared" si="34"/>
        <v>0</v>
      </c>
      <c r="M108" s="2780">
        <f t="shared" si="34"/>
        <v>0</v>
      </c>
      <c r="N108" s="2780">
        <f t="shared" si="34"/>
        <v>0</v>
      </c>
    </row>
    <row r="109" spans="1:14">
      <c r="A109" s="3258"/>
      <c r="B109" s="3209"/>
      <c r="C109" s="2781">
        <f>(-0.163*(C108^2)-0.59*C108+7617)*(10^(-4))/C101</f>
        <v>0.1590187891440501</v>
      </c>
      <c r="D109" s="2781">
        <f>(-0.163*(D108^2)-0.59*D108+7617)*(10^(-4))/D101</f>
        <v>0.1590187891440501</v>
      </c>
      <c r="E109" s="2781">
        <f>(-0.161*(E108^2)-7.509*E108+6533)*(10^(-4))/E101</f>
        <v>0.13638830897703549</v>
      </c>
      <c r="F109" s="2781">
        <f>(-0.161*(F108^2)-7.509*F108+6533)*(10^(-4))/F101</f>
        <v>0.13638830897703549</v>
      </c>
      <c r="G109" s="2781">
        <f>(-0.161*(G108^2)-7.509*G108+6533)*(10^(-4))/G101</f>
        <v>0.13638830897703549</v>
      </c>
      <c r="H109" s="2781">
        <f>(-0.161*(H108^2)-7.509*H108+6533)*(10^(-4))/H101</f>
        <v>0.13638830897703549</v>
      </c>
      <c r="I109" s="2781">
        <f>(-0.161*(I108^2)-7.509*I108+6533)*(10^(-4))/I101</f>
        <v>0.13638830897703549</v>
      </c>
      <c r="J109" s="2781">
        <f>(-0.214*(J108^2)-21.991*J108+4665)*(10^(-4))/J101</f>
        <v>9.7390396659707723E-2</v>
      </c>
      <c r="K109" s="2781">
        <f>(-0.214*(K108^2)-21.991*K108+4665)*(10^(-4))/K101</f>
        <v>9.7390396659707723E-2</v>
      </c>
      <c r="L109" s="2781">
        <f>(-0.214*(L108^2)-21.991*L108+4665)*(10^(-4))/L101</f>
        <v>9.7390396659707723E-2</v>
      </c>
      <c r="M109" s="2781">
        <f>(-0.214*(M108^2)-21.991*M108+4665)*(10^(-4))/M101</f>
        <v>9.7390396659707723E-2</v>
      </c>
      <c r="N109" s="2781">
        <f>(-0.214*(N108^2)-21.991*N108+4665)*(10^(-4))/N101</f>
        <v>9.7390396659707723E-2</v>
      </c>
    </row>
    <row r="110" spans="1:14">
      <c r="A110" s="3254" t="s">
        <v>2891</v>
      </c>
      <c r="B110" s="3254"/>
      <c r="C110" s="3254"/>
      <c r="D110" s="3254"/>
      <c r="E110" s="3254"/>
      <c r="F110" s="3254"/>
      <c r="G110" s="3254"/>
      <c r="H110" s="3254"/>
      <c r="I110" s="3254"/>
      <c r="J110" s="3254"/>
      <c r="K110" s="2988"/>
      <c r="L110" s="2988"/>
      <c r="M110" s="2988"/>
      <c r="N110" s="2988"/>
    </row>
    <row r="112" spans="1:14" ht="13.5" thickBot="1"/>
    <row r="113" spans="1:13" ht="25.5" thickBot="1">
      <c r="A113" s="901" t="s">
        <v>2892</v>
      </c>
      <c r="B113" s="1274">
        <f>G3</f>
        <v>4.79</v>
      </c>
      <c r="C113" s="902" t="s">
        <v>2893</v>
      </c>
      <c r="D113" s="903">
        <f>SUMPRODUCT((A115:A118=F113)*(B114:M114=H113)*B115:M118)</f>
        <v>0.78090000000000004</v>
      </c>
      <c r="E113" s="2607" t="s">
        <v>2726</v>
      </c>
      <c r="F113" s="2786" t="str">
        <f>E2</f>
        <v>商业</v>
      </c>
      <c r="G113" s="2607" t="s">
        <v>2727</v>
      </c>
      <c r="H113" s="2786" t="str">
        <f>G2</f>
        <v>三级</v>
      </c>
      <c r="I113" s="2607"/>
      <c r="J113" s="2787"/>
      <c r="K113" s="2787"/>
      <c r="L113" s="2787"/>
      <c r="M113" s="2787"/>
    </row>
    <row r="114" spans="1:13">
      <c r="A114" s="906"/>
      <c r="B114" s="2788" t="s">
        <v>2894</v>
      </c>
      <c r="C114" s="2788" t="s">
        <v>2895</v>
      </c>
      <c r="D114" s="2788" t="s">
        <v>2896</v>
      </c>
      <c r="E114" s="2789" t="s">
        <v>2897</v>
      </c>
      <c r="F114" s="2789" t="s">
        <v>2898</v>
      </c>
      <c r="G114" s="2789" t="s">
        <v>2899</v>
      </c>
      <c r="H114" s="2790" t="s">
        <v>2900</v>
      </c>
      <c r="I114" s="2790" t="s">
        <v>2901</v>
      </c>
      <c r="J114" s="2791" t="s">
        <v>2902</v>
      </c>
      <c r="K114" s="2791" t="s">
        <v>2903</v>
      </c>
      <c r="L114" s="2791" t="s">
        <v>2904</v>
      </c>
      <c r="M114" s="2792" t="s">
        <v>2905</v>
      </c>
    </row>
    <row r="115" spans="1:13">
      <c r="A115" s="907" t="s">
        <v>2790</v>
      </c>
      <c r="B115" s="908">
        <f>ROUND(0.9335-0.0094*B113,4)</f>
        <v>0.88849999999999996</v>
      </c>
      <c r="C115" s="908">
        <f>B115</f>
        <v>0.88849999999999996</v>
      </c>
      <c r="D115" s="908">
        <f>ROUND(0.8331-0.0109*B113,4)</f>
        <v>0.78090000000000004</v>
      </c>
      <c r="E115" s="908">
        <f>D115</f>
        <v>0.78090000000000004</v>
      </c>
      <c r="F115" s="908">
        <f>E115</f>
        <v>0.78090000000000004</v>
      </c>
      <c r="G115" s="908">
        <f>F115</f>
        <v>0.78090000000000004</v>
      </c>
      <c r="H115" s="908">
        <f>G115</f>
        <v>0.78090000000000004</v>
      </c>
      <c r="I115" s="908">
        <f>ROUND(0.689-0.0155*B113,4)</f>
        <v>0.61480000000000001</v>
      </c>
      <c r="J115" s="908">
        <f t="shared" ref="J115:M118" si="35">I115</f>
        <v>0.61480000000000001</v>
      </c>
      <c r="K115" s="908">
        <f t="shared" si="35"/>
        <v>0.61480000000000001</v>
      </c>
      <c r="L115" s="908">
        <f t="shared" si="35"/>
        <v>0.61480000000000001</v>
      </c>
      <c r="M115" s="909">
        <f t="shared" si="35"/>
        <v>0.61480000000000001</v>
      </c>
    </row>
    <row r="116" spans="1:13">
      <c r="A116" s="907" t="s">
        <v>2791</v>
      </c>
      <c r="B116" s="908">
        <f>ROUND(0.949-0.012*B113,4)</f>
        <v>0.89149999999999996</v>
      </c>
      <c r="C116" s="908">
        <f>B116</f>
        <v>0.89149999999999996</v>
      </c>
      <c r="D116" s="908">
        <f>ROUND(0.8567-0.013*B113,4)</f>
        <v>0.7944</v>
      </c>
      <c r="E116" s="908">
        <f t="shared" ref="E116:H117" si="36">D116</f>
        <v>0.7944</v>
      </c>
      <c r="F116" s="908">
        <f t="shared" si="36"/>
        <v>0.7944</v>
      </c>
      <c r="G116" s="908">
        <f t="shared" si="36"/>
        <v>0.7944</v>
      </c>
      <c r="H116" s="908">
        <f t="shared" si="36"/>
        <v>0.7944</v>
      </c>
      <c r="I116" s="908">
        <f>ROUND(0.7694-0.014*B113,4)</f>
        <v>0.70230000000000004</v>
      </c>
      <c r="J116" s="908">
        <f t="shared" si="35"/>
        <v>0.70230000000000004</v>
      </c>
      <c r="K116" s="908">
        <f t="shared" si="35"/>
        <v>0.70230000000000004</v>
      </c>
      <c r="L116" s="908">
        <f t="shared" si="35"/>
        <v>0.70230000000000004</v>
      </c>
      <c r="M116" s="909">
        <f t="shared" si="35"/>
        <v>0.70230000000000004</v>
      </c>
    </row>
    <row r="117" spans="1:13">
      <c r="A117" s="907" t="s">
        <v>2792</v>
      </c>
      <c r="B117" s="908">
        <f>ROUND(0.8808-0.006*B113,4)</f>
        <v>0.85209999999999997</v>
      </c>
      <c r="C117" s="908">
        <f>B117</f>
        <v>0.85209999999999997</v>
      </c>
      <c r="D117" s="908">
        <f>ROUND(0.8748-0.008*B113,4)</f>
        <v>0.83650000000000002</v>
      </c>
      <c r="E117" s="908">
        <f t="shared" si="36"/>
        <v>0.83650000000000002</v>
      </c>
      <c r="F117" s="908">
        <f t="shared" si="36"/>
        <v>0.83650000000000002</v>
      </c>
      <c r="G117" s="908">
        <f t="shared" si="36"/>
        <v>0.83650000000000002</v>
      </c>
      <c r="H117" s="908">
        <f t="shared" si="36"/>
        <v>0.83650000000000002</v>
      </c>
      <c r="I117" s="908">
        <f>ROUND(0.7412-0.0095*B113,4)</f>
        <v>0.69569999999999999</v>
      </c>
      <c r="J117" s="908">
        <f t="shared" si="35"/>
        <v>0.69569999999999999</v>
      </c>
      <c r="K117" s="908">
        <f t="shared" si="35"/>
        <v>0.69569999999999999</v>
      </c>
      <c r="L117" s="908">
        <f t="shared" si="35"/>
        <v>0.69569999999999999</v>
      </c>
      <c r="M117" s="909">
        <f t="shared" si="35"/>
        <v>0.69569999999999999</v>
      </c>
    </row>
    <row r="118" spans="1:13" ht="13.5" thickBot="1">
      <c r="A118" s="713" t="s">
        <v>2793</v>
      </c>
      <c r="B118" s="910">
        <f>ROUND(0.7275-0.01*B113,4)</f>
        <v>0.67959999999999998</v>
      </c>
      <c r="C118" s="910">
        <f>B118</f>
        <v>0.67959999999999998</v>
      </c>
      <c r="D118" s="910">
        <f>ROUND(0.7043-0.012*B113,4)</f>
        <v>0.64680000000000004</v>
      </c>
      <c r="E118" s="910">
        <f>D118</f>
        <v>0.64680000000000004</v>
      </c>
      <c r="F118" s="910">
        <f>E118</f>
        <v>0.64680000000000004</v>
      </c>
      <c r="G118" s="910">
        <f>ROUND(0.6299-0.0122*B113,4)</f>
        <v>0.57150000000000001</v>
      </c>
      <c r="H118" s="910">
        <f>G118</f>
        <v>0.57150000000000001</v>
      </c>
      <c r="I118" s="910">
        <f>ROUND(0.5667-0.0136*B113,4)</f>
        <v>0.50160000000000005</v>
      </c>
      <c r="J118" s="910">
        <f t="shared" si="35"/>
        <v>0.50160000000000005</v>
      </c>
      <c r="K118" s="910">
        <f t="shared" si="35"/>
        <v>0.50160000000000005</v>
      </c>
      <c r="L118" s="910">
        <f t="shared" si="35"/>
        <v>0.50160000000000005</v>
      </c>
      <c r="M118" s="911">
        <f t="shared" si="35"/>
        <v>0.50160000000000005</v>
      </c>
    </row>
  </sheetData>
  <sheetProtection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53" t="s">
        <v>1662</v>
      </c>
      <c r="B1" s="3053"/>
      <c r="C1" s="3053"/>
      <c r="D1" s="3053"/>
    </row>
    <row r="2" spans="1:4" ht="18">
      <c r="A2" s="3054" t="s">
        <v>1646</v>
      </c>
      <c r="B2" s="3054"/>
      <c r="C2" s="3054"/>
      <c r="D2" s="3054"/>
    </row>
    <row r="3" spans="1:4" ht="18.75">
      <c r="A3" s="1963" t="s">
        <v>1647</v>
      </c>
      <c r="B3" s="1963" t="s">
        <v>1648</v>
      </c>
      <c r="C3" s="1963" t="s">
        <v>1649</v>
      </c>
      <c r="D3" s="1963" t="s">
        <v>1650</v>
      </c>
    </row>
    <row r="4" spans="1:4" ht="56.25" customHeight="1">
      <c r="A4" s="1964" t="str">
        <f>项目基本情况!B4</f>
        <v>郑燚</v>
      </c>
      <c r="B4" s="1965">
        <f ca="1">项目基本情况!C4</f>
        <v>1120070131</v>
      </c>
      <c r="C4" s="1966"/>
      <c r="D4" s="1967" t="s">
        <v>1651</v>
      </c>
    </row>
    <row r="5" spans="1:4" ht="56.25" customHeight="1">
      <c r="A5" s="1964" t="str">
        <f>项目基本情况!D4</f>
        <v>王鹏</v>
      </c>
      <c r="B5" s="1965">
        <f ca="1">项目基本情况!E4</f>
        <v>1120050019</v>
      </c>
      <c r="C5" s="1968"/>
      <c r="D5" s="1967" t="s">
        <v>1651</v>
      </c>
    </row>
    <row r="6" spans="1:4" ht="18">
      <c r="A6" s="3054" t="s">
        <v>1652</v>
      </c>
      <c r="B6" s="3054"/>
      <c r="C6" s="3054"/>
      <c r="D6" s="3054"/>
    </row>
    <row r="7" spans="1:4" ht="18.75">
      <c r="A7" s="1963" t="s">
        <v>1647</v>
      </c>
      <c r="B7" s="1965" t="s">
        <v>1653</v>
      </c>
      <c r="C7" s="1963" t="s">
        <v>1649</v>
      </c>
      <c r="D7" s="1963" t="s">
        <v>1650</v>
      </c>
    </row>
    <row r="8" spans="1:4" ht="56.25" customHeight="1">
      <c r="A8" s="1969" t="s">
        <v>869</v>
      </c>
      <c r="B8" s="1969" t="s">
        <v>1</v>
      </c>
      <c r="C8" s="1966"/>
      <c r="D8" s="1967" t="s">
        <v>1651</v>
      </c>
    </row>
    <row r="9" spans="1:4">
      <c r="A9" s="727"/>
      <c r="B9" s="727"/>
      <c r="C9" s="727"/>
      <c r="D9" s="727"/>
    </row>
    <row r="10" spans="1:4" ht="18.75">
      <c r="A10" s="1970" t="s">
        <v>1654</v>
      </c>
      <c r="B10" s="727"/>
      <c r="C10" s="727"/>
      <c r="D10" s="727"/>
    </row>
    <row r="11" spans="1:4" ht="30" customHeight="1">
      <c r="A11" s="3055" t="s">
        <v>1655</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47" t="str">
        <f>IF(项目基本情况!B8="抵押","4.本次评估估价师所知悉的法定优先受偿款情况说明如下：","——")</f>
        <v>4.本次评估估价师所知悉的法定优先受偿款情况说明如下：</v>
      </c>
      <c r="B14" s="3052"/>
      <c r="C14" s="3052"/>
      <c r="D14" s="3052"/>
    </row>
    <row r="15" spans="1:4" ht="42" customHeight="1">
      <c r="A15" s="304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7"/>
      <c r="C15" s="3047"/>
      <c r="D15" s="3047"/>
    </row>
    <row r="16" spans="1:4" ht="30" customHeight="1">
      <c r="A16" s="3049" t="s">
        <v>1656</v>
      </c>
      <c r="B16" s="3049"/>
      <c r="C16" s="3049"/>
      <c r="D16" s="3049"/>
    </row>
    <row r="17" spans="1:4" ht="144" customHeight="1">
      <c r="A17" s="3049" t="s">
        <v>1657</v>
      </c>
      <c r="B17" s="3049"/>
      <c r="C17" s="3049"/>
      <c r="D17" s="3049"/>
    </row>
    <row r="18" spans="1:4" ht="15.75" customHeight="1">
      <c r="A18" s="3047" t="str">
        <f>IF(项目基本情况!B8="抵押",结果表!K120,"——")</f>
        <v>故，本次评估不存在估价师知悉的法定优先受偿款</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7"/>
      <c r="C20" s="3047"/>
      <c r="D20" s="3047"/>
    </row>
    <row r="21" spans="1:4" ht="57.75" customHeight="1">
      <c r="A21" s="30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0"/>
      <c r="C21" s="3050"/>
      <c r="D21" s="3050"/>
    </row>
    <row r="22" spans="1:4" ht="18.75" customHeight="1">
      <c r="A22" s="3051" t="s">
        <v>1658</v>
      </c>
      <c r="B22" s="3051"/>
      <c r="C22" s="3051"/>
      <c r="D22" s="3051"/>
    </row>
    <row r="23" spans="1:4">
      <c r="A23" s="1971"/>
      <c r="B23" s="1943"/>
      <c r="C23" s="1943"/>
      <c r="D23" s="1943"/>
    </row>
    <row r="24" spans="1:4">
      <c r="A24" s="1971"/>
      <c r="B24" s="1943"/>
      <c r="C24" s="1943"/>
      <c r="D24" s="1943"/>
    </row>
    <row r="25" spans="1:4" ht="18.75">
      <c r="A25" s="1972" t="s">
        <v>1659</v>
      </c>
    </row>
    <row r="26" spans="1:4" ht="18">
      <c r="A26" s="1941"/>
    </row>
    <row r="27" spans="1:4" ht="18.75">
      <c r="A27" s="1941" t="s">
        <v>1660</v>
      </c>
    </row>
    <row r="30" spans="1:4" ht="18.75">
      <c r="D30" s="1972" t="s">
        <v>1661</v>
      </c>
    </row>
    <row r="31" spans="1:4" ht="13.5" customHeight="1">
      <c r="C31" s="3048">
        <v>42551</v>
      </c>
      <c r="D31" s="30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1663</v>
      </c>
    </row>
    <row r="3" spans="1:7">
      <c r="A3" s="1977" t="s">
        <v>82</v>
      </c>
      <c r="B3" s="1961" t="s">
        <v>1664</v>
      </c>
      <c r="G3" s="1978"/>
    </row>
    <row r="4" spans="1:7">
      <c r="G4" s="1978"/>
    </row>
    <row r="5" spans="1:7">
      <c r="A5" s="1980" t="s">
        <v>73</v>
      </c>
      <c r="B5" s="1961" t="s">
        <v>1665</v>
      </c>
      <c r="G5" s="1978"/>
    </row>
    <row r="6" spans="1:7">
      <c r="G6" s="1978"/>
    </row>
    <row r="7" spans="1:7">
      <c r="A7" s="1981" t="s">
        <v>135</v>
      </c>
      <c r="B7" s="1961" t="s">
        <v>1666</v>
      </c>
      <c r="G7" s="1978"/>
    </row>
    <row r="8" spans="1:7">
      <c r="G8" s="1978"/>
    </row>
    <row r="9" spans="1:7">
      <c r="A9" s="1982" t="s">
        <v>74</v>
      </c>
      <c r="B9" s="1961" t="s">
        <v>1667</v>
      </c>
    </row>
    <row r="11" spans="1:7">
      <c r="A11" s="1983" t="s">
        <v>75</v>
      </c>
      <c r="B11" s="1984" t="s">
        <v>72</v>
      </c>
    </row>
    <row r="13" spans="1:7">
      <c r="A13" s="1985" t="s">
        <v>1668</v>
      </c>
    </row>
    <row r="15" spans="1:7" ht="13.5">
      <c r="A15" s="3061" t="s">
        <v>1669</v>
      </c>
      <c r="B15" s="3056" t="s">
        <v>136</v>
      </c>
      <c r="C15" s="3057"/>
    </row>
    <row r="16" spans="1:7" ht="13.5">
      <c r="A16" s="3062"/>
      <c r="B16" s="3056" t="s">
        <v>69</v>
      </c>
      <c r="C16" s="3057"/>
    </row>
    <row r="17" spans="1:3" ht="13.5">
      <c r="A17" s="3062"/>
      <c r="B17" s="3059" t="s">
        <v>1670</v>
      </c>
      <c r="C17" s="1986" t="s">
        <v>1669</v>
      </c>
    </row>
    <row r="18" spans="1:3" ht="13.5">
      <c r="A18" s="3062"/>
      <c r="B18" s="3059"/>
      <c r="C18" s="1986" t="s">
        <v>1671</v>
      </c>
    </row>
    <row r="19" spans="1:3" ht="13.5">
      <c r="A19" s="3062"/>
      <c r="B19" s="3059"/>
      <c r="C19" s="1986" t="s">
        <v>1672</v>
      </c>
    </row>
    <row r="20" spans="1:3" ht="13.5">
      <c r="A20" s="3063"/>
      <c r="B20" s="3058" t="s">
        <v>1673</v>
      </c>
      <c r="C20" s="3057"/>
    </row>
    <row r="21" spans="1:3" ht="13.5">
      <c r="A21" s="1987" t="s">
        <v>1674</v>
      </c>
      <c r="B21" s="1988"/>
      <c r="C21" s="1989"/>
    </row>
    <row r="22" spans="1:3" ht="13.5">
      <c r="A22" s="3060" t="s">
        <v>1675</v>
      </c>
      <c r="B22" s="3058" t="s">
        <v>1676</v>
      </c>
      <c r="C22" s="3057"/>
    </row>
    <row r="23" spans="1:3" ht="13.5">
      <c r="A23" s="3060"/>
      <c r="B23" s="3058" t="s">
        <v>1677</v>
      </c>
      <c r="C23" s="3057"/>
    </row>
    <row r="24" spans="1:3" ht="13.5">
      <c r="A24" s="3060"/>
      <c r="B24" s="3058" t="s">
        <v>1678</v>
      </c>
      <c r="C24" s="3057"/>
    </row>
    <row r="25" spans="1:3" ht="13.5">
      <c r="A25" s="3060"/>
      <c r="B25" s="3059" t="s">
        <v>1679</v>
      </c>
      <c r="C25" s="1986" t="s">
        <v>1680</v>
      </c>
    </row>
    <row r="26" spans="1:3" ht="13.5">
      <c r="A26" s="3060"/>
      <c r="B26" s="3059"/>
      <c r="C26" s="1986" t="s">
        <v>1681</v>
      </c>
    </row>
    <row r="27" spans="1:3" ht="13.5">
      <c r="A27" s="3060"/>
      <c r="B27" s="3059"/>
      <c r="C27" s="1986" t="s">
        <v>1682</v>
      </c>
    </row>
    <row r="28" spans="1:3" ht="13.5">
      <c r="A28" s="3060"/>
      <c r="B28" s="3059"/>
      <c r="C28" s="1986" t="s">
        <v>1683</v>
      </c>
    </row>
    <row r="29" spans="1:3" ht="13.5">
      <c r="A29" s="3060"/>
      <c r="B29" s="3059"/>
      <c r="C29" s="1986" t="s">
        <v>1684</v>
      </c>
    </row>
    <row r="30" spans="1:3" ht="13.5">
      <c r="A30" s="3060"/>
      <c r="B30" s="3059"/>
      <c r="C30" s="1986" t="s">
        <v>1685</v>
      </c>
    </row>
    <row r="31" spans="1:3" ht="13.5">
      <c r="A31" s="3060"/>
      <c r="B31" s="3059"/>
      <c r="C31" s="1986" t="s">
        <v>1686</v>
      </c>
    </row>
    <row r="32" spans="1:3" ht="13.5">
      <c r="A32" s="3060"/>
      <c r="B32" s="3059"/>
      <c r="C32" s="1986" t="s">
        <v>1687</v>
      </c>
    </row>
    <row r="33" spans="1:3" ht="13.5">
      <c r="A33" s="3060"/>
      <c r="B33" s="3059"/>
      <c r="C33" s="1986" t="s">
        <v>1688</v>
      </c>
    </row>
    <row r="34" spans="1:3">
      <c r="A34" s="1990" t="s">
        <v>76</v>
      </c>
    </row>
    <row r="37" spans="1:3">
      <c r="A37" s="1990" t="s">
        <v>1689</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43164</v>
      </c>
      <c r="C2" s="1020" t="s">
        <v>826</v>
      </c>
      <c r="D2" s="1020"/>
    </row>
    <row r="3" spans="1:6" ht="24" customHeight="1">
      <c r="A3" s="1021" t="s">
        <v>827</v>
      </c>
      <c r="B3" s="1022" t="s">
        <v>828</v>
      </c>
      <c r="C3" s="2229" t="s">
        <v>829</v>
      </c>
      <c r="D3" s="2232" t="s">
        <v>830</v>
      </c>
      <c r="E3" s="1023" t="s">
        <v>831</v>
      </c>
      <c r="F3" s="1022" t="s">
        <v>829</v>
      </c>
    </row>
    <row r="4" spans="1:6" ht="24" customHeight="1">
      <c r="A4" s="1688" t="s">
        <v>832</v>
      </c>
      <c r="B4" s="1023">
        <f ca="1">IF(C4&lt;B2,"已过期",1119970066)</f>
        <v>1119970066</v>
      </c>
      <c r="C4" s="2230">
        <v>43849</v>
      </c>
      <c r="D4" s="2233" t="s">
        <v>832</v>
      </c>
      <c r="E4" s="1023">
        <f ca="1">IF(F4&lt;B2,"已过期",96010014)</f>
        <v>96010014</v>
      </c>
      <c r="F4" s="1031">
        <v>47118</v>
      </c>
    </row>
    <row r="5" spans="1:6" ht="24" customHeight="1">
      <c r="A5" s="1688" t="s">
        <v>833</v>
      </c>
      <c r="B5" s="1023">
        <f ca="1">IF(C5&lt;B2,"已过期",1119970074)</f>
        <v>1119970074</v>
      </c>
      <c r="C5" s="2230">
        <v>43849</v>
      </c>
      <c r="D5" s="2233" t="s">
        <v>833</v>
      </c>
      <c r="E5" s="1023">
        <f ca="1">IF(F5&lt;B2,"已过期",2002110027)</f>
        <v>2002110027</v>
      </c>
      <c r="F5" s="1031">
        <v>46752</v>
      </c>
    </row>
    <row r="6" spans="1:6" ht="24" customHeight="1">
      <c r="A6" s="1688" t="s">
        <v>834</v>
      </c>
      <c r="B6" s="1023">
        <f ca="1">IF(C6&lt;B2,"已过期",1119970111)</f>
        <v>1119970111</v>
      </c>
      <c r="C6" s="2230">
        <v>43849</v>
      </c>
      <c r="D6" s="2233" t="s">
        <v>834</v>
      </c>
      <c r="E6" s="1023">
        <f ca="1">IF(F6&lt;B2,"已过期",94010078)</f>
        <v>94010078</v>
      </c>
      <c r="F6" s="1031">
        <v>46387</v>
      </c>
    </row>
    <row r="7" spans="1:6" ht="24" customHeight="1">
      <c r="A7" s="1688" t="s">
        <v>835</v>
      </c>
      <c r="B7" s="1023">
        <f ca="1">IF(C7&lt;B2,"已过期",1120050019)</f>
        <v>1120050019</v>
      </c>
      <c r="C7" s="2230">
        <v>43359</v>
      </c>
      <c r="D7" s="2233" t="s">
        <v>835</v>
      </c>
      <c r="E7" s="1023">
        <f ca="1">IF(F7&lt;B2,"已过期",2002110030)</f>
        <v>2002110030</v>
      </c>
      <c r="F7" s="1031">
        <v>46387</v>
      </c>
    </row>
    <row r="8" spans="1:6" ht="24" customHeight="1">
      <c r="A8" s="1688" t="s">
        <v>836</v>
      </c>
      <c r="B8" s="1023">
        <f ca="1">IF(C8&lt;B2,"已过期",1120000080)</f>
        <v>1120000080</v>
      </c>
      <c r="C8" s="2230">
        <v>43849</v>
      </c>
      <c r="D8" s="2233" t="s">
        <v>836</v>
      </c>
      <c r="E8" s="1023">
        <f ca="1">IF(F8&lt;B2,"已过期",2000110082)</f>
        <v>2000110082</v>
      </c>
      <c r="F8" s="1031">
        <v>46387</v>
      </c>
    </row>
    <row r="9" spans="1:6" ht="24" customHeight="1">
      <c r="A9" s="1688" t="s">
        <v>837</v>
      </c>
      <c r="B9" s="1023">
        <f ca="1">IF(C9&lt;B2,"已过期",1419970001)</f>
        <v>1419970001</v>
      </c>
      <c r="C9" s="2230">
        <v>43867</v>
      </c>
      <c r="D9" s="2233" t="s">
        <v>837</v>
      </c>
      <c r="E9" s="1023">
        <f ca="1">IF(F9&lt;B2,"已过期",2002110125)</f>
        <v>2002110125</v>
      </c>
      <c r="F9" s="1031">
        <v>47118</v>
      </c>
    </row>
    <row r="10" spans="1:6" ht="24" customHeight="1">
      <c r="A10" s="1688" t="s">
        <v>838</v>
      </c>
      <c r="B10" s="1023">
        <f ca="1">IF(C10&lt;B2,"已过期",1120060040)</f>
        <v>1120060040</v>
      </c>
      <c r="C10" s="2230">
        <v>43483</v>
      </c>
      <c r="D10" s="2233" t="s">
        <v>838</v>
      </c>
      <c r="E10" s="1023">
        <f ca="1">IF(F10&lt;B2,"已过期",2004110096)</f>
        <v>2004110096</v>
      </c>
      <c r="F10" s="1031">
        <v>47118</v>
      </c>
    </row>
    <row r="11" spans="1:6" ht="24" customHeight="1">
      <c r="A11" s="1688" t="s">
        <v>839</v>
      </c>
      <c r="B11" s="1023">
        <f ca="1">IF(C11&lt;B2,"已过期",1120100036)</f>
        <v>1120100036</v>
      </c>
      <c r="C11" s="2230">
        <v>43622</v>
      </c>
      <c r="D11" s="2233" t="s">
        <v>839</v>
      </c>
      <c r="E11" s="1023">
        <f ca="1">IF(F11&lt;B2,"已过期",2010110070)</f>
        <v>2010110070</v>
      </c>
      <c r="F11" s="1031">
        <v>47907</v>
      </c>
    </row>
    <row r="12" spans="1:6" ht="24" customHeight="1">
      <c r="A12" s="1688"/>
      <c r="B12" s="1023"/>
      <c r="C12" s="2230"/>
      <c r="D12" s="2233"/>
      <c r="E12" s="1023"/>
      <c r="F12" s="1023"/>
    </row>
    <row r="13" spans="1:6" ht="24" customHeight="1">
      <c r="A13" s="1688" t="s">
        <v>840</v>
      </c>
      <c r="B13" s="1023">
        <f ca="1">IF(C13&lt;B2,"已过期",1120070131)</f>
        <v>1120070131</v>
      </c>
      <c r="C13" s="2230">
        <v>43814</v>
      </c>
      <c r="D13" s="2233" t="s">
        <v>840</v>
      </c>
      <c r="E13" s="1023">
        <v>2014110011</v>
      </c>
      <c r="F13" s="1031">
        <v>49302</v>
      </c>
    </row>
    <row r="14" spans="1:6" ht="24" customHeight="1">
      <c r="A14" s="1688" t="s">
        <v>841</v>
      </c>
      <c r="B14" s="1023">
        <f ca="1">IF(C14&lt;B2,"已过期",1120130020)</f>
        <v>1120130020</v>
      </c>
      <c r="C14" s="2230">
        <v>43622</v>
      </c>
      <c r="D14" s="2233"/>
      <c r="E14" s="1023"/>
      <c r="F14" s="1023"/>
    </row>
    <row r="15" spans="1:6" ht="24" customHeight="1">
      <c r="A15" s="1689" t="s">
        <v>1149</v>
      </c>
      <c r="B15" s="1023">
        <v>1120070085</v>
      </c>
      <c r="C15" s="2230">
        <v>43814</v>
      </c>
      <c r="D15" s="2234" t="s">
        <v>1149</v>
      </c>
      <c r="E15" s="1023">
        <v>2004110128</v>
      </c>
      <c r="F15" s="1024">
        <v>47118</v>
      </c>
    </row>
    <row r="16" spans="1:6" ht="24" customHeight="1">
      <c r="A16" s="1688" t="s">
        <v>842</v>
      </c>
      <c r="B16" s="1023">
        <f ca="1">IF(C16&lt;B2,"已过期",1120140022)</f>
        <v>1120140022</v>
      </c>
      <c r="C16" s="2230">
        <v>44029</v>
      </c>
      <c r="D16" s="2233" t="s">
        <v>842</v>
      </c>
      <c r="E16" s="1023">
        <f ca="1">IF(F16&lt;B2,"已过期",2008110059)</f>
        <v>2008110059</v>
      </c>
      <c r="F16" s="1031">
        <v>47177</v>
      </c>
    </row>
    <row r="17" spans="1:7" ht="24" customHeight="1">
      <c r="A17" s="1688"/>
      <c r="B17" s="1023"/>
      <c r="C17" s="2230"/>
      <c r="D17" s="2233"/>
      <c r="E17" s="1023"/>
      <c r="F17" s="1031"/>
    </row>
    <row r="18" spans="1:7" ht="24" customHeight="1">
      <c r="A18" s="1688"/>
      <c r="B18" s="1023"/>
      <c r="C18" s="2230"/>
      <c r="D18" s="2233"/>
      <c r="E18" s="1023"/>
      <c r="F18" s="1031"/>
    </row>
    <row r="19" spans="1:7" ht="24" customHeight="1">
      <c r="A19" s="1688"/>
      <c r="B19" s="1023"/>
      <c r="C19" s="2230"/>
      <c r="D19" s="2233"/>
      <c r="E19" s="1023"/>
      <c r="F19" s="1023"/>
    </row>
    <row r="20" spans="1:7" ht="24" customHeight="1">
      <c r="A20" s="1688"/>
      <c r="B20" s="1023"/>
      <c r="C20" s="2230"/>
      <c r="D20" s="2233"/>
      <c r="E20" s="1023"/>
      <c r="F20" s="1023"/>
    </row>
    <row r="21" spans="1:7" ht="24" customHeight="1">
      <c r="A21" s="1688"/>
      <c r="B21" s="1023"/>
      <c r="C21" s="2230"/>
      <c r="D21" s="2233" t="s">
        <v>843</v>
      </c>
      <c r="E21" s="1023">
        <f ca="1">IF(F21&lt;B2,"已过期",2011110090)</f>
        <v>2011110090</v>
      </c>
      <c r="F21" s="1031">
        <v>48302</v>
      </c>
    </row>
    <row r="22" spans="1:7" ht="24" customHeight="1">
      <c r="A22" s="1688" t="s">
        <v>844</v>
      </c>
      <c r="B22" s="1023">
        <f ca="1">IF(C22&lt;B2,"已过期",1120020033)</f>
        <v>1120020033</v>
      </c>
      <c r="C22" s="2230">
        <v>43304</v>
      </c>
      <c r="D22" s="2233" t="s">
        <v>844</v>
      </c>
      <c r="E22" s="1023">
        <f ca="1">IF(F22&lt;B2,"已过期",2000110137)</f>
        <v>2000110137</v>
      </c>
      <c r="F22" s="1031">
        <v>46387</v>
      </c>
    </row>
    <row r="23" spans="1:7" ht="24" customHeight="1">
      <c r="A23" s="1688" t="s">
        <v>845</v>
      </c>
      <c r="B23" s="1023">
        <f ca="1">IF(C23&lt;B2,"已过期",1120130048)</f>
        <v>1120130048</v>
      </c>
      <c r="C23" s="2230">
        <v>43686</v>
      </c>
      <c r="D23" s="2233"/>
      <c r="E23" s="1023"/>
      <c r="F23" s="1023"/>
    </row>
    <row r="24" spans="1:7" s="1025" customFormat="1" ht="24" customHeight="1">
      <c r="A24" s="1689" t="s">
        <v>1333</v>
      </c>
      <c r="B24" s="1689" t="s">
        <v>1333</v>
      </c>
      <c r="C24" s="2231" t="s">
        <v>1333</v>
      </c>
      <c r="D24" s="2234" t="s">
        <v>1333</v>
      </c>
      <c r="E24" s="1689" t="s">
        <v>1333</v>
      </c>
      <c r="F24" s="1689" t="s">
        <v>1333</v>
      </c>
    </row>
    <row r="25" spans="1:7" ht="24" customHeight="1">
      <c r="A25" s="3064" t="s">
        <v>846</v>
      </c>
      <c r="B25" s="3064"/>
      <c r="C25" s="3064"/>
      <c r="D25" s="3064"/>
      <c r="E25" s="3064"/>
      <c r="F25" s="3064"/>
      <c r="G25" s="3064"/>
    </row>
    <row r="26" spans="1:7" s="1026" customFormat="1" ht="24" customHeight="1">
      <c r="A26" s="3065" t="s">
        <v>847</v>
      </c>
      <c r="B26" s="3065"/>
      <c r="C26" s="3066"/>
      <c r="D26" s="3067" t="s">
        <v>848</v>
      </c>
      <c r="E26" s="3065"/>
      <c r="F26" s="3065"/>
    </row>
    <row r="27" spans="1:7" s="1028" customFormat="1" ht="24" customHeight="1">
      <c r="A27" s="1027" t="s">
        <v>849</v>
      </c>
      <c r="B27" s="1022" t="s">
        <v>850</v>
      </c>
      <c r="C27" s="2229" t="s">
        <v>851</v>
      </c>
      <c r="D27" s="2237" t="s">
        <v>849</v>
      </c>
      <c r="E27" s="1022" t="s">
        <v>850</v>
      </c>
      <c r="F27" s="1022" t="s">
        <v>851</v>
      </c>
    </row>
    <row r="28" spans="1:7" s="1028" customFormat="1" ht="24" customHeight="1">
      <c r="A28" s="1029" t="s">
        <v>852</v>
      </c>
      <c r="B28" s="1030" t="s">
        <v>853</v>
      </c>
      <c r="C28" s="2235">
        <v>43725</v>
      </c>
      <c r="D28" s="2238" t="s">
        <v>854</v>
      </c>
      <c r="E28" s="1029" t="s">
        <v>855</v>
      </c>
      <c r="F28" s="1053">
        <v>44377</v>
      </c>
    </row>
    <row r="29" spans="1:7" s="1028" customFormat="1" ht="24" customHeight="1">
      <c r="A29" s="1029"/>
      <c r="B29" s="1029"/>
      <c r="C29" s="2236"/>
      <c r="D29" s="2238" t="s">
        <v>856</v>
      </c>
      <c r="E29" s="1197" t="s">
        <v>1383</v>
      </c>
      <c r="F29" s="1198">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146</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结果表汇总</vt:lpstr>
      <vt:lpstr>成本法</vt:lpstr>
      <vt:lpstr>成本法 (元)</vt:lpstr>
      <vt:lpstr>假设开发法</vt:lpstr>
      <vt:lpstr>基准地价修正</vt:lpstr>
      <vt:lpstr>比较法-住宅</vt:lpstr>
      <vt:lpstr>典型户型修正</vt:lpstr>
      <vt:lpstr>收益法 (1201-1)</vt:lpstr>
      <vt:lpstr>结果表 (2)</vt:lpstr>
      <vt:lpstr>收益法</vt:lpstr>
      <vt:lpstr>收益法 (元)</vt:lpstr>
      <vt:lpstr>收益法（汇总）</vt:lpstr>
      <vt:lpstr>酒店收入计算</vt:lpstr>
      <vt:lpstr>比较法-商业</vt:lpstr>
      <vt:lpstr>比较法-公寓</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 (2)</vt:lpstr>
      <vt:lpstr>基准地价修正 (2)</vt:lpstr>
      <vt:lpstr>'比较法-商业'!Print_Area</vt:lpstr>
      <vt:lpstr>'比较法-住宅'!Print_Area</vt:lpstr>
      <vt:lpstr>成本法!Print_Area</vt:lpstr>
      <vt:lpstr>典型户型修正!Print_Area</vt:lpstr>
      <vt:lpstr>估价师及机构信息!Print_Area</vt:lpstr>
      <vt:lpstr>基准地价修正!Print_Area</vt:lpstr>
      <vt:lpstr>结果表!Print_Area</vt:lpstr>
      <vt:lpstr>'结果表 (2)'!Print_Area</vt:lpstr>
      <vt:lpstr>收益法!Print_Area</vt:lpstr>
      <vt:lpstr>'收益法 (1201-1)'!Print_Area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2018-03-05T08:44:20Z</dcterms:modified>
</cp:coreProperties>
</file>