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 name="台账-总" sheetId="91" r:id="rId56"/>
    <sheet name="台账-办公" sheetId="92" r:id="rId57"/>
    <sheet name="台账-商业" sheetId="93" r:id="rId58"/>
  </sheets>
  <externalReferences>
    <externalReference r:id="rId59"/>
    <externalReference r:id="rId6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2" i="93" l="1"/>
  <c r="D40" i="93"/>
  <c r="D39" i="93"/>
  <c r="D38" i="93"/>
  <c r="D37" i="93"/>
  <c r="D36" i="93"/>
  <c r="D35" i="93"/>
  <c r="D34" i="93"/>
  <c r="D31" i="93"/>
  <c r="D30" i="93"/>
  <c r="C30" i="93"/>
  <c r="H28" i="93"/>
  <c r="N27" i="93"/>
  <c r="N28" i="93" s="1"/>
  <c r="H27" i="93"/>
  <c r="H31" i="93" s="1"/>
  <c r="H32" i="93" s="1"/>
  <c r="D27" i="93"/>
  <c r="Q12" i="93"/>
  <c r="P12" i="93"/>
  <c r="AH11" i="93"/>
  <c r="Q11" i="93"/>
  <c r="P11" i="93"/>
  <c r="AH10" i="93"/>
  <c r="Q10" i="93"/>
  <c r="P10" i="93"/>
  <c r="AH6" i="93"/>
  <c r="R6" i="93"/>
  <c r="AQ5" i="93"/>
  <c r="AP5" i="93"/>
  <c r="G5" i="93"/>
  <c r="AQ4" i="93"/>
  <c r="AP4" i="93"/>
  <c r="AI4" i="93"/>
  <c r="S4" i="93"/>
  <c r="G3" i="93"/>
  <c r="F3" i="93"/>
  <c r="AQ2" i="93"/>
  <c r="AP2" i="93"/>
  <c r="AI2" i="93"/>
  <c r="S2" i="93"/>
  <c r="F2" i="93"/>
  <c r="G2" i="93" s="1"/>
  <c r="E67" i="92"/>
  <c r="B67" i="92"/>
  <c r="U61" i="92"/>
  <c r="T61" i="92"/>
  <c r="I61" i="92"/>
  <c r="F61" i="92" s="1"/>
  <c r="D61" i="92"/>
  <c r="D67" i="92" s="1"/>
  <c r="AQ60" i="92"/>
  <c r="AP60" i="92"/>
  <c r="AI60" i="92"/>
  <c r="S60" i="92"/>
  <c r="G60" i="92"/>
  <c r="AQ59" i="92"/>
  <c r="AP59" i="92"/>
  <c r="AI59" i="92"/>
  <c r="S59" i="92"/>
  <c r="G59" i="92"/>
  <c r="AQ58" i="92"/>
  <c r="AP58" i="92"/>
  <c r="AI58" i="92"/>
  <c r="S58" i="92"/>
  <c r="G58" i="92"/>
  <c r="AQ57" i="92"/>
  <c r="AP57" i="92"/>
  <c r="AI57" i="92"/>
  <c r="S57" i="92"/>
  <c r="G57" i="92"/>
  <c r="AQ56" i="92"/>
  <c r="AP56" i="92"/>
  <c r="AI56" i="92"/>
  <c r="S56" i="92"/>
  <c r="G56" i="92"/>
  <c r="AQ55" i="92"/>
  <c r="AP55" i="92"/>
  <c r="AI55" i="92"/>
  <c r="S55" i="92"/>
  <c r="G55" i="92"/>
  <c r="AQ54" i="92"/>
  <c r="AP54" i="92"/>
  <c r="AI54" i="92"/>
  <c r="S54" i="92"/>
  <c r="G54" i="92"/>
  <c r="AQ53" i="92"/>
  <c r="AP53" i="92"/>
  <c r="AI53" i="92"/>
  <c r="S53" i="92"/>
  <c r="G53" i="92"/>
  <c r="AQ52" i="92"/>
  <c r="AP52" i="92"/>
  <c r="AI52" i="92"/>
  <c r="S52" i="92"/>
  <c r="G52" i="92"/>
  <c r="AQ51" i="92"/>
  <c r="AP51" i="92"/>
  <c r="AI51" i="92"/>
  <c r="S51" i="92"/>
  <c r="G51" i="92"/>
  <c r="AQ50" i="92"/>
  <c r="AP50" i="92"/>
  <c r="AI50" i="92"/>
  <c r="S50" i="92"/>
  <c r="G50" i="92"/>
  <c r="AQ49" i="92"/>
  <c r="AP49" i="92"/>
  <c r="AI49" i="92"/>
  <c r="S49" i="92"/>
  <c r="G49" i="92"/>
  <c r="AQ48" i="92"/>
  <c r="AP48" i="92"/>
  <c r="AI48" i="92"/>
  <c r="S48" i="92"/>
  <c r="G48" i="92"/>
  <c r="AQ47" i="92"/>
  <c r="AP47" i="92"/>
  <c r="AI47" i="92"/>
  <c r="S47" i="92"/>
  <c r="G47" i="92"/>
  <c r="AQ46" i="92"/>
  <c r="AP46" i="92"/>
  <c r="AI46" i="92"/>
  <c r="S46" i="92"/>
  <c r="P46" i="92"/>
  <c r="O46" i="92"/>
  <c r="G46" i="92"/>
  <c r="AQ45" i="92"/>
  <c r="AP45" i="92"/>
  <c r="AI45" i="92"/>
  <c r="S45" i="92"/>
  <c r="G45" i="92"/>
  <c r="AQ44" i="92"/>
  <c r="AP44" i="92"/>
  <c r="AI44" i="92"/>
  <c r="S44" i="92"/>
  <c r="G44" i="92"/>
  <c r="AQ43" i="92"/>
  <c r="AP43" i="92"/>
  <c r="AI43" i="92"/>
  <c r="S43" i="92"/>
  <c r="G43" i="92"/>
  <c r="AQ42" i="92"/>
  <c r="AP42" i="92"/>
  <c r="S42" i="92"/>
  <c r="G42" i="92"/>
  <c r="AQ41" i="92"/>
  <c r="AP41" i="92"/>
  <c r="S41" i="92"/>
  <c r="G41" i="92"/>
  <c r="AQ40" i="92"/>
  <c r="AP40" i="92"/>
  <c r="AI40" i="92"/>
  <c r="S40" i="92"/>
  <c r="G40" i="92"/>
  <c r="AQ39" i="92"/>
  <c r="AP39" i="92"/>
  <c r="AI39" i="92"/>
  <c r="S39" i="92"/>
  <c r="G39" i="92"/>
  <c r="AQ38" i="92"/>
  <c r="AP38" i="92"/>
  <c r="AI38" i="92"/>
  <c r="S38" i="92"/>
  <c r="G38" i="92"/>
  <c r="AQ37" i="92"/>
  <c r="AP37" i="92"/>
  <c r="AI37" i="92"/>
  <c r="S37" i="92"/>
  <c r="G37" i="92"/>
  <c r="AQ36" i="92"/>
  <c r="AP36" i="92"/>
  <c r="AI36" i="92"/>
  <c r="S36" i="92"/>
  <c r="G36" i="92"/>
  <c r="AQ35" i="92"/>
  <c r="AP35" i="92"/>
  <c r="AI35" i="92"/>
  <c r="S35" i="92"/>
  <c r="G35" i="92"/>
  <c r="AQ34" i="92"/>
  <c r="AP34" i="92"/>
  <c r="AI34" i="92"/>
  <c r="S34" i="92"/>
  <c r="G34" i="92"/>
  <c r="AQ33" i="92"/>
  <c r="AP33" i="92"/>
  <c r="AI33" i="92"/>
  <c r="S33" i="92"/>
  <c r="G33" i="92"/>
  <c r="AQ32" i="92"/>
  <c r="AP32" i="92"/>
  <c r="AI32" i="92"/>
  <c r="S32" i="92"/>
  <c r="G32" i="92"/>
  <c r="AQ31" i="92"/>
  <c r="AP31" i="92"/>
  <c r="S31" i="92"/>
  <c r="G31" i="92"/>
  <c r="AQ30" i="92"/>
  <c r="AP30" i="92"/>
  <c r="AI30" i="92"/>
  <c r="S30" i="92"/>
  <c r="G30" i="92"/>
  <c r="AQ29" i="92"/>
  <c r="AP29" i="92"/>
  <c r="AI29" i="92"/>
  <c r="S29" i="92"/>
  <c r="G29" i="92"/>
  <c r="AQ28" i="92"/>
  <c r="AP28" i="92"/>
  <c r="S28" i="92"/>
  <c r="G28" i="92"/>
  <c r="AQ27" i="92"/>
  <c r="AP27" i="92"/>
  <c r="S27" i="92"/>
  <c r="G27" i="92"/>
  <c r="AQ26" i="92"/>
  <c r="AP26" i="92"/>
  <c r="AI26" i="92"/>
  <c r="S26" i="92"/>
  <c r="G26" i="92"/>
  <c r="AQ25" i="92"/>
  <c r="AP25" i="92"/>
  <c r="S25" i="92"/>
  <c r="G25" i="92"/>
  <c r="AQ24" i="92"/>
  <c r="AP24" i="92"/>
  <c r="AI24" i="92"/>
  <c r="S24" i="92"/>
  <c r="G24" i="92"/>
  <c r="AQ23" i="92"/>
  <c r="AP23" i="92"/>
  <c r="AI23" i="92"/>
  <c r="S23" i="92"/>
  <c r="G23" i="92"/>
  <c r="AQ22" i="92"/>
  <c r="AP22" i="92"/>
  <c r="AI22" i="92"/>
  <c r="S22" i="92"/>
  <c r="G22" i="92"/>
  <c r="AQ21" i="92"/>
  <c r="AP21" i="92"/>
  <c r="AI21" i="92"/>
  <c r="S21" i="92"/>
  <c r="G21" i="92"/>
  <c r="AQ20" i="92"/>
  <c r="AP20" i="92"/>
  <c r="AI20" i="92"/>
  <c r="S20" i="92"/>
  <c r="G20" i="92"/>
  <c r="AQ19" i="92"/>
  <c r="AP19" i="92"/>
  <c r="AI19" i="92"/>
  <c r="S19" i="92"/>
  <c r="G19" i="92"/>
  <c r="AQ18" i="92"/>
  <c r="AP18" i="92"/>
  <c r="AI18" i="92"/>
  <c r="S18" i="92"/>
  <c r="G18" i="92"/>
  <c r="AQ17" i="92"/>
  <c r="AP17" i="92"/>
  <c r="G17" i="92"/>
  <c r="AQ16" i="92"/>
  <c r="AP16" i="92"/>
  <c r="G16" i="92"/>
  <c r="AQ14" i="92"/>
  <c r="AP14" i="92"/>
  <c r="G14" i="92"/>
  <c r="G10" i="92"/>
  <c r="G9" i="92"/>
  <c r="AQ8" i="92"/>
  <c r="AQ61" i="92" s="1"/>
  <c r="AP8" i="92"/>
  <c r="AP61" i="92" s="1"/>
  <c r="I62" i="92" s="1"/>
  <c r="F62" i="92" s="1"/>
  <c r="AI8" i="92"/>
  <c r="G8" i="92"/>
  <c r="AF81" i="91"/>
  <c r="AD81" i="91"/>
  <c r="AC81" i="91"/>
  <c r="AA81" i="91"/>
  <c r="T81" i="91"/>
  <c r="S81" i="91"/>
  <c r="M81" i="91"/>
  <c r="G81" i="91"/>
  <c r="D81" i="91"/>
  <c r="AH80" i="91"/>
  <c r="AN75" i="91"/>
  <c r="AO75" i="91" s="1"/>
  <c r="AH75" i="91"/>
  <c r="R75" i="91"/>
  <c r="AN74" i="91"/>
  <c r="AO74" i="91" s="1"/>
  <c r="AH74" i="91"/>
  <c r="R74" i="91"/>
  <c r="AN73" i="91"/>
  <c r="AO73" i="91" s="1"/>
  <c r="AH73" i="91"/>
  <c r="R73" i="91"/>
  <c r="AN72" i="91"/>
  <c r="AO72" i="91" s="1"/>
  <c r="AH72" i="91"/>
  <c r="R72" i="91"/>
  <c r="AN71" i="91"/>
  <c r="AO71" i="91" s="1"/>
  <c r="AH71" i="91"/>
  <c r="R71" i="91"/>
  <c r="AN70" i="91"/>
  <c r="AO70" i="91" s="1"/>
  <c r="AH70" i="91"/>
  <c r="R70" i="91"/>
  <c r="AN69" i="91"/>
  <c r="AO69" i="91" s="1"/>
  <c r="AH69" i="91"/>
  <c r="R69" i="91"/>
  <c r="AN68" i="91"/>
  <c r="AO68" i="91" s="1"/>
  <c r="R68" i="91"/>
  <c r="AN67" i="91"/>
  <c r="AO67" i="91" s="1"/>
  <c r="AH67" i="91"/>
  <c r="R67" i="91"/>
  <c r="AN66" i="91"/>
  <c r="AO66" i="91" s="1"/>
  <c r="AH66" i="91"/>
  <c r="R66" i="91"/>
  <c r="AN65" i="91"/>
  <c r="AO65" i="91" s="1"/>
  <c r="AH65" i="91"/>
  <c r="R65" i="91"/>
  <c r="AN64" i="91"/>
  <c r="AO64" i="91" s="1"/>
  <c r="AH64" i="91"/>
  <c r="R64" i="91"/>
  <c r="AN63" i="91"/>
  <c r="AO63" i="91" s="1"/>
  <c r="AH63" i="91"/>
  <c r="R63" i="91"/>
  <c r="AN62" i="91"/>
  <c r="AO62" i="91" s="1"/>
  <c r="AH62" i="91"/>
  <c r="R62" i="91"/>
  <c r="AN61" i="91"/>
  <c r="AO61" i="91" s="1"/>
  <c r="AH61" i="91"/>
  <c r="R61" i="91"/>
  <c r="AN60" i="91"/>
  <c r="AO60" i="91" s="1"/>
  <c r="AH60" i="91"/>
  <c r="R60" i="91"/>
  <c r="H60" i="91"/>
  <c r="AN59" i="91"/>
  <c r="AO59" i="91" s="1"/>
  <c r="H59" i="91"/>
  <c r="AN58" i="91"/>
  <c r="AO58" i="91" s="1"/>
  <c r="AH58" i="91"/>
  <c r="R58" i="91"/>
  <c r="H58" i="91"/>
  <c r="AN57" i="91"/>
  <c r="AO57" i="91" s="1"/>
  <c r="AH57" i="91"/>
  <c r="R57" i="91"/>
  <c r="H57" i="91"/>
  <c r="AN56" i="91"/>
  <c r="AO56" i="91" s="1"/>
  <c r="AH56" i="91"/>
  <c r="R56" i="91"/>
  <c r="AN55" i="91"/>
  <c r="AO55" i="91" s="1"/>
  <c r="AH55" i="91"/>
  <c r="R55" i="91"/>
  <c r="O55" i="91"/>
  <c r="N55" i="91"/>
  <c r="AN54" i="91"/>
  <c r="AO54" i="91" s="1"/>
  <c r="AH54" i="91"/>
  <c r="R54" i="91"/>
  <c r="AN53" i="91"/>
  <c r="AO53" i="91" s="1"/>
  <c r="AH53" i="91"/>
  <c r="R53" i="91"/>
  <c r="AN52" i="91"/>
  <c r="AO52" i="91" s="1"/>
  <c r="AH52" i="91"/>
  <c r="R52" i="91"/>
  <c r="AN51" i="91"/>
  <c r="AO51" i="91" s="1"/>
  <c r="R51" i="91"/>
  <c r="AO50" i="91"/>
  <c r="AN50" i="91"/>
  <c r="R50" i="91"/>
  <c r="AN49" i="91"/>
  <c r="AO49" i="91" s="1"/>
  <c r="AH49" i="91"/>
  <c r="R49" i="91"/>
  <c r="AN48" i="91"/>
  <c r="AO48" i="91" s="1"/>
  <c r="AH48" i="91"/>
  <c r="R48" i="91"/>
  <c r="AN47" i="91"/>
  <c r="AO47" i="91" s="1"/>
  <c r="AH47" i="91"/>
  <c r="R47" i="91"/>
  <c r="AN46" i="91"/>
  <c r="AO46" i="91" s="1"/>
  <c r="AH46" i="91"/>
  <c r="R46" i="91"/>
  <c r="AN45" i="91"/>
  <c r="AO45" i="91" s="1"/>
  <c r="AH45" i="91"/>
  <c r="R45" i="91"/>
  <c r="AN44" i="91"/>
  <c r="AO44" i="91" s="1"/>
  <c r="AH44" i="91"/>
  <c r="R44" i="91"/>
  <c r="AN43" i="91"/>
  <c r="AO43" i="91" s="1"/>
  <c r="AH43" i="91"/>
  <c r="R43" i="91"/>
  <c r="AN42" i="91"/>
  <c r="AO42" i="91" s="1"/>
  <c r="AH42" i="91"/>
  <c r="R42" i="91"/>
  <c r="AN41" i="91"/>
  <c r="AO41" i="91" s="1"/>
  <c r="AH41" i="91"/>
  <c r="R41" i="91"/>
  <c r="AN40" i="91"/>
  <c r="AO40" i="91" s="1"/>
  <c r="R40" i="91"/>
  <c r="AO39" i="91"/>
  <c r="AN39" i="91"/>
  <c r="AH39" i="91"/>
  <c r="R39" i="91"/>
  <c r="AO38" i="91"/>
  <c r="AN38" i="91"/>
  <c r="AH38" i="91"/>
  <c r="R38" i="91"/>
  <c r="AO37" i="91"/>
  <c r="AN37" i="91"/>
  <c r="R37" i="91"/>
  <c r="AN36" i="91"/>
  <c r="AO36" i="91" s="1"/>
  <c r="R36" i="91"/>
  <c r="AO35" i="91"/>
  <c r="AN35" i="91"/>
  <c r="AH35" i="91"/>
  <c r="R35" i="91"/>
  <c r="AO34" i="91"/>
  <c r="AN34" i="91"/>
  <c r="R34" i="91"/>
  <c r="AN33" i="91"/>
  <c r="AO33" i="91" s="1"/>
  <c r="AH33" i="91"/>
  <c r="R33" i="91"/>
  <c r="H33" i="91"/>
  <c r="AO32" i="91"/>
  <c r="AN32" i="91"/>
  <c r="AH32" i="91"/>
  <c r="R32" i="91"/>
  <c r="AO31" i="91"/>
  <c r="AN31" i="91"/>
  <c r="AH31" i="91"/>
  <c r="R31" i="91"/>
  <c r="AO30" i="91"/>
  <c r="AN30" i="91"/>
  <c r="AH30" i="91"/>
  <c r="R30" i="91"/>
  <c r="AO29" i="91"/>
  <c r="AN29" i="91"/>
  <c r="AH29" i="91"/>
  <c r="R29" i="91"/>
  <c r="AO28" i="91"/>
  <c r="AN28" i="91"/>
  <c r="AH28" i="91"/>
  <c r="R28" i="91"/>
  <c r="AO27" i="91"/>
  <c r="AN27" i="91"/>
  <c r="AH27" i="91"/>
  <c r="R27" i="91"/>
  <c r="AO26" i="91"/>
  <c r="AN26" i="91"/>
  <c r="R26" i="91"/>
  <c r="AN25" i="91"/>
  <c r="AO25" i="91" s="1"/>
  <c r="AH25" i="91"/>
  <c r="R25" i="91"/>
  <c r="AN24" i="91"/>
  <c r="AO24" i="91" s="1"/>
  <c r="AH24" i="91"/>
  <c r="R24" i="91"/>
  <c r="AN23" i="91"/>
  <c r="AO23" i="91" s="1"/>
  <c r="AH23" i="91"/>
  <c r="R23" i="91"/>
  <c r="AN22" i="91"/>
  <c r="AO22" i="91" s="1"/>
  <c r="AH22" i="91"/>
  <c r="R22" i="91"/>
  <c r="AN21" i="91"/>
  <c r="AO21" i="91" s="1"/>
  <c r="AH21" i="91"/>
  <c r="R21" i="91"/>
  <c r="O21" i="91"/>
  <c r="O81" i="91" s="1"/>
  <c r="N21" i="91"/>
  <c r="J21" i="91"/>
  <c r="H21" i="91"/>
  <c r="AN20" i="91"/>
  <c r="AO20" i="91" s="1"/>
  <c r="AH20" i="91"/>
  <c r="R20" i="91"/>
  <c r="AN19" i="91"/>
  <c r="AO19" i="91" s="1"/>
  <c r="R19" i="91"/>
  <c r="N19" i="91"/>
  <c r="N81" i="91" s="1"/>
  <c r="J19" i="91"/>
  <c r="J81" i="91" s="1"/>
  <c r="H82" i="91" s="1"/>
  <c r="I82" i="91" s="1"/>
  <c r="H19" i="91"/>
  <c r="AN18" i="91"/>
  <c r="AO18" i="91" s="1"/>
  <c r="AH18" i="91"/>
  <c r="R18" i="91"/>
  <c r="H18" i="91"/>
  <c r="AO17" i="91"/>
  <c r="AN17" i="91"/>
  <c r="R17" i="91"/>
  <c r="AN16" i="91"/>
  <c r="AO16" i="91" s="1"/>
  <c r="H16" i="91"/>
  <c r="AO15" i="91"/>
  <c r="AN15" i="91"/>
  <c r="H15" i="91"/>
  <c r="AN14" i="91"/>
  <c r="AO14" i="91" s="1"/>
  <c r="Q14" i="91"/>
  <c r="P14" i="91"/>
  <c r="H14" i="91"/>
  <c r="AO13" i="91"/>
  <c r="AN13" i="91"/>
  <c r="AH13" i="91"/>
  <c r="Q13" i="91"/>
  <c r="P13" i="91"/>
  <c r="AN12" i="91"/>
  <c r="AO12" i="91" s="1"/>
  <c r="AH12" i="91"/>
  <c r="Q12" i="91"/>
  <c r="P12" i="91"/>
  <c r="AO11" i="91"/>
  <c r="AN11" i="91"/>
  <c r="H11" i="91"/>
  <c r="H81" i="91" s="1"/>
  <c r="AN8" i="91"/>
  <c r="AO8" i="91" s="1"/>
  <c r="AH8" i="91"/>
  <c r="R8" i="91"/>
  <c r="F7" i="91"/>
  <c r="AO6" i="91"/>
  <c r="AN6" i="91"/>
  <c r="AH6" i="91"/>
  <c r="R6" i="91"/>
  <c r="F6" i="91"/>
  <c r="AN5" i="91"/>
  <c r="AO5" i="91" s="1"/>
  <c r="AH5" i="91"/>
  <c r="R5" i="91"/>
  <c r="R81" i="91" s="1"/>
  <c r="AN2" i="91"/>
  <c r="AO2" i="91" s="1"/>
  <c r="AO81" i="91" s="1"/>
  <c r="AO82" i="91" s="1"/>
  <c r="AH2" i="91"/>
  <c r="D62" i="92" l="1"/>
  <c r="I84" i="91"/>
  <c r="H83" i="91"/>
  <c r="I83" i="91" s="1"/>
  <c r="U23" i="1" l="1"/>
  <c r="X21" i="1"/>
  <c r="G46" i="6"/>
  <c r="F45" i="6"/>
  <c r="H44" i="6" l="1"/>
  <c r="G45" i="6" s="1"/>
  <c r="F43" i="6"/>
  <c r="G39" i="6" l="1"/>
  <c r="F39" i="6"/>
  <c r="E39" i="6" s="1"/>
  <c r="W22" i="1" l="1"/>
  <c r="X22" i="1" s="1"/>
  <c r="X23" i="1" s="1"/>
  <c r="W23" i="1" l="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7"/>
  <c r="C76" i="88"/>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M27" i="87"/>
  <c r="F40" i="87"/>
  <c r="M6" i="88"/>
  <c r="M24" i="88"/>
  <c r="F16" i="87"/>
  <c r="M8" i="87"/>
  <c r="F13" i="88"/>
  <c r="M24" i="87"/>
  <c r="M22" i="87"/>
  <c r="M22" i="88"/>
  <c r="F36" i="88"/>
  <c r="M6" i="87"/>
  <c r="M27" i="88"/>
  <c r="F42" i="87"/>
  <c r="M23" i="87"/>
  <c r="F26" i="88"/>
  <c r="F6" i="88"/>
  <c r="F8" i="88"/>
  <c r="M28" i="88"/>
  <c r="F38" i="88"/>
  <c r="F37" i="87"/>
  <c r="F8" i="87"/>
  <c r="L47" i="87"/>
  <c r="F40" i="88"/>
  <c r="F9" i="88"/>
  <c r="F38" i="87"/>
  <c r="M9" i="88"/>
  <c r="F42" i="88"/>
  <c r="M9" i="87"/>
  <c r="F7" i="87"/>
  <c r="F9" i="87"/>
  <c r="F37" i="88"/>
  <c r="F7" i="88"/>
  <c r="L47" i="88"/>
  <c r="M26" i="87"/>
  <c r="F6" i="87"/>
  <c r="F36" i="87"/>
  <c r="F13" i="87"/>
  <c r="M23" i="88"/>
  <c r="M8" i="88"/>
  <c r="J15" i="88"/>
  <c r="M26" i="88"/>
  <c r="F26" i="87"/>
  <c r="M28" i="87"/>
  <c r="F16" i="88"/>
  <c r="J15" i="87"/>
  <c r="C44" i="87" l="1"/>
  <c r="C27" i="88"/>
  <c r="F51" i="88"/>
  <c r="F65" i="88"/>
  <c r="F64" i="88"/>
  <c r="F68" i="88"/>
  <c r="F66" i="88"/>
  <c r="C6" i="88"/>
  <c r="H8" i="70" s="1"/>
  <c r="M7" i="88"/>
  <c r="J6" i="88" s="1"/>
  <c r="F50" i="88"/>
  <c r="F66" i="87"/>
  <c r="F51" i="87"/>
  <c r="M7" i="87"/>
  <c r="J6" i="87" s="1"/>
  <c r="F50" i="87"/>
  <c r="F65" i="87"/>
  <c r="F64" i="87"/>
  <c r="C6" i="87"/>
  <c r="H6" i="70" s="1"/>
  <c r="F68" i="87"/>
  <c r="C27" i="87"/>
  <c r="G21" i="86"/>
  <c r="C20" i="86" s="1"/>
  <c r="C5" i="86" s="1"/>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D5" i="86" l="1"/>
  <c r="C49" i="88"/>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E9" i="76"/>
  <c r="F20" i="31"/>
  <c r="F3" i="73"/>
  <c r="E2" i="69"/>
  <c r="F5" i="73"/>
  <c r="E12" i="76"/>
  <c r="B10" i="76"/>
  <c r="B13" i="76"/>
  <c r="B12" i="76"/>
  <c r="AO13" i="1"/>
  <c r="E10" i="76"/>
  <c r="D6" i="73"/>
  <c r="F6" i="73"/>
  <c r="D7" i="73"/>
  <c r="B8" i="76"/>
  <c r="D4" i="73"/>
  <c r="M29" i="88"/>
  <c r="D3" i="73"/>
  <c r="E2" i="68"/>
  <c r="B9" i="76"/>
  <c r="F4" i="73"/>
  <c r="F7" i="73"/>
  <c r="E8" i="76"/>
  <c r="F43" i="88"/>
  <c r="D5" i="73"/>
  <c r="B11" i="76"/>
  <c r="E11" i="76"/>
  <c r="G15" i="3" l="1"/>
  <c r="C7" i="35"/>
  <c r="C48" i="35" s="1"/>
  <c r="D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M22" i="82"/>
  <c r="M8" i="82"/>
  <c r="M26" i="15"/>
  <c r="M26" i="82"/>
  <c r="F40" i="67"/>
  <c r="M23" i="15"/>
  <c r="F26" i="67"/>
  <c r="L47" i="82"/>
  <c r="M8" i="67"/>
  <c r="F42" i="82"/>
  <c r="F40" i="15"/>
  <c r="F9" i="82"/>
  <c r="M6" i="82"/>
  <c r="F42" i="67"/>
  <c r="L48" i="82"/>
  <c r="J15" i="15"/>
  <c r="M24" i="67"/>
  <c r="M22" i="15"/>
  <c r="M27" i="82"/>
  <c r="M8" i="15"/>
  <c r="M26" i="67"/>
  <c r="F36" i="15"/>
  <c r="F36" i="67"/>
  <c r="F37" i="67"/>
  <c r="C36" i="83"/>
  <c r="F13" i="67"/>
  <c r="F9" i="15"/>
  <c r="F8" i="82"/>
  <c r="F7" i="82"/>
  <c r="F6" i="15"/>
  <c r="M9" i="82"/>
  <c r="F16" i="82"/>
  <c r="L48" i="15"/>
  <c r="F42" i="15"/>
  <c r="F38" i="82"/>
  <c r="M24" i="15"/>
  <c r="F6" i="67"/>
  <c r="L48" i="87"/>
  <c r="M9" i="67"/>
  <c r="F8" i="67"/>
  <c r="L47" i="15"/>
  <c r="F40" i="82"/>
  <c r="L47" i="67"/>
  <c r="F37" i="15"/>
  <c r="C76" i="67"/>
  <c r="F38" i="15"/>
  <c r="D9" i="83"/>
  <c r="C16" i="88"/>
  <c r="F36" i="82"/>
  <c r="C76" i="82"/>
  <c r="F26" i="15"/>
  <c r="M6" i="15"/>
  <c r="M28" i="82"/>
  <c r="F43" i="82"/>
  <c r="M6" i="67"/>
  <c r="F6" i="82"/>
  <c r="J15" i="67"/>
  <c r="F8" i="15"/>
  <c r="C76" i="15"/>
  <c r="J15" i="82"/>
  <c r="M28" i="67"/>
  <c r="G1" i="73"/>
  <c r="M23" i="67"/>
  <c r="F16" i="67"/>
  <c r="F38" i="67"/>
  <c r="F26" i="82"/>
  <c r="L48" i="88"/>
  <c r="M22" i="67"/>
  <c r="M9" i="15"/>
  <c r="M24" i="82"/>
  <c r="M28" i="15"/>
  <c r="F16" i="15"/>
  <c r="F37" i="82"/>
  <c r="F9" i="67"/>
  <c r="L48" i="67"/>
  <c r="M23" i="82"/>
  <c r="F27" i="83"/>
  <c r="F13" i="82"/>
  <c r="F13" i="15"/>
  <c r="M29" i="82"/>
  <c r="C44" i="15" l="1"/>
  <c r="L58" i="88"/>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M29" i="87"/>
  <c r="C16" i="82"/>
  <c r="F43" i="87"/>
  <c r="J5" i="82" l="1"/>
  <c r="J26" i="82" s="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6" i="1"/>
  <c r="C16" i="87"/>
  <c r="AE7" i="1"/>
  <c r="F41" i="82"/>
  <c r="M27" i="15"/>
  <c r="M27" i="67"/>
  <c r="AE8" i="1"/>
  <c r="J24" i="82" l="1"/>
  <c r="G37" i="86"/>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J2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8" i="33"/>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67"/>
  <c r="C17" i="82"/>
  <c r="F41" i="15"/>
  <c r="D10" i="83"/>
  <c r="F41" i="88"/>
  <c r="F41" i="87"/>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M21" i="82"/>
  <c r="C34" i="83"/>
  <c r="F35" i="82"/>
  <c r="C14" i="82"/>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D2" i="21"/>
  <c r="L51" i="82"/>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19" i="85"/>
  <c r="D2" i="34"/>
  <c r="D2" i="37"/>
  <c r="D2" i="35"/>
  <c r="D2" i="36"/>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2" i="1"/>
  <c r="AO9" i="1"/>
  <c r="AO10" i="1"/>
  <c r="AO11" i="1"/>
  <c r="D20" i="85"/>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F7" i="67"/>
  <c r="F43" i="15"/>
  <c r="F7" i="15"/>
  <c r="F43" i="67"/>
  <c r="M29" i="15"/>
  <c r="M29" i="67"/>
  <c r="E27" i="6" l="1"/>
  <c r="K20" i="6" s="1"/>
  <c r="AC6" i="3"/>
  <c r="H6" i="3"/>
  <c r="E6" i="3" s="1"/>
  <c r="F71" i="67"/>
  <c r="F50" i="15"/>
  <c r="C49" i="15" s="1"/>
  <c r="C6" i="15"/>
  <c r="H7" i="70" s="1"/>
  <c r="H2" i="70" s="1"/>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7" i="67"/>
  <c r="C17" i="15"/>
  <c r="C16" i="15"/>
  <c r="C16" i="67"/>
  <c r="C14" i="67"/>
  <c r="C15" i="67" l="1"/>
  <c r="C18" i="67"/>
  <c r="C19" i="67" s="1"/>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10" i="67"/>
  <c r="C5" i="67" s="1"/>
  <c r="C32" i="67"/>
  <c r="C33" i="67"/>
  <c r="F35" i="67"/>
  <c r="F35" i="15"/>
  <c r="M21" i="15"/>
  <c r="E6" i="76"/>
  <c r="C17" i="87"/>
  <c r="M21" i="67"/>
  <c r="C17" i="88"/>
  <c r="C14" i="15"/>
  <c r="C28" i="11" l="1"/>
  <c r="C27" i="11" s="1"/>
  <c r="C22" i="1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31" i="11" s="1"/>
  <c r="C47" i="11"/>
  <c r="D45" i="11" s="1"/>
  <c r="AC10" i="39"/>
  <c r="W10" i="39"/>
  <c r="AB10" i="39"/>
  <c r="U10" i="39"/>
  <c r="F45" i="69"/>
  <c r="C29" i="69"/>
  <c r="D27" i="69" s="1"/>
  <c r="C47" i="69"/>
  <c r="D45" i="69" s="1"/>
  <c r="C21" i="12"/>
  <c r="C20" i="67"/>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F35" i="88"/>
  <c r="M21" i="88"/>
  <c r="B6" i="76"/>
  <c r="C14" i="88"/>
  <c r="C14" i="87"/>
  <c r="C59" i="15" l="1"/>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57" i="83"/>
  <c r="C19" i="85"/>
  <c r="B3" i="83"/>
  <c r="C20" i="69" l="1"/>
  <c r="C25"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C28" i="69"/>
  <c r="C27" i="69" s="1"/>
  <c r="C56" i="83"/>
  <c r="H27" i="6"/>
  <c r="R19" i="6"/>
  <c r="C23" i="15"/>
  <c r="C29" i="15" s="1"/>
  <c r="F11" i="40"/>
  <c r="H11" i="40"/>
  <c r="J11" i="40"/>
  <c r="C22" i="69"/>
  <c r="J26" i="86"/>
  <c r="G26" i="86"/>
  <c r="Z7" i="86"/>
  <c r="F26" i="86"/>
  <c r="H26" i="86"/>
  <c r="E26" i="86"/>
  <c r="B116" i="86"/>
  <c r="D35" i="85"/>
  <c r="D34" i="85"/>
  <c r="C20" i="85"/>
  <c r="C31" i="69" l="1"/>
  <c r="C39" i="68"/>
  <c r="C43" i="68" s="1"/>
  <c r="C42" i="68"/>
  <c r="G20" i="85"/>
  <c r="C103" i="85"/>
  <c r="J14" i="67"/>
  <c r="J22" i="67" s="1"/>
  <c r="C13" i="67"/>
  <c r="C56" i="67" s="1"/>
  <c r="C65" i="67" s="1"/>
  <c r="C57" i="67"/>
  <c r="C64" i="67" s="1"/>
  <c r="Q49" i="67"/>
  <c r="J59" i="67"/>
  <c r="J60" i="67" s="1"/>
  <c r="C39" i="11"/>
  <c r="C43" i="11" s="1"/>
  <c r="C41" i="11" s="1"/>
  <c r="C49" i="69"/>
  <c r="C51"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4" i="9"/>
  <c r="C92" i="9"/>
  <c r="C23" i="88"/>
  <c r="C29" i="88" s="1"/>
  <c r="C26" i="87"/>
  <c r="C29" i="87" s="1"/>
  <c r="C46" i="11"/>
  <c r="C45" i="11" s="1"/>
  <c r="M21" i="87"/>
  <c r="F35" i="87"/>
  <c r="C46" i="68" l="1"/>
  <c r="C45" i="68" s="1"/>
  <c r="C52" i="69"/>
  <c r="B2" i="69" s="1"/>
  <c r="B3" i="69" s="1"/>
  <c r="C41" i="68"/>
  <c r="C49" i="68" s="1"/>
  <c r="C51" i="68" s="1"/>
  <c r="J13" i="67"/>
  <c r="J23" i="67" s="1"/>
  <c r="J16" i="67" s="1"/>
  <c r="J25" i="67" s="1"/>
  <c r="C58" i="67"/>
  <c r="C67" i="67" s="1"/>
  <c r="C68" i="67" s="1"/>
  <c r="C71" i="67" s="1"/>
  <c r="C37" i="67"/>
  <c r="C30" i="67" s="1"/>
  <c r="C39" i="67" s="1"/>
  <c r="C40" i="67" s="1"/>
  <c r="C45" i="67" s="1"/>
  <c r="C46" i="67" s="1"/>
  <c r="D27" i="85"/>
  <c r="C32" i="85"/>
  <c r="L46" i="67"/>
  <c r="Q48" i="67"/>
  <c r="C75" i="67"/>
  <c r="Q70" i="67"/>
  <c r="C57" i="69"/>
  <c r="C56" i="69" s="1"/>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C75" i="15"/>
  <c r="C56" i="15"/>
  <c r="C65" i="15" s="1"/>
  <c r="C58" i="15" s="1"/>
  <c r="C67" i="15" s="1"/>
  <c r="C68" i="15" s="1"/>
  <c r="J22" i="15"/>
  <c r="J13" i="15"/>
  <c r="J23" i="15" s="1"/>
  <c r="R16" i="1"/>
  <c r="L51" i="15"/>
  <c r="I39" i="15" l="1"/>
  <c r="I7" i="70"/>
  <c r="C80" i="67"/>
  <c r="C79" i="67" s="1"/>
  <c r="Q65" i="67"/>
  <c r="Q75" i="67" s="1"/>
  <c r="I118" i="85"/>
  <c r="C35" i="85"/>
  <c r="Q69" i="67"/>
  <c r="Q68" i="67" s="1"/>
  <c r="D2" i="67"/>
  <c r="B3" i="67" s="1"/>
  <c r="C83" i="67"/>
  <c r="C82" i="67" s="1"/>
  <c r="C43" i="67"/>
  <c r="Q47" i="67"/>
  <c r="Q53" i="67" s="1"/>
  <c r="Q56" i="67"/>
  <c r="Q62" i="67" s="1"/>
  <c r="C80" i="15"/>
  <c r="C79" i="15" s="1"/>
  <c r="C56" i="11"/>
  <c r="C57" i="11" s="1"/>
  <c r="Q67" i="15"/>
  <c r="Q70" i="87"/>
  <c r="C37" i="87"/>
  <c r="C30" i="87" s="1"/>
  <c r="C39" i="87" s="1"/>
  <c r="C75" i="87"/>
  <c r="C56" i="87"/>
  <c r="C65" i="87" s="1"/>
  <c r="C58" i="87" s="1"/>
  <c r="C67" i="87" s="1"/>
  <c r="C68" i="87" s="1"/>
  <c r="Q48" i="87"/>
  <c r="L46" i="87"/>
  <c r="J16" i="15"/>
  <c r="J25" i="15" s="1"/>
  <c r="E33" i="86"/>
  <c r="C30" i="86" s="1"/>
  <c r="C34" i="86"/>
  <c r="E34" i="86" s="1"/>
  <c r="C31" i="86" s="1"/>
  <c r="J13" i="87"/>
  <c r="J23" i="87" s="1"/>
  <c r="J22" i="87"/>
  <c r="C37" i="88"/>
  <c r="C30" i="88" s="1"/>
  <c r="C39" i="88" s="1"/>
  <c r="C75" i="88"/>
  <c r="Q70" i="88"/>
  <c r="C56" i="88"/>
  <c r="C65" i="88" s="1"/>
  <c r="C58" i="88" s="1"/>
  <c r="C67" i="88" s="1"/>
  <c r="C68" i="88" s="1"/>
  <c r="Q48" i="88"/>
  <c r="L46" i="88"/>
  <c r="C40" i="15"/>
  <c r="Q69" i="15"/>
  <c r="Q68" i="15" s="1"/>
  <c r="C71" i="15"/>
  <c r="J22" i="88"/>
  <c r="J13" i="88"/>
  <c r="J23" i="88" s="1"/>
  <c r="L51" i="67"/>
  <c r="E7" i="76"/>
  <c r="L51" i="88"/>
  <c r="I39" i="88" l="1"/>
  <c r="I8" i="70"/>
  <c r="I39" i="87"/>
  <c r="I6" i="70"/>
  <c r="I2" i="70" s="1"/>
  <c r="B2" i="67"/>
  <c r="Q67" i="67"/>
  <c r="G118" i="85"/>
  <c r="F118" i="85" s="1"/>
  <c r="F119" i="85" s="1"/>
  <c r="C34" i="85"/>
  <c r="H118" i="85"/>
  <c r="H102" i="85"/>
  <c r="C105" i="85"/>
  <c r="J16" i="87"/>
  <c r="J25" i="87" s="1"/>
  <c r="Q67" i="88"/>
  <c r="E2" i="76"/>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L51" i="87"/>
  <c r="AO7" i="1"/>
  <c r="B7" i="76"/>
  <c r="Q67" i="87" l="1"/>
  <c r="E118" i="85"/>
  <c r="D118" i="85" s="1"/>
  <c r="D119" i="85" s="1"/>
  <c r="H119" i="85"/>
  <c r="C104" i="85"/>
  <c r="H101" i="85"/>
  <c r="B7" i="70"/>
  <c r="C6" i="68"/>
  <c r="B2" i="76"/>
  <c r="B3" i="76" s="1"/>
  <c r="B3" i="15"/>
  <c r="B3" i="86"/>
  <c r="B2" i="88"/>
  <c r="C43" i="88"/>
  <c r="Q47" i="88"/>
  <c r="Q53" i="88" s="1"/>
  <c r="Q65" i="88"/>
  <c r="Q75" i="88" s="1"/>
  <c r="Q56" i="88"/>
  <c r="Q62" i="88" s="1"/>
  <c r="C83" i="88"/>
  <c r="C82" i="88" s="1"/>
  <c r="B2" i="87"/>
  <c r="C43" i="87"/>
  <c r="Q65" i="87"/>
  <c r="Q75" i="87" s="1"/>
  <c r="Q47" i="87"/>
  <c r="Q53" i="87" s="1"/>
  <c r="Q56" i="87"/>
  <c r="Q62" i="87" s="1"/>
  <c r="C83" i="87"/>
  <c r="C82" i="87" s="1"/>
  <c r="C46" i="88"/>
  <c r="C46" i="87"/>
  <c r="AO6" i="1"/>
  <c r="AO8" i="1"/>
  <c r="M48" i="85" l="1"/>
  <c r="H107" i="85"/>
  <c r="D45" i="85"/>
  <c r="B8" i="70"/>
  <c r="B6" i="70"/>
  <c r="B3" i="88"/>
  <c r="C7" i="68"/>
  <c r="C5" i="68" s="1"/>
  <c r="B3" i="87"/>
  <c r="M49" i="85" l="1"/>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C20" i="9"/>
  <c r="D35"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D53" i="9"/>
  <c r="D48" i="9" s="1"/>
  <c r="M52" i="9" s="1"/>
  <c r="C85" i="9"/>
  <c r="C64" i="9"/>
  <c r="C63" i="9" s="1"/>
  <c r="C67" i="9" s="1"/>
  <c r="C68" i="9" s="1"/>
  <c r="D54" i="9" s="1"/>
  <c r="D6" i="53"/>
  <c r="B22" i="72" s="1"/>
  <c r="B20" i="72"/>
  <c r="C79" i="9" l="1"/>
  <c r="C95" i="9"/>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<sst xmlns="http://schemas.openxmlformats.org/spreadsheetml/2006/main" count="11946" uniqueCount="3949">
  <si>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</si>
  <si>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</si>
  <si>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</si>
  <si>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</si>
  <si>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</si>
  <si>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</si>
  <si>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</si>
  <si>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</si>
  <si>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</si>
  <si>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</si>
  <si>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</si>
  <si>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</si>
  <si>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</si>
  <si>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</si>
  <si>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</si>
  <si>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</si>
  <si>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</si>
  <si>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</si>
  <si>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</si>
  <si>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</si>
  <si>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</si>
  <si>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</si>
  <si>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</si>
  <si>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</si>
  <si>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</si>
  <si>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</si>
  <si>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</si>
  <si>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</si>
  <si>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</si>
  <si>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</si>
  <si>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</si>
  <si>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</si>
  <si>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</si>
  <si>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</si>
  <si>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</si>
  <si>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</si>
  <si>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</si>
  <si>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</si>
  <si>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</si>
  <si>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</si>
  <si>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</si>
  <si>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</si>
  <si>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</si>
  <si>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</si>
  <si>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</si>
  <si>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</si>
  <si>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</si>
  <si>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</si>
  <si>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</si>
  <si>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</si>
  <si>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</si>
  <si>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</si>
  <si>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</si>
  <si>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</si>
  <si>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</si>
  <si>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</si>
  <si>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</si>
  <si>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</si>
  <si>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</si>
  <si>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</si>
  <si>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</si>
  <si>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</si>
  <si>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</si>
  <si>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</si>
  <si>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</si>
  <si>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</si>
  <si>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</si>
  <si>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</si>
  <si>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</si>
  <si>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</si>
  <si>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</si>
  <si>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</si>
  <si>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</si>
  <si>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</si>
  <si>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</si>
  <si>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</si>
  <si>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</si>
  <si>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</si>
  <si>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</si>
  <si>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</si>
  <si>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</si>
  <si>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</si>
  <si>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</si>
  <si>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</si>
  <si>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</si>
  <si>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</si>
  <si>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</si>
  <si>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</si>
  <si>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</si>
  <si>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</si>
  <si>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</si>
  <si>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</si>
  <si>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</si>
  <si>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</si>
  <si>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</si>
  <si>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</si>
  <si>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</si>
  <si>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</si>
  <si>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</si>
  <si>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</si>
  <si>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</si>
  <si>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</si>
  <si>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</si>
  <si>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</si>
  <si>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</si>
  <si>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</si>
  <si>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</si>
  <si>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</si>
  <si>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</si>
  <si>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</si>
  <si>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</si>
  <si>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</si>
  <si>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</si>
  <si>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</si>
  <si>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</si>
  <si>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</si>
  <si>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</si>
  <si>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</si>
  <si>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</si>
  <si>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</si>
  <si>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</si>
  <si>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</si>
  <si>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</si>
  <si>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</si>
  <si>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</si>
  <si>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</si>
  <si>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</si>
  <si>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</si>
  <si>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</si>
  <si>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</si>
  <si>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</si>
  <si>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</si>
  <si>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</si>
  <si>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</si>
  <si>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</si>
  <si>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</si>
  <si>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</si>
  <si>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</si>
  <si>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</si>
  <si>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</si>
  <si>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</si>
  <si>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</si>
  <si>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</si>
  <si>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</si>
  <si>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</si>
  <si>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</si>
  <si>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</si>
  <si>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</si>
  <si>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</si>
  <si>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</si>
  <si>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</si>
  <si>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</si>
  <si>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</si>
  <si>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</si>
  <si>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</si>
  <si>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</si>
  <si>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</si>
  <si>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</si>
  <si>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</si>
  <si>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</si>
  <si>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</si>
  <si>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</si>
  <si>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</si>
  <si>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</si>
  <si>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</si>
  <si>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</si>
  <si>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</si>
  <si>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</si>
  <si>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</si>
  <si>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</si>
  <si>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</si>
  <si>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</si>
  <si>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</si>
  <si>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</si>
  <si>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</si>
  <si>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</si>
  <si>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</si>
  <si>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</si>
  <si>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</si>
  <si>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</si>
  <si>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</si>
  <si>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</si>
  <si>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</si>
  <si>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</si>
  <si>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</si>
  <si>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</si>
  <si>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</si>
  <si>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</si>
  <si>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</si>
  <si>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</si>
  <si>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</si>
  <si>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</si>
  <si>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</si>
  <si>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</si>
  <si>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</si>
  <si>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</si>
  <si>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</si>
  <si>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</si>
  <si>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</si>
  <si>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</si>
  <si>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</si>
  <si>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</si>
  <si>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</si>
  <si>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</si>
  <si>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</si>
  <si>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</si>
  <si>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</si>
  <si>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</si>
  <si>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</si>
  <si>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</si>
  <si>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</si>
  <si>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</si>
  <si>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</si>
  <si>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</si>
  <si>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</si>
  <si>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</si>
  <si>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</si>
  <si>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</si>
  <si>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</si>
  <si>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</si>
  <si>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</si>
  <si>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</si>
  <si>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</si>
  <si>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</si>
  <si>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</si>
  <si>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</si>
  <si>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</si>
  <si>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</si>
  <si>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</si>
  <si>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</si>
  <si>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</si>
  <si>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</si>
  <si>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</si>
  <si>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</si>
  <si>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</si>
  <si>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</si>
  <si>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</si>
  <si>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</si>
  <si>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</si>
  <si>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</si>
  <si>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</si>
  <si>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</si>
  <si>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</si>
  <si>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</si>
  <si>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</si>
  <si>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</si>
  <si>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</si>
  <si>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</si>
  <si>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</si>
  <si>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</si>
  <si>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</si>
  <si>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</si>
  <si>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</si>
  <si>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</si>
  <si>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</si>
  <si>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</si>
  <si>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</si>
  <si>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</si>
  <si>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</si>
  <si>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</si>
  <si>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</si>
  <si>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</si>
  <si>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</si>
  <si>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</si>
  <si>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</si>
  <si>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</si>
  <si>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</si>
  <si>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</si>
  <si>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</si>
  <si>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</si>
  <si>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</si>
  <si>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</si>
  <si>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</si>
  <si>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</si>
  <si>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</si>
  <si>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</si>
  <si>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</si>
  <si>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</si>
  <si>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</si>
  <si>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</si>
  <si>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</si>
  <si>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</si>
  <si>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</si>
  <si>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</si>
  <si>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</si>
  <si>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</si>
  <si>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</si>
  <si>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</si>
  <si>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</si>
  <si>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</si>
  <si>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</si>
  <si>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</si>
  <si>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</si>
  <si>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</si>
  <si>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</si>
  <si>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</si>
  <si>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</si>
  <si>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</si>
  <si>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</si>
  <si>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</si>
  <si>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</si>
  <si>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</si>
  <si>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</si>
  <si>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</si>
  <si>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</si>
  <si>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</si>
  <si>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</si>
  <si>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</si>
  <si>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</si>
  <si>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</si>
  <si>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</si>
  <si>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</si>
  <si>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</si>
  <si>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</si>
  <si>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</si>
  <si>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</si>
  <si>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</si>
  <si>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</si>
  <si>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</si>
  <si>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</si>
  <si>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</si>
  <si>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</si>
  <si>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</si>
  <si>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</si>
  <si>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</si>
  <si>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</si>
  <si>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</si>
  <si>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</si>
  <si>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</si>
  <si>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</si>
  <si>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</si>
  <si>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</si>
  <si>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</si>
  <si>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</si>
  <si>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</si>
  <si>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</si>
  <si>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</si>
  <si>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</si>
  <si>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</si>
  <si>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</si>
  <si>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</si>
  <si>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</si>
  <si>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</si>
  <si>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</si>
  <si>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</si>
  <si>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</si>
  <si>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</si>
  <si>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</si>
  <si>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</si>
  <si>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</si>
  <si>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</si>
  <si>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</si>
  <si>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</si>
  <si>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</si>
  <si>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</si>
  <si>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</si>
  <si>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</si>
  <si>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</si>
  <si>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</si>
  <si>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</si>
  <si>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</si>
  <si>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</si>
  <si>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</si>
  <si>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</si>
  <si>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</si>
  <si>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</si>
  <si>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</si>
  <si>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</si>
  <si>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</si>
  <si>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</si>
  <si>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</si>
  <si>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</si>
  <si>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</si>
  <si>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</si>
  <si>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</si>
  <si>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</si>
  <si>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</si>
  <si>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</si>
  <si>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</si>
  <si>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</si>
  <si>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</si>
  <si>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</si>
  <si>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</si>
  <si>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</si>
  <si>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</si>
  <si>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</si>
  <si>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</si>
  <si>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</si>
  <si>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</si>
  <si>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</si>
  <si>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</si>
  <si>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</si>
  <si>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</si>
  <si>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</si>
  <si>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</si>
  <si>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</si>
  <si>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</si>
  <si>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</si>
  <si>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</si>
  <si>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</si>
  <si>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</si>
  <si>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</si>
  <si>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</si>
  <si>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</si>
  <si>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</si>
  <si>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</si>
  <si>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</si>
  <si>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</si>
  <si>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</si>
  <si>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</si>
  <si>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</si>
  <si>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</si>
  <si>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</si>
  <si>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</si>
  <si>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</si>
  <si>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</si>
  <si>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</si>
  <si>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</si>
  <si>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</si>
  <si>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</si>
  <si>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</si>
  <si>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</si>
  <si>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</si>
  <si>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</si>
  <si>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</si>
  <si>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</si>
  <si>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</si>
  <si>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</si>
  <si>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</si>
  <si>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</si>
  <si>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</si>
  <si>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</si>
  <si>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</si>
  <si>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</si>
  <si>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</si>
  <si>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</si>
  <si>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</si>
  <si>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</si>
  <si>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</si>
  <si>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</si>
  <si>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</si>
  <si>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</si>
  <si>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</si>
  <si>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</si>
  <si>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</si>
  <si>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</si>
  <si>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</si>
  <si>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</si>
  <si>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</si>
  <si>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</si>
  <si>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</si>
  <si>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</si>
  <si>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</si>
  <si>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</si>
  <si>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</si>
  <si>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</si>
  <si>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</si>
  <si>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</si>
  <si>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</si>
  <si>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</si>
  <si>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</si>
  <si>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</si>
  <si>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</si>
  <si>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</si>
  <si>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</si>
  <si>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</si>
  <si>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</si>
  <si>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</si>
  <si>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</si>
  <si>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</si>
  <si>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</si>
  <si>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</si>
  <si>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</si>
  <si>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</si>
  <si>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</si>
  <si>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</si>
  <si>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</si>
  <si>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</si>
  <si>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</si>
  <si>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</si>
  <si>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</si>
  <si>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</si>
  <si>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</si>
  <si>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</si>
  <si>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</si>
  <si>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</si>
  <si>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</si>
  <si>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</si>
  <si>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</si>
  <si>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</si>
  <si>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</si>
  <si>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</si>
  <si>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</si>
  <si>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</si>
  <si>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</si>
  <si>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</si>
  <si>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</si>
  <si>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</si>
  <si>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</si>
  <si>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</si>
  <si>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</si>
  <si>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</si>
  <si>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</si>
  <si>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</si>
  <si>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</si>
  <si>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</si>
  <si>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</si>
  <si>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</si>
  <si>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</si>
  <si>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</si>
  <si>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</si>
  <si>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</si>
  <si>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</si>
  <si>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</si>
  <si>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</si>
  <si>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</si>
  <si>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</si>
  <si>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</si>
  <si>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</si>
  <si>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</si>
  <si>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</si>
  <si>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</si>
  <si>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</si>
  <si>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</si>
  <si>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</si>
  <si>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</si>
  <si>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</si>
  <si>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</si>
  <si>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</si>
  <si>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</si>
  <si>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</si>
  <si>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</si>
  <si>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</si>
  <si>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</si>
  <si>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</si>
  <si>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</si>
  <si>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</si>
  <si>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</si>
  <si>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</si>
  <si>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</si>
  <si>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</si>
  <si>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</si>
  <si>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</si>
  <si>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</si>
  <si>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</si>
  <si>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</si>
  <si>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</si>
  <si>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</si>
  <si>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</si>
  <si>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</si>
  <si>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</si>
  <si>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</si>
  <si>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</si>
  <si>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</si>
  <si>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</si>
  <si>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</si>
  <si>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</si>
  <si>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</si>
  <si>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</si>
  <si>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</si>
  <si>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</si>
  <si>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</si>
  <si>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</si>
  <si>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</si>
  <si>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</si>
  <si>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</si>
  <si>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</si>
  <si>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</si>
  <si>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</si>
  <si>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</si>
  <si>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</si>
  <si>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</si>
  <si>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</si>
  <si>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</si>
  <si>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</si>
  <si>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</si>
  <si>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</si>
  <si>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</si>
  <si>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</si>
  <si>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</si>
  <si>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</si>
  <si>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</si>
  <si>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</si>
  <si>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</si>
  <si>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</si>
  <si>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</si>
  <si>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</si>
  <si>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</si>
  <si>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</si>
  <si>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</si>
  <si>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</si>
  <si>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</si>
  <si>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</si>
  <si>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</si>
  <si>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</si>
  <si>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</si>
  <si>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</si>
  <si>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</si>
  <si>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</si>
  <si>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</si>
  <si>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</si>
  <si>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</si>
  <si>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</si>
  <si>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</si>
  <si>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</si>
  <si>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</si>
  <si>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</si>
  <si>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</si>
  <si>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</si>
  <si>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</si>
  <si>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</si>
  <si>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</si>
  <si>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</si>
  <si>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</si>
  <si>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</si>
  <si>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</si>
  <si>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</si>
  <si>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</si>
  <si>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</si>
  <si>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</si>
  <si>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</si>
  <si>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</si>
  <si>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</si>
  <si>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</si>
  <si>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</si>
  <si>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</si>
  <si>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</si>
  <si>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</si>
  <si>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</si>
  <si>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</si>
  <si>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</si>
  <si>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</si>
  <si>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</si>
  <si>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</si>
  <si>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</si>
  <si>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</si>
  <si>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</si>
  <si>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</si>
  <si>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</si>
  <si>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</si>
  <si>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</si>
  <si>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</si>
  <si>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</si>
  <si>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</si>
  <si>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</si>
  <si>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</si>
  <si>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</si>
  <si>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</si>
  <si>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</si>
  <si>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</si>
  <si>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</si>
  <si>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</si>
  <si>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</si>
  <si>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</si>
  <si>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</si>
  <si>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</si>
  <si>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</si>
  <si>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</si>
  <si>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</si>
  <si>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</si>
  <si>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</si>
  <si>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</si>
  <si>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</si>
  <si>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</si>
  <si>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</si>
  <si>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</si>
  <si>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</si>
  <si>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</si>
  <si>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</si>
  <si>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</si>
  <si>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</si>
  <si>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</si>
  <si>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</si>
  <si>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</si>
  <si>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</si>
  <si>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</si>
  <si>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</si>
  <si>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</si>
  <si>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</si>
  <si>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</si>
  <si>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</si>
  <si>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</si>
  <si>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</si>
  <si>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</si>
  <si>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</si>
  <si>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</si>
  <si>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</si>
  <si>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</si>
  <si>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</si>
  <si>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</si>
  <si>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</si>
  <si>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</si>
  <si>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</si>
  <si>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</si>
  <si>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</si>
  <si>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</si>
  <si>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</si>
  <si>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</si>
  <si>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</si>
  <si>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</si>
  <si>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</si>
  <si>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</si>
  <si>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</si>
  <si>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</si>
  <si>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</si>
  <si>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</si>
  <si>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</si>
  <si>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</si>
  <si>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</si>
  <si>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</si>
  <si>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</si>
  <si>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</si>
  <si>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</si>
  <si>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</si>
  <si>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</si>
  <si>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</si>
  <si>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</si>
  <si>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</si>
  <si>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</si>
  <si>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</si>
  <si>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</si>
  <si>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</si>
  <si>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</si>
  <si>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</si>
  <si>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</si>
  <si>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</si>
  <si>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</si>
  <si>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</si>
  <si>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</si>
  <si>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</si>
  <si>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</si>
  <si>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</si>
  <si>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</si>
  <si>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</si>
  <si>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</si>
  <si>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</si>
  <si>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</si>
  <si>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</si>
  <si>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</si>
  <si>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</si>
  <si>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</si>
  <si>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</si>
  <si>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</si>
  <si>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</si>
  <si>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</si>
  <si>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</si>
  <si>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</si>
  <si>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</si>
  <si>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</si>
  <si>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</si>
  <si>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</si>
  <si>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</si>
  <si>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</si>
  <si>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</si>
  <si>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</si>
  <si>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</si>
  <si>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</si>
  <si>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</si>
  <si>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</si>
  <si>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</si>
  <si>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</si>
  <si>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</si>
  <si>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</si>
  <si>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</si>
  <si>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</si>
  <si>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</si>
  <si>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</si>
  <si>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</si>
  <si>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</si>
  <si>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</si>
  <si>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</si>
  <si>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</si>
  <si>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</si>
  <si>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</si>
  <si>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</si>
  <si>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</si>
  <si>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</si>
  <si>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</si>
  <si>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</si>
  <si>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</si>
  <si>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</si>
  <si>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</si>
  <si>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</si>
  <si>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</si>
  <si>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</si>
  <si>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</si>
  <si>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</si>
  <si>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</si>
  <si>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</si>
  <si>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</si>
  <si>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</si>
  <si>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</si>
  <si>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</si>
  <si>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</si>
  <si>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</si>
  <si>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</si>
  <si>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</si>
  <si>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</si>
  <si>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</si>
  <si>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</si>
  <si>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</si>
  <si>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</si>
  <si>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</si>
  <si>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</si>
  <si>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</si>
  <si>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</si>
  <si>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</si>
  <si>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</si>
  <si>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</si>
  <si>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</si>
  <si>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</si>
  <si>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</si>
  <si>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</si>
  <si>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</si>
  <si>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</si>
  <si>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</si>
  <si>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</si>
  <si>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</si>
  <si>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</si>
  <si>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</si>
  <si>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</si>
  <si>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</si>
  <si>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</si>
  <si>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</si>
  <si>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</si>
  <si>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</si>
  <si>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</si>
  <si>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</si>
  <si>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</si>
  <si>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</si>
  <si>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</si>
  <si>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</si>
  <si>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</si>
  <si>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</si>
  <si>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</si>
  <si>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</si>
  <si>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</si>
  <si>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</si>
  <si>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</si>
  <si>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</si>
  <si>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</si>
  <si>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</si>
  <si>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</si>
  <si>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</si>
  <si>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</si>
  <si>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</si>
  <si>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</si>
  <si>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</si>
  <si>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</si>
  <si>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</si>
  <si>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</si>
  <si>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</si>
  <si>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</si>
  <si>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</si>
  <si>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</si>
  <si>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</si>
  <si>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</si>
  <si>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</si>
  <si>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</si>
  <si>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</si>
  <si>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</si>
  <si>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</si>
  <si>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</si>
  <si>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</si>
  <si>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</si>
  <si>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</si>
  <si>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</si>
  <si>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</si>
  <si>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</si>
  <si>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</si>
  <si>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</si>
  <si>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</si>
  <si>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</si>
  <si>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</si>
  <si>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</si>
  <si>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</si>
  <si>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</si>
  <si>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</si>
  <si>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</si>
  <si>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</si>
  <si>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</si>
  <si>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</si>
  <si>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</si>
  <si>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</si>
  <si>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</si>
  <si>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</si>
  <si>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</si>
  <si>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</si>
  <si>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</si>
  <si>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</si>
  <si>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</si>
  <si>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</si>
  <si>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</si>
  <si>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</si>
  <si>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</si>
  <si>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</si>
  <si>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</si>
  <si>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</si>
  <si>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</si>
  <si>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</si>
  <si>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</si>
  <si>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</si>
  <si>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</si>
  <si>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</si>
  <si>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</si>
  <si>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</si>
  <si>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</si>
  <si>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</si>
  <si>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</si>
  <si>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</si>
  <si>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</si>
  <si>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</si>
  <si>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</si>
  <si>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</si>
  <si>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</si>
  <si>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</si>
  <si>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</si>
  <si>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</si>
  <si>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</si>
  <si>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</si>
  <si>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</si>
  <si>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</si>
  <si>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</si>
  <si>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</si>
  <si>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</si>
  <si>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</si>
  <si>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</si>
  <si>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</si>
  <si>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</si>
  <si>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</si>
  <si>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</si>
  <si>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</si>
  <si>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</si>
  <si>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</si>
  <si>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</si>
  <si>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</si>
  <si>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</si>
  <si>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</si>
  <si>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</si>
  <si>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</si>
  <si>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</si>
  <si>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</si>
  <si>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</si>
  <si>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</si>
  <si>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</si>
  <si>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</si>
  <si>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</si>
  <si>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</si>
  <si>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</si>
  <si>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</si>
  <si>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</si>
  <si>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</si>
  <si>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</si>
  <si>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</si>
  <si>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</si>
  <si>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</si>
  <si>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</si>
  <si>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</si>
  <si>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</si>
  <si>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</si>
  <si>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</si>
  <si>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</si>
  <si>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</si>
  <si>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</si>
  <si>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</si>
  <si>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</si>
  <si>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</si>
  <si>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</si>
  <si>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</si>
  <si>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</si>
  <si>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</si>
  <si>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</si>
  <si>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</si>
  <si>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</si>
  <si>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</si>
  <si>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</si>
  <si>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</si>
  <si>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</si>
  <si>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</si>
  <si>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</si>
  <si>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</si>
  <si>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</si>
  <si>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</si>
  <si>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</si>
  <si>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</si>
  <si>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</si>
  <si>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</si>
  <si>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</si>
  <si>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</si>
  <si>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</si>
  <si>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</si>
  <si>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</si>
  <si>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</si>
  <si>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</si>
  <si>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</si>
  <si>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</si>
  <si>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</si>
  <si>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</si>
  <si>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</si>
  <si>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</si>
  <si>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</si>
  <si>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</si>
  <si>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</si>
  <si>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</si>
  <si>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</si>
  <si>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</si>
  <si>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</si>
  <si>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</si>
  <si>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</si>
  <si>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</si>
  <si>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</si>
  <si>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</si>
  <si>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</si>
  <si>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</si>
  <si>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</si>
  <si>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</si>
  <si>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</si>
  <si>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</si>
  <si>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</si>
  <si>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</si>
  <si>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</si>
  <si>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</si>
  <si>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</si>
  <si>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</si>
  <si>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</si>
  <si>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</si>
  <si>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</si>
  <si>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</si>
  <si>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</si>
  <si>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</si>
  <si>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</si>
  <si>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</si>
  <si>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</si>
  <si>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</si>
  <si>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</si>
  <si>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</si>
  <si>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</si>
  <si>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</si>
  <si>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</si>
  <si>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</si>
  <si>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</si>
  <si>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</si>
  <si>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</si>
  <si>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</si>
  <si>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</si>
  <si>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</si>
  <si>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</si>
  <si>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</si>
  <si>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</si>
  <si>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</si>
  <si>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</si>
  <si>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</si>
  <si>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</si>
  <si>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</si>
  <si>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</si>
  <si>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</si>
  <si>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</si>
  <si>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</si>
  <si>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</si>
  <si>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</si>
  <si>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</si>
  <si>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</si>
  <si>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</si>
  <si>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</si>
  <si>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</si>
  <si>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</si>
  <si>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</si>
  <si>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</si>
  <si>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</si>
  <si>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</si>
  <si>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</si>
  <si>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</si>
  <si>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</si>
  <si>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</si>
  <si>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</si>
  <si>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</si>
  <si>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</si>
  <si>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</si>
  <si>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</si>
  <si>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</si>
  <si>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</si>
  <si>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</si>
  <si>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</si>
  <si>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</si>
  <si>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</si>
  <si>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</si>
  <si>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</si>
  <si>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</si>
  <si>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</si>
  <si>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</si>
  <si>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</si>
  <si>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</si>
  <si>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</si>
  <si>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</si>
  <si>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</si>
  <si>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</si>
  <si>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</si>
  <si>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</si>
  <si>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</si>
  <si>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</si>
  <si>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</si>
  <si>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</si>
  <si>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</si>
  <si>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</si>
  <si>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</si>
  <si>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</si>
  <si>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</si>
  <si>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</si>
  <si>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</si>
  <si>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</si>
  <si>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</si>
  <si>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</si>
  <si>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</si>
  <si>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</si>
  <si>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</si>
  <si>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</si>
  <si>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</si>
  <si>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</si>
  <si>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</si>
  <si>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</si>
  <si>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</si>
  <si>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</si>
  <si>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</si>
  <si>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</si>
  <si>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</si>
  <si>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</si>
  <si>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</si>
  <si>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</si>
  <si>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</si>
  <si>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</si>
  <si>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</si>
  <si>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</si>
  <si>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</si>
  <si>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</si>
  <si>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</si>
  <si>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</si>
  <si>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</si>
  <si>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</si>
  <si>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</si>
  <si>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</si>
  <si>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</si>
  <si>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</si>
  <si>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</si>
  <si>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</si>
  <si>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</si>
  <si>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</si>
  <si>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</si>
  <si>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</si>
  <si>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</si>
  <si>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</si>
  <si>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</si>
  <si>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</si>
  <si>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</si>
  <si>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</si>
  <si>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</si>
  <si>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</si>
  <si>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</si>
  <si>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</si>
  <si>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</si>
  <si>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</si>
  <si>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</si>
  <si>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</si>
  <si>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</si>
  <si>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</si>
  <si>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</si>
  <si>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</si>
  <si>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</si>
  <si>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</si>
  <si>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</si>
  <si>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</si>
  <si>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</si>
  <si>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</si>
  <si>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</si>
  <si>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</si>
  <si>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</si>
  <si>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</si>
  <si>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</si>
  <si>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</si>
  <si>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</si>
  <si>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</si>
  <si>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</si>
  <si>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</si>
  <si>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</si>
  <si>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</si>
  <si>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</si>
  <si>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</si>
  <si>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</si>
  <si>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</si>
  <si>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</si>
  <si>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</si>
  <si>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</si>
  <si>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</si>
  <si>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</si>
  <si>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</si>
  <si>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</si>
  <si>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</si>
  <si>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</si>
  <si>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</si>
  <si>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</si>
  <si>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</si>
  <si>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</si>
  <si>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</si>
  <si>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</si>
  <si>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</si>
  <si>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</si>
  <si>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</si>
  <si>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</si>
  <si>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</si>
  <si>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</si>
  <si>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</si>
  <si>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</si>
  <si>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</si>
  <si>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</si>
  <si>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</si>
  <si>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</si>
  <si>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</si>
  <si>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</si>
  <si>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</si>
  <si>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</si>
  <si>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</si>
  <si>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</si>
  <si>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</si>
  <si>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</si>
  <si>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</si>
  <si>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</si>
  <si>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</si>
  <si>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</si>
  <si>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</si>
  <si>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</si>
  <si>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</si>
  <si>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</si>
  <si>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</si>
  <si>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</si>
  <si>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</si>
  <si>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</si>
  <si>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</si>
  <si>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</si>
  <si>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</si>
  <si>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</si>
  <si>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</si>
  <si>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</si>
  <si>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</si>
  <si>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</si>
  <si>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</si>
  <si>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</si>
  <si>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</si>
  <si>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</si>
  <si>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</si>
  <si>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</si>
  <si>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</si>
  <si>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</si>
  <si>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</si>
  <si>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</si>
  <si>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</si>
  <si>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</si>
  <si>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</si>
  <si>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</si>
  <si>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</si>
  <si>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</si>
  <si>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</si>
  <si>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</si>
  <si>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</si>
  <si>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</si>
  <si>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</si>
  <si>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</si>
  <si>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</si>
  <si>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</si>
  <si>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</si>
  <si>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</si>
  <si>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</si>
  <si>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</si>
  <si>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</si>
  <si>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</si>
  <si>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</si>
  <si>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</si>
  <si>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</si>
  <si>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</si>
  <si>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</si>
  <si>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</si>
  <si>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</si>
  <si>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</si>
  <si>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</si>
  <si>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</si>
  <si>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</si>
  <si>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</si>
  <si>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</si>
  <si>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</si>
  <si>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</si>
  <si>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</si>
  <si>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</si>
  <si>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</si>
  <si>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</si>
  <si>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</si>
  <si>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</si>
  <si>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</si>
  <si>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</si>
  <si>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</si>
  <si>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</si>
  <si>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</si>
  <si>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</si>
  <si>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</si>
  <si>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</si>
  <si>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</si>
  <si>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</si>
  <si>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</si>
  <si>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</si>
  <si>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</si>
  <si>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</si>
  <si>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</si>
  <si>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</si>
  <si>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</si>
  <si>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</si>
  <si>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</si>
  <si>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</si>
  <si>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</si>
  <si>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</si>
  <si>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</si>
  <si>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</si>
  <si>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</si>
  <si>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</si>
  <si>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</si>
  <si>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</si>
  <si>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</si>
  <si>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</si>
  <si>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</si>
  <si>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</si>
  <si>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</si>
  <si>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</si>
  <si>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</si>
  <si>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</si>
  <si>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</si>
  <si>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</si>
  <si>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</si>
  <si>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</si>
  <si>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</si>
  <si>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</si>
  <si>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</si>
  <si>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</si>
  <si>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</si>
  <si>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</si>
  <si>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</si>
  <si>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</si>
  <si>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</si>
  <si>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</si>
  <si>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</si>
  <si>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</si>
  <si>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</si>
  <si>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</si>
  <si>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</si>
  <si>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</si>
  <si>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</si>
  <si>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</si>
  <si>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</si>
  <si>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</si>
  <si>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</si>
  <si>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</si>
  <si>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</si>
  <si>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</si>
  <si>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</si>
  <si>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</si>
  <si>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</si>
  <si>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</si>
  <si>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</si>
  <si>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</si>
  <si>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</si>
  <si>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</si>
  <si>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</si>
  <si>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</si>
  <si>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</si>
  <si>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</si>
  <si>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</si>
  <si>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</si>
  <si>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</si>
  <si>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</si>
  <si>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</si>
  <si>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</si>
  <si>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</si>
  <si>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</si>
  <si>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</si>
  <si>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</si>
  <si>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</si>
  <si>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</si>
  <si>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</si>
  <si>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</si>
  <si>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</si>
  <si>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</si>
  <si>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</si>
  <si>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</si>
  <si>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</si>
  <si>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</si>
  <si>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</si>
  <si>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</si>
  <si>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</si>
  <si>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</si>
  <si>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</si>
  <si>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</si>
  <si>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</si>
  <si>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</si>
  <si>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</si>
  <si>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</si>
  <si>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</si>
  <si>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</si>
  <si>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</si>
  <si>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</si>
  <si>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</si>
  <si>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</si>
  <si>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</si>
  <si>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</si>
  <si>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</si>
  <si>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</si>
  <si>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</si>
  <si>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</si>
  <si>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</si>
  <si>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</si>
  <si>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</si>
  <si>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</si>
  <si>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</si>
  <si>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</si>
  <si>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</si>
  <si>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</si>
  <si>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</si>
  <si>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</si>
  <si>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</si>
  <si>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</si>
  <si>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</si>
  <si>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</si>
  <si>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</si>
  <si>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</si>
  <si>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</si>
  <si>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</si>
  <si>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</si>
  <si>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</si>
  <si>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</si>
  <si>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</si>
  <si>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</si>
  <si>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</si>
  <si>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</si>
  <si>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</si>
  <si>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</si>
  <si>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</si>
  <si>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</si>
  <si>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</si>
  <si>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</si>
  <si>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</si>
  <si>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</si>
  <si>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</si>
  <si>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</si>
  <si>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</si>
  <si>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</si>
  <si>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</si>
  <si>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</si>
  <si>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</si>
  <si>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</si>
  <si>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</si>
  <si>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</si>
  <si>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</si>
  <si>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</si>
  <si>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</si>
  <si>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</si>
  <si>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</si>
  <si>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</si>
  <si>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</si>
  <si>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</si>
  <si>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</si>
  <si>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</si>
  <si>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</si>
  <si>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</si>
  <si>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</si>
  <si>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</si>
  <si>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</si>
  <si>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</si>
  <si>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</si>
  <si>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</si>
  <si>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</si>
  <si>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</si>
  <si>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</si>
  <si>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</si>
  <si>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</si>
  <si>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</si>
  <si>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</si>
  <si>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</si>
  <si>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</si>
  <si>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</si>
  <si>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</si>
  <si>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</si>
  <si>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</si>
  <si>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</si>
  <si>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</si>
  <si>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</si>
  <si>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</si>
  <si>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</si>
  <si>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</si>
  <si>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</si>
  <si>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</si>
  <si>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</si>
  <si>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</si>
  <si>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</si>
  <si>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</si>
  <si>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</si>
  <si>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</si>
  <si>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</si>
  <si>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</si>
  <si>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</si>
  <si>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</si>
  <si>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</si>
  <si>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</si>
  <si>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</si>
  <si>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</si>
  <si>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</si>
  <si>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</si>
  <si>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</si>
  <si>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</si>
  <si>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</si>
  <si>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</si>
  <si>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</si>
  <si>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</si>
  <si>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</si>
  <si>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</si>
  <si>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</si>
  <si>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</si>
  <si>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</si>
  <si>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</si>
  <si>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</si>
  <si>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</si>
  <si>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</si>
  <si>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</si>
  <si>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</si>
  <si>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</si>
  <si>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</si>
  <si>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</si>
  <si>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</si>
  <si>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</si>
  <si>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</si>
  <si>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</si>
  <si>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</si>
  <si>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</si>
  <si>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</si>
  <si>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</si>
  <si>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</si>
  <si>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</si>
  <si>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</si>
  <si>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</si>
  <si>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</si>
  <si>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</si>
  <si>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</si>
  <si>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</si>
  <si>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</si>
  <si>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</si>
  <si>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</si>
  <si>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</si>
  <si>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</si>
  <si>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</si>
  <si>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</si>
  <si>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</si>
  <si>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</si>
  <si>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</si>
  <si>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</si>
  <si>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</si>
  <si>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</si>
  <si>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</si>
  <si>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</si>
  <si>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</si>
  <si>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</si>
  <si>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</si>
  <si>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</si>
  <si>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</si>
  <si>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</si>
  <si>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</si>
  <si>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</si>
  <si>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</si>
  <si>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</si>
  <si>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</si>
  <si>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</si>
  <si>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</si>
  <si>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</si>
  <si>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</si>
  <si>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</si>
  <si>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</si>
  <si>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</si>
  <si>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</si>
  <si>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</si>
  <si>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</si>
  <si>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</si>
  <si>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</si>
  <si>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</si>
  <si>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</si>
  <si>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</si>
  <si>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</si>
  <si>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</si>
  <si>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</si>
  <si>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</si>
  <si>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</si>
  <si>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</si>
  <si>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</si>
  <si>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</si>
  <si>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</si>
  <si>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</si>
  <si>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</si>
  <si>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</si>
  <si>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</si>
  <si>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</si>
  <si>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</si>
  <si>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</si>
  <si>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</si>
  <si>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</si>
  <si>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</si>
  <si>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</si>
  <si>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</si>
  <si>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</si>
  <si>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</si>
  <si>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</si>
  <si>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</si>
  <si>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</si>
  <si>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</si>
  <si>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</si>
  <si>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</si>
  <si>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</si>
  <si>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</si>
  <si>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</si>
  <si>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</si>
  <si>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</si>
  <si>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</si>
  <si>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</si>
  <si>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</si>
  <si>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</si>
  <si>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</si>
  <si>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</si>
  <si>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</si>
  <si>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</si>
  <si>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</si>
  <si>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</si>
  <si>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</si>
  <si>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</si>
  <si>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</si>
  <si>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</si>
  <si>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</si>
  <si>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</si>
  <si>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</si>
  <si>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</si>
  <si>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</si>
  <si>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</si>
  <si>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</si>
  <si>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</si>
  <si>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</si>
  <si>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</si>
  <si>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</si>
  <si>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</si>
  <si>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</si>
  <si>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</si>
  <si>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</si>
  <si>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</si>
  <si>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</si>
  <si>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</si>
  <si>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</si>
  <si>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</si>
  <si>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</si>
  <si>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</si>
  <si>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</si>
  <si>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</si>
  <si>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</si>
  <si>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</si>
  <si>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</si>
  <si>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</si>
  <si>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</si>
  <si>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</si>
  <si>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</si>
  <si>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</si>
  <si>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</si>
  <si>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</si>
  <si>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</si>
  <si>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</si>
  <si>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</si>
  <si>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</si>
  <si>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</si>
  <si>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</si>
  <si>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</si>
  <si>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</si>
  <si>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</si>
  <si>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</si>
  <si>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</si>
  <si>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</si>
  <si>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</si>
  <si>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</si>
  <si>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</si>
  <si>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</si>
  <si>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</si>
  <si>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</si>
  <si>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</si>
  <si>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</si>
  <si>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</si>
  <si>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</si>
  <si>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</si>
  <si>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</si>
  <si>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</si>
  <si>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</si>
  <si>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</si>
  <si>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</si>
  <si>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</si>
  <si>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</si>
  <si>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</si>
  <si>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</si>
  <si>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</si>
  <si>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</si>
  <si>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</si>
  <si>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</si>
  <si>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</si>
  <si>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</si>
  <si>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</si>
  <si>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</si>
  <si>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</si>
  <si>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</si>
  <si>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</si>
  <si>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</si>
  <si>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</si>
  <si>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</si>
  <si>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</si>
  <si>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</si>
  <si>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</si>
  <si>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</si>
  <si>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</si>
  <si>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</si>
  <si>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</si>
  <si>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</si>
  <si>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</si>
  <si>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</si>
  <si>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</si>
  <si>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</si>
  <si>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</si>
  <si>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</si>
  <si>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</si>
  <si>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</si>
  <si>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</si>
  <si>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</si>
  <si>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</si>
  <si>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</si>
  <si>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</si>
  <si>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</si>
  <si>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</si>
  <si>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</si>
  <si>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</si>
  <si>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</si>
  <si>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</si>
  <si>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</si>
  <si>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</si>
  <si>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</si>
  <si>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</si>
  <si>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</si>
  <si>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</si>
  <si>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</si>
  <si>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</si>
  <si>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</si>
  <si>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</si>
  <si>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</si>
  <si>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</si>
  <si>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</si>
  <si>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</si>
  <si>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</si>
  <si>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</si>
  <si>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</si>
  <si>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</si>
  <si>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</si>
  <si>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</si>
  <si>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</si>
  <si>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</si>
  <si>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</si>
  <si>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</si>
  <si>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</si>
  <si>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</si>
  <si>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</si>
  <si>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</si>
  <si>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</si>
  <si>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</si>
  <si>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</si>
  <si>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</si>
  <si>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</si>
  <si>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</si>
  <si>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</si>
  <si>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</si>
  <si>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</si>
  <si>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</si>
  <si>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</si>
  <si>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</si>
  <si>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</si>
  <si>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</si>
  <si>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</si>
  <si>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</si>
  <si>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</si>
  <si>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</si>
  <si>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</si>
  <si>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</si>
  <si>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</si>
  <si>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</si>
  <si>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</si>
  <si>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</si>
  <si>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</si>
  <si>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</si>
  <si>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</si>
  <si>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</si>
  <si>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</si>
  <si>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</si>
  <si>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</si>
  <si>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</si>
  <si>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</si>
  <si>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</si>
  <si>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</si>
  <si>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</si>
  <si>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</si>
  <si>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</si>
  <si>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</si>
  <si>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</si>
  <si>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</si>
  <si>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</si>
  <si>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</si>
  <si>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</si>
  <si>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</si>
  <si>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</si>
  <si>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</si>
  <si>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</si>
  <si>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</si>
  <si>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</si>
  <si>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</si>
  <si>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</si>
  <si>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</si>
  <si>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</si>
  <si>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</si>
  <si>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</si>
  <si>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</si>
  <si>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</si>
  <si>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</si>
  <si>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</si>
  <si>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</si>
  <si>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</si>
  <si>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</si>
  <si>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</si>
  <si>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</si>
  <si>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</si>
  <si>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</si>
  <si>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</si>
  <si>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</si>
  <si>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</si>
  <si>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</si>
  <si>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</si>
  <si>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</si>
  <si>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</si>
  <si>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</si>
  <si>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</si>
  <si>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</si>
  <si>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</si>
  <si>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</si>
  <si>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</si>
  <si>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</si>
  <si>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</si>
  <si>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</si>
  <si>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</si>
  <si>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</si>
  <si>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</si>
  <si>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</si>
  <si>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</si>
  <si>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</si>
  <si>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</si>
  <si>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</si>
  <si>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</si>
  <si>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</si>
  <si>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</si>
  <si>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</si>
  <si>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</si>
  <si>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</si>
  <si>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</si>
  <si>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</si>
  <si>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</si>
  <si>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</si>
  <si>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</si>
  <si>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</si>
  <si>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</si>
  <si>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</si>
  <si>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</si>
  <si>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</si>
  <si>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</si>
  <si>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</si>
  <si>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</si>
  <si>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</si>
  <si>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</si>
  <si>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</si>
  <si>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</si>
  <si>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</si>
  <si>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</si>
  <si>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</si>
  <si>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</si>
  <si>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</si>
  <si>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</si>
  <si>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</si>
  <si>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</si>
  <si>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</si>
  <si>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</si>
  <si>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</si>
  <si>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</si>
  <si>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</si>
  <si>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</si>
  <si>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</si>
  <si>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</si>
  <si>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</si>
  <si>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</si>
  <si>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</si>
  <si>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</si>
  <si>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</si>
  <si>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</si>
  <si>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</si>
  <si>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</si>
  <si>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</si>
  <si>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</si>
  <si>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</si>
  <si>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</si>
  <si>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</si>
  <si>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</si>
  <si>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</si>
  <si>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</si>
  <si>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</si>
  <si>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</si>
  <si>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</si>
  <si>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</si>
  <si>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</si>
  <si>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</si>
  <si>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</si>
  <si>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</si>
  <si>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</si>
  <si>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</si>
  <si>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</si>
  <si>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</si>
  <si>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</si>
  <si>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</si>
  <si>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</si>
  <si>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</si>
  <si>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</si>
  <si>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</si>
  <si>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</si>
  <si>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</si>
  <si>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</si>
  <si>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</si>
  <si>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</si>
  <si>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</si>
  <si>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</si>
  <si>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</si>
  <si>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</si>
  <si>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</si>
  <si>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</si>
  <si>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</si>
  <si>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</si>
  <si>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</si>
  <si>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</si>
  <si>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</si>
  <si>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</si>
  <si>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</si>
  <si>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</si>
  <si>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</si>
  <si>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</si>
  <si>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</si>
  <si>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</si>
  <si>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</si>
  <si>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</si>
  <si>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</si>
  <si>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</si>
  <si>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</si>
  <si>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</si>
  <si>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</si>
  <si>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</si>
  <si>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</si>
  <si>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</si>
  <si>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</si>
  <si>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</si>
  <si>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</si>
  <si>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</si>
  <si>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</si>
  <si>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</si>
  <si>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</si>
  <si>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</si>
  <si>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</si>
  <si>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</si>
  <si>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</si>
  <si>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</si>
  <si>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</si>
  <si>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</si>
  <si>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</si>
  <si>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</si>
  <si>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</si>
  <si>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</si>
  <si>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</si>
  <si>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</si>
  <si>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</si>
  <si>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</si>
  <si>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</si>
  <si>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</si>
  <si>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</si>
  <si>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</si>
  <si>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</si>
  <si>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</si>
  <si>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</si>
  <si>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</si>
  <si>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</si>
  <si>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</si>
  <si>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</si>
  <si>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</si>
  <si>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</si>
  <si>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</si>
  <si>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</si>
  <si>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</si>
  <si>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</si>
  <si>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</si>
  <si>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</si>
  <si>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</si>
  <si>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</si>
  <si>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</si>
  <si>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</si>
  <si>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</si>
  <si>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</si>
  <si>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</si>
  <si>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</si>
  <si>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</si>
  <si>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</si>
  <si>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</si>
  <si>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</si>
  <si>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</si>
  <si>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</si>
  <si>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</si>
  <si>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</si>
  <si>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</si>
  <si>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</si>
  <si>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</si>
  <si>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</si>
  <si>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</si>
  <si>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</si>
  <si>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</si>
  <si>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</si>
  <si>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</si>
  <si>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</si>
  <si>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</si>
  <si>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</si>
  <si>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</si>
  <si>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</si>
  <si>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</si>
  <si>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</si>
  <si>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</si>
  <si>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</si>
  <si>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</si>
  <si>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</si>
  <si>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</si>
  <si>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</si>
  <si>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</si>
  <si>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</si>
  <si>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</si>
  <si>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</si>
  <si>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</si>
  <si>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</si>
  <si>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</si>
  <si>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</si>
  <si>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</si>
  <si>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</si>
  <si>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</si>
  <si>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</si>
  <si>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</si>
  <si>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</si>
  <si>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</si>
  <si>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</si>
  <si>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</si>
  <si>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</si>
  <si>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</si>
  <si>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</si>
  <si>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</si>
  <si>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</si>
  <si>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</si>
  <si>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</si>
  <si>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</si>
  <si>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</si>
  <si>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</si>
  <si>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</si>
  <si>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</si>
  <si>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</si>
  <si>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</si>
  <si>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</si>
  <si>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</si>
  <si>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</si>
  <si>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</si>
  <si>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</si>
  <si>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</si>
  <si>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</si>
  <si>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</si>
  <si>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</si>
  <si>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</si>
  <si>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</si>
  <si>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</si>
  <si>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</si>
  <si>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</si>
  <si>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</si>
  <si>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</si>
  <si>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</si>
  <si>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</si>
  <si>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</si>
  <si>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</si>
  <si>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</si>
  <si>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</si>
  <si>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</si>
  <si>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</si>
  <si>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</si>
  <si>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</si>
  <si>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</si>
  <si>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</si>
  <si>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</si>
  <si>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</si>
  <si>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</si>
  <si>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</si>
  <si>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</si>
  <si>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</si>
  <si>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</si>
  <si>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</si>
  <si>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</si>
  <si>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</si>
  <si>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</si>
  <si>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</si>
  <si>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</si>
  <si>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</si>
  <si>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</si>
  <si>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</si>
  <si>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</si>
  <si>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</si>
  <si>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</si>
  <si>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</si>
  <si>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</si>
  <si>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</si>
  <si>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</si>
  <si>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</si>
  <si>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</si>
  <si>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</si>
  <si>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</si>
  <si>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</si>
  <si>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</si>
  <si>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</si>
  <si>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</si>
  <si>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</si>
  <si>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</si>
  <si>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</si>
  <si>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</si>
  <si>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</si>
  <si>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</si>
  <si>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</si>
  <si>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</si>
  <si>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</si>
  <si>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</si>
  <si>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</si>
  <si>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</si>
  <si>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</si>
  <si>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</si>
  <si>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</si>
  <si>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</si>
  <si>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</si>
  <si>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</si>
  <si>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</si>
  <si>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</si>
  <si>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</si>
  <si>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</si>
  <si>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</si>
  <si>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</si>
  <si>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</si>
  <si>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</si>
  <si>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</si>
  <si>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</si>
  <si>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</si>
  <si>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</si>
  <si>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</si>
  <si>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</si>
  <si>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</si>
  <si>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</si>
  <si>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</si>
  <si>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</si>
  <si>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</si>
  <si>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</si>
  <si>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</si>
  <si>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</si>
  <si>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</si>
  <si>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</si>
  <si>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</si>
  <si>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</si>
  <si>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</si>
  <si>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</si>
  <si>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</si>
  <si>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</si>
  <si>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</si>
  <si>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</si>
  <si>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</si>
  <si>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</si>
  <si>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</si>
  <si>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</si>
  <si>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</si>
  <si>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</si>
  <si>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</si>
  <si>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</si>
  <si>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</si>
  <si>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</si>
  <si>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</si>
  <si>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</si>
  <si>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</si>
  <si>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</si>
  <si>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</si>
  <si>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</si>
  <si>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</si>
  <si>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</si>
  <si>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</si>
  <si>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</si>
  <si>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</si>
  <si>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</si>
  <si>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</si>
  <si>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</si>
  <si>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</si>
  <si>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</si>
  <si>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</si>
  <si>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</si>
  <si>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</si>
  <si>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</si>
  <si>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</si>
  <si>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</si>
  <si>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</si>
  <si>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</si>
  <si>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</si>
  <si>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</si>
  <si>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</si>
  <si>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</si>
  <si>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</si>
  <si>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</si>
  <si>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</si>
  <si>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</si>
  <si>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</si>
  <si>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</si>
  <si>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</si>
  <si>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</si>
  <si>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</si>
  <si>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</si>
  <si>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</si>
  <si>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</si>
  <si>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</si>
  <si>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</si>
  <si>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</si>
  <si>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</si>
  <si>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</si>
  <si>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</si>
  <si>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</si>
  <si>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</si>
  <si>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</si>
  <si>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</si>
  <si>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</si>
  <si>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</si>
  <si>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</si>
  <si>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</si>
  <si>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</si>
  <si>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</si>
  <si>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</si>
  <si>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</si>
  <si>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</si>
  <si>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</si>
  <si>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</si>
  <si>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</si>
  <si>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</si>
  <si>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</si>
  <si>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</si>
  <si>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</si>
  <si>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</si>
  <si>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</si>
  <si>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</si>
  <si>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</si>
  <si>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</si>
  <si>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</si>
  <si>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</si>
  <si>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</si>
  <si>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</si>
  <si>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</si>
  <si>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</si>
  <si>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</si>
  <si>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</si>
  <si>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</si>
  <si>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</si>
  <si>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</si>
  <si>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</si>
  <si>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</si>
  <si>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</si>
  <si>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</si>
  <si>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</si>
  <si>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</si>
  <si>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</si>
  <si>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</si>
  <si>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</si>
  <si>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</si>
  <si>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</si>
  <si>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</si>
  <si>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</si>
  <si>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</si>
  <si>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</si>
  <si>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</si>
  <si>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</si>
  <si>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</si>
  <si>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</si>
  <si>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</si>
  <si>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</si>
  <si>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</si>
  <si>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</si>
  <si>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</si>
  <si>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</si>
  <si>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</si>
  <si>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</si>
  <si>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</si>
  <si>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</si>
  <si>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</si>
  <si>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</si>
  <si>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</si>
  <si>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</si>
  <si>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</si>
  <si>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</si>
  <si>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</si>
  <si>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</si>
  <si>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</si>
  <si>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</si>
  <si>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</si>
  <si>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</si>
  <si>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</si>
  <si>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</si>
  <si>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</si>
  <si>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</si>
  <si>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</si>
  <si>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</si>
  <si>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</si>
  <si>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</si>
  <si>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</si>
  <si>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</si>
  <si>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</si>
  <si>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</si>
  <si>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</si>
  <si>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</si>
  <si>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</si>
  <si>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</si>
  <si>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</si>
  <si>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</si>
  <si>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</si>
  <si>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</si>
  <si>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</si>
  <si>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</si>
  <si>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</si>
  <si>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</si>
  <si>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</si>
  <si>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</si>
  <si>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</si>
  <si>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</si>
  <si>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</si>
  <si>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</si>
  <si>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</si>
  <si>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</si>
  <si>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</si>
  <si>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</si>
  <si>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</si>
  <si>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</si>
  <si>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</si>
  <si>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</si>
  <si>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</si>
  <si>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</si>
  <si>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</si>
  <si>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</si>
  <si>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</si>
  <si>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</si>
  <si>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</si>
  <si>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</si>
  <si>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</si>
  <si>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</si>
  <si>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</si>
  <si>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</si>
  <si>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</si>
  <si>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</si>
  <si>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</si>
  <si>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</si>
  <si>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</si>
  <si>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</si>
  <si>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</si>
  <si>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</si>
  <si>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</si>
  <si>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</si>
  <si>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</si>
  <si>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</si>
  <si>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</si>
  <si>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</si>
  <si>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</si>
  <si>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</si>
  <si>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</si>
  <si>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</si>
  <si>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</si>
  <si>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</si>
  <si>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</si>
  <si>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</si>
  <si>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</si>
  <si>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</si>
  <si>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</si>
  <si>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</si>
  <si>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</si>
  <si>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</si>
  <si>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</si>
  <si>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</si>
  <si>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</si>
  <si>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</si>
  <si>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</si>
  <si>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</si>
  <si>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</si>
  <si>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</si>
  <si>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</si>
  <si>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</si>
  <si>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</si>
  <si>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</si>
  <si>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</si>
  <si>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</si>
  <si>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</si>
  <si>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</si>
  <si>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</si>
  <si>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</si>
  <si>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</si>
  <si>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</si>
  <si>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</si>
  <si>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</si>
  <si>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</si>
  <si>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</si>
  <si>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</si>
  <si>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</si>
  <si>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</si>
  <si>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</si>
  <si>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</si>
  <si>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</si>
  <si>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</si>
  <si>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</si>
  <si>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</si>
  <si>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</si>
  <si>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</si>
  <si>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</si>
  <si>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</si>
  <si>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</si>
  <si>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</si>
  <si>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</si>
  <si>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</si>
  <si>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</si>
  <si>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</si>
  <si>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</si>
  <si>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</si>
  <si>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</si>
  <si>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</si>
  <si>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</si>
  <si>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</si>
  <si>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</si>
  <si>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</si>
  <si>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</si>
  <si>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</si>
  <si>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</si>
  <si>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</si>
  <si>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</si>
  <si>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</si>
  <si>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</si>
  <si>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</si>
  <si>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</si>
  <si>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</si>
  <si>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</si>
  <si>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</si>
  <si>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</si>
  <si>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</si>
  <si>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</si>
  <si>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</si>
  <si>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</si>
  <si>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</si>
  <si>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</si>
  <si>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</si>
  <si>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</si>
  <si>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</si>
  <si>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</si>
  <si>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</si>
  <si>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</si>
  <si>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</si>
  <si>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</si>
  <si>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</si>
  <si>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</si>
  <si>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</si>
  <si>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</si>
  <si>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</si>
  <si>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</si>
  <si>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</si>
  <si>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</si>
  <si>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</si>
  <si>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</si>
  <si>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</si>
  <si>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</si>
  <si>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</si>
  <si>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</si>
  <si>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</si>
  <si>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</si>
  <si>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</si>
  <si>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</si>
  <si>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</si>
  <si>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</si>
  <si>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</si>
  <si>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</si>
  <si>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</si>
  <si>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</si>
  <si>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</si>
  <si>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</si>
  <si>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</si>
  <si>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</si>
  <si>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</si>
  <si>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</si>
  <si>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</si>
  <si>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</si>
  <si>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</si>
  <si>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</si>
  <si>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</si>
  <si>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</si>
  <si>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</si>
  <si>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</si>
  <si>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</si>
  <si>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</si>
  <si>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</si>
  <si>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</si>
  <si>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</si>
  <si>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</si>
  <si>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</si>
  <si>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</si>
  <si>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</si>
  <si>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</si>
  <si>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</si>
  <si>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</si>
  <si>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</si>
  <si>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</si>
  <si>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</si>
  <si>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</si>
  <si>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</si>
  <si>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</si>
  <si>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</si>
  <si>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</si>
  <si>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</si>
  <si>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</si>
  <si>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</si>
  <si>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</si>
  <si>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</si>
  <si>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</si>
  <si>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</si>
  <si>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</si>
  <si>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</si>
  <si>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</si>
  <si>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</si>
  <si>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</si>
  <si>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</si>
  <si>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</si>
  <si>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</si>
  <si>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</si>
  <si>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</si>
  <si>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</si>
  <si>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</si>
  <si>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</si>
  <si>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</si>
  <si>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</si>
  <si>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</si>
  <si>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</si>
  <si>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</si>
  <si>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</si>
  <si>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</si>
  <si>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</si>
  <si>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</si>
  <si>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</si>
  <si>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</si>
  <si>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</si>
  <si>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</si>
  <si>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</si>
  <si>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</si>
  <si>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</si>
  <si>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</si>
  <si>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</si>
  <si>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</si>
  <si>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</si>
  <si>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</si>
  <si>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</si>
  <si>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</si>
  <si>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</si>
  <si>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</si>
  <si>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</si>
  <si>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</si>
  <si>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</si>
  <si>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</si>
  <si>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</si>
  <si>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</si>
  <si>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</si>
  <si>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</si>
  <si>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</si>
  <si>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</si>
  <si>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</si>
  <si>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</si>
  <si>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</si>
  <si>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</si>
  <si>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</si>
  <si>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</si>
  <si>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</si>
  <si>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</si>
  <si>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</si>
  <si>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</si>
  <si>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</si>
  <si>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</si>
  <si>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</si>
  <si>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</si>
  <si>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</si>
  <si>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</si>
  <si>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</si>
  <si>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</si>
  <si>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</si>
  <si>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</si>
  <si>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</si>
  <si>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</si>
  <si>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</si>
  <si>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</si>
  <si>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</si>
  <si>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</si>
  <si>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</si>
  <si>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</si>
  <si>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</si>
  <si>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</si>
  <si>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</si>
  <si>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</si>
  <si>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</si>
  <si>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</si>
  <si>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</si>
  <si>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</si>
  <si>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</si>
  <si>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</si>
  <si>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</si>
  <si>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</si>
  <si>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</si>
  <si>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</si>
  <si>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</si>
  <si>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</si>
  <si>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</si>
  <si>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</si>
  <si>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</si>
  <si>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</si>
  <si>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</si>
  <si>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</si>
  <si>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</si>
  <si>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</si>
  <si>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</si>
  <si>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</si>
  <si>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</si>
  <si>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</si>
  <si>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</si>
  <si>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</si>
  <si>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</si>
  <si>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</si>
  <si>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</si>
  <si>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</si>
  <si>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</si>
  <si>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</si>
  <si>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</si>
  <si>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</si>
  <si>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</si>
  <si>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</si>
  <si>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</si>
  <si>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</si>
  <si>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</si>
  <si>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</si>
  <si>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</si>
  <si>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</si>
  <si>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</si>
  <si>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</si>
  <si>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</si>
  <si>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</si>
  <si>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</si>
  <si>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</si>
  <si>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</si>
  <si>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</si>
  <si>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</si>
  <si>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</si>
  <si>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</si>
  <si>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</si>
  <si>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</si>
  <si>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</si>
  <si>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</si>
  <si>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</si>
  <si>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</si>
  <si>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</si>
  <si>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</si>
  <si>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</si>
  <si>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</si>
  <si>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</si>
  <si>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</si>
  <si>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</si>
  <si>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</si>
  <si>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</si>
  <si>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</si>
  <si>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</si>
  <si>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</si>
  <si>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</si>
  <si>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</si>
  <si>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</si>
  <si>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</si>
  <si>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</si>
  <si>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</si>
  <si>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</si>
  <si>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</si>
  <si>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</si>
  <si>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</si>
  <si>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</si>
  <si>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</si>
  <si>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</si>
  <si>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</si>
  <si>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</si>
  <si>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</si>
  <si>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</si>
  <si>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</si>
  <si>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</si>
  <si>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</si>
  <si>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</si>
  <si>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</si>
  <si>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</si>
  <si>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</si>
  <si>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</si>
  <si>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</si>
  <si>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</si>
  <si>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</si>
  <si>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</si>
  <si>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</si>
  <si>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</si>
  <si>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</si>
  <si>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</si>
  <si>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</si>
  <si>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</si>
  <si>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</si>
  <si>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</si>
  <si>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</si>
  <si>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</si>
  <si>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</si>
  <si>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</si>
  <si>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</si>
  <si>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</si>
  <si>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</si>
  <si>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</si>
  <si>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</si>
  <si>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</si>
  <si>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</si>
  <si>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</si>
  <si>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</si>
  <si>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</si>
  <si>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</si>
  <si>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</si>
  <si>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</si>
  <si>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</si>
  <si>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</si>
  <si>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</si>
  <si>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</si>
  <si>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</si>
  <si>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</si>
  <si>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</si>
  <si>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</si>
  <si>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</si>
  <si>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</si>
  <si>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</si>
  <si>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</si>
  <si>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</si>
  <si>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</si>
  <si>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</si>
  <si>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</si>
  <si>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</si>
  <si>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</si>
  <si>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</si>
  <si>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</si>
  <si>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</si>
  <si>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</si>
  <si>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</si>
  <si>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</si>
  <si>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</si>
  <si>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</si>
  <si>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</si>
  <si>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</si>
  <si>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</si>
  <si>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</si>
  <si>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</si>
  <si>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</si>
  <si>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</si>
  <si>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</si>
  <si>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</si>
  <si>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</si>
  <si>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</si>
  <si>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</si>
  <si>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</si>
  <si>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</si>
  <si>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</si>
  <si>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</si>
  <si>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</si>
  <si>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</si>
  <si>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</si>
  <si>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</si>
  <si>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</si>
  <si>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</si>
  <si>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</si>
  <si>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</si>
  <si>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</si>
  <si>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</si>
  <si>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</si>
  <si>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</si>
  <si>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</si>
  <si>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</si>
  <si>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</si>
  <si>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</si>
  <si>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</si>
  <si>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</si>
  <si>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</si>
  <si>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</si>
  <si>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</si>
  <si>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</si>
  <si>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</si>
  <si>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</si>
  <si>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</si>
  <si>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</si>
  <si>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</si>
  <si>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</si>
  <si>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</si>
  <si>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</si>
  <si>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</si>
  <si>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</si>
  <si>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</si>
  <si>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</si>
  <si>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</si>
  <si>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</si>
  <si>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</si>
  <si>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</si>
  <si>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</si>
  <si>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</si>
  <si>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</si>
  <si>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</si>
  <si>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</si>
  <si>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</si>
  <si>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</si>
  <si>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</si>
  <si>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</si>
  <si>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</si>
  <si>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</si>
  <si>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</si>
  <si>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</si>
  <si>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</si>
  <si>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</si>
  <si>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</si>
  <si>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</si>
  <si>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</si>
  <si>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</si>
  <si>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</si>
  <si>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</si>
  <si>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</si>
  <si>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</si>
  <si>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</si>
  <si>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</si>
  <si>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</si>
  <si>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</si>
  <si>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</si>
  <si>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</si>
  <si>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</si>
  <si>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</si>
  <si>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</si>
  <si>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</si>
  <si>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</si>
  <si>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</si>
  <si>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</si>
  <si>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</si>
  <si>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</si>
  <si>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</si>
  <si>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</si>
  <si>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</si>
  <si>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</si>
  <si>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</si>
  <si>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</si>
  <si>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</si>
  <si>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</si>
  <si>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</si>
  <si>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</si>
  <si>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</si>
  <si>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</si>
  <si>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</si>
  <si>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</si>
  <si>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</si>
  <si>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</si>
  <si>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</si>
  <si>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</si>
  <si>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</si>
  <si>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</si>
  <si>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</si>
  <si>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</si>
  <si>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</si>
  <si>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</si>
  <si>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</si>
  <si>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</si>
  <si>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</si>
  <si>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</si>
  <si>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</si>
  <si>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</si>
  <si>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</si>
  <si>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</si>
  <si>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</si>
  <si>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</si>
  <si>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</si>
  <si>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</si>
  <si>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</si>
  <si>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</si>
  <si>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</si>
  <si>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</si>
  <si>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</si>
  <si>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</si>
  <si>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</si>
  <si>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</si>
  <si>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</si>
  <si>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</si>
  <si>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</si>
  <si>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</si>
  <si>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</si>
  <si>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</si>
  <si>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</si>
  <si>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</si>
  <si>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</si>
  <si>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</si>
  <si>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</si>
  <si>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</si>
  <si>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</si>
  <si>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</si>
  <si>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</si>
  <si>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</si>
  <si>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</si>
  <si>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</si>
  <si>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</si>
  <si>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</si>
  <si>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</si>
  <si>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</si>
  <si>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</si>
  <si>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</si>
  <si>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</si>
  <si>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</si>
  <si>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</si>
  <si>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</si>
  <si>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</si>
  <si>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</si>
  <si>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</si>
  <si>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</si>
  <si>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</si>
  <si>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</si>
  <si>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</si>
  <si>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</si>
  <si>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</si>
  <si>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</si>
  <si>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</si>
  <si>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</si>
  <si>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</si>
  <si>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</si>
  <si>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</si>
  <si>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</si>
  <si>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</si>
  <si>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</si>
  <si>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</si>
  <si>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</si>
  <si>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</si>
  <si>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</si>
  <si>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</si>
  <si>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</si>
  <si>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</si>
  <si>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</si>
  <si>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</si>
  <si>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</si>
  <si>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</si>
  <si>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</si>
  <si>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</si>
  <si>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</si>
  <si>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</si>
  <si>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</si>
  <si>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</si>
  <si>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</si>
  <si>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</si>
  <si>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</si>
  <si>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</si>
  <si>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</si>
  <si>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</si>
  <si>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</si>
  <si>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</si>
  <si>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</si>
  <si>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</si>
  <si>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</si>
  <si>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</si>
  <si>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</si>
  <si>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</si>
  <si>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</si>
  <si>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</si>
  <si>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</si>
  <si>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</si>
  <si>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</si>
  <si>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</si>
  <si>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</si>
  <si>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</si>
  <si>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</si>
  <si>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</si>
  <si>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</si>
  <si>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</si>
  <si>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</si>
  <si>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</si>
  <si>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</si>
  <si>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</si>
  <si>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</si>
  <si>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</si>
  <si>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</si>
  <si>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</si>
  <si>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</si>
  <si>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</si>
  <si>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</si>
  <si>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</si>
  <si>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</si>
  <si>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</si>
  <si>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</si>
  <si>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</si>
  <si>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</si>
  <si>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</si>
  <si>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</si>
  <si>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</si>
  <si>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</si>
  <si>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</si>
  <si>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</si>
  <si>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</si>
  <si>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</si>
  <si>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</si>
  <si>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</si>
  <si>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</si>
  <si>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</si>
  <si>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</si>
  <si>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</si>
  <si>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</si>
  <si>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</si>
  <si>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</si>
  <si>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</si>
  <si>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</si>
  <si>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</si>
  <si>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</si>
  <si>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</si>
  <si>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</si>
  <si>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</si>
  <si>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</si>
  <si>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</si>
  <si>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</si>
  <si>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</si>
  <si>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</si>
  <si>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</si>
  <si>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</si>
  <si>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</si>
  <si>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</si>
  <si>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</si>
  <si>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</si>
  <si>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</si>
  <si>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</si>
  <si>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</si>
  <si>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</si>
  <si>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</si>
  <si>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</si>
  <si>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</si>
  <si>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</si>
  <si>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</si>
  <si>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</si>
  <si>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</si>
  <si>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</si>
  <si>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</si>
  <si>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</si>
  <si>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</si>
  <si>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</si>
  <si>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</si>
  <si>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</si>
  <si>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</si>
  <si>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</si>
  <si>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</si>
  <si>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</si>
  <si>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</si>
  <si>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</si>
  <si>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</si>
  <si>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</si>
  <si>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</si>
  <si>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</si>
  <si>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</si>
  <si>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</si>
  <si>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</si>
  <si>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</si>
  <si>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</si>
  <si>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</si>
  <si>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</si>
  <si>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</si>
  <si>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</si>
  <si>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</si>
  <si>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</si>
  <si>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</si>
  <si>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</si>
  <si>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</si>
  <si>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</si>
  <si>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</si>
  <si>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</si>
  <si>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</si>
  <si>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</si>
  <si>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</si>
  <si>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</si>
  <si>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</si>
  <si>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</si>
  <si>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</si>
  <si>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</si>
  <si>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</si>
  <si>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</si>
  <si>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</si>
  <si>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</si>
  <si>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</si>
  <si>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</si>
  <si>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</si>
  <si>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</si>
  <si>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</si>
  <si>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</si>
  <si>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</si>
  <si>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</si>
  <si>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</si>
  <si>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</si>
  <si>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</si>
  <si>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</si>
  <si>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</si>
  <si>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</si>
  <si>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</si>
  <si>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</si>
  <si>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</si>
  <si>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</si>
  <si>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</si>
  <si>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</si>
  <si>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</si>
  <si>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</si>
  <si>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</si>
  <si>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</si>
  <si>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</si>
  <si>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</si>
  <si>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</si>
  <si>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</si>
  <si>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</si>
  <si>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</si>
  <si>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</si>
  <si>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</si>
  <si>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</si>
  <si>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</si>
  <si>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</si>
  <si>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</si>
  <si>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</si>
  <si>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</si>
  <si>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</si>
  <si>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</si>
  <si>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</si>
  <si>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</si>
  <si>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</si>
  <si>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</si>
  <si>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</si>
  <si>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</si>
  <si>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</si>
  <si>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</si>
  <si>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</si>
  <si>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</si>
  <si>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</si>
  <si>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</si>
  <si>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</si>
  <si>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</si>
  <si>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</si>
  <si>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</si>
  <si>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</si>
  <si>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</si>
  <si>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</si>
  <si>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</si>
  <si>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</si>
  <si>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</si>
  <si>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</si>
  <si>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</si>
  <si>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</si>
  <si>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</si>
  <si>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</si>
  <si>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</si>
  <si>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</si>
  <si>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</si>
  <si>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</si>
  <si>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</si>
  <si>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</si>
  <si>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</si>
  <si>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</si>
  <si>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</si>
  <si>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</si>
  <si>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</si>
  <si>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</si>
  <si>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</si>
  <si>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</si>
  <si>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</si>
  <si>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</si>
  <si>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</si>
  <si>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</si>
  <si>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</si>
  <si>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</si>
  <si>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</si>
  <si>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</si>
  <si>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</si>
  <si>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</si>
  <si>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</si>
  <si>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</si>
  <si>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</si>
  <si>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</si>
  <si>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</si>
  <si>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</si>
  <si>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</si>
  <si>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</si>
  <si>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</si>
  <si>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</si>
  <si>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</si>
  <si>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</si>
  <si>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</si>
  <si>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</si>
  <si>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</si>
  <si>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</si>
  <si>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</si>
  <si>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</si>
  <si>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</si>
  <si>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</si>
  <si>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</si>
  <si>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</si>
  <si>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</si>
  <si>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</si>
  <si>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</si>
  <si>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</si>
  <si>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</si>
  <si>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</si>
  <si>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</si>
  <si>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</si>
  <si>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</si>
  <si>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</si>
  <si>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</si>
  <si>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</si>
  <si>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</si>
  <si>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</si>
  <si>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</si>
  <si>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</si>
  <si>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</si>
  <si>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</si>
  <si>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</si>
  <si>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</si>
  <si>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</si>
  <si>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</si>
  <si>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</si>
  <si>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</si>
  <si>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</si>
  <si>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</si>
  <si>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</si>
  <si>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</si>
  <si>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</si>
  <si>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</si>
  <si>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</si>
  <si>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</si>
  <si>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</si>
  <si>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</si>
  <si>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</si>
  <si>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</si>
  <si>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</si>
  <si>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</si>
  <si>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</si>
  <si>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</si>
  <si>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</si>
  <si>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</si>
  <si>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</si>
  <si>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</si>
  <si>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</si>
  <si>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</si>
  <si>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</si>
  <si>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</si>
  <si>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</si>
  <si>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</si>
  <si>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</si>
  <si>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</si>
  <si>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</si>
  <si>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</si>
  <si>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</si>
  <si>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</si>
  <si>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</si>
  <si>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</si>
  <si>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</si>
  <si>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</si>
  <si>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</si>
  <si>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</si>
  <si>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</si>
  <si>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</si>
  <si>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</si>
  <si>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</si>
  <si>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</si>
  <si>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</si>
  <si>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</si>
  <si>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</si>
  <si>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</si>
  <si>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</si>
  <si>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</si>
  <si>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</si>
  <si>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</si>
  <si>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</si>
  <si>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</si>
  <si>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</si>
  <si>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</si>
  <si>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</si>
  <si>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</si>
  <si>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</si>
  <si>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</si>
  <si>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</si>
  <si>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</si>
  <si>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</si>
  <si>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</si>
  <si>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</si>
  <si>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</si>
  <si>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</si>
  <si>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</si>
  <si>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</si>
  <si>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</si>
  <si>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</si>
  <si>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</si>
  <si>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</si>
  <si>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</si>
  <si>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</si>
  <si>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</si>
  <si>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</si>
  <si>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</si>
  <si>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</si>
  <si>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</si>
  <si>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</si>
  <si>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</si>
  <si>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</si>
  <si>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</si>
  <si>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</si>
  <si>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</si>
  <si>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</si>
  <si>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</si>
  <si>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</si>
  <si>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</si>
  <si>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</si>
  <si>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</si>
  <si>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</si>
  <si>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</si>
  <si>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</si>
  <si>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</si>
  <si>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</si>
  <si>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</si>
  <si>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</si>
  <si>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</si>
  <si>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</si>
  <si>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</si>
  <si>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</si>
  <si>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</si>
  <si>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</si>
  <si>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</si>
  <si>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</si>
  <si>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</si>
  <si>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</si>
  <si>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</si>
  <si>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</si>
  <si>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</si>
  <si>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</si>
  <si>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</si>
  <si>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</si>
  <si>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</si>
  <si>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</si>
  <si>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</si>
  <si>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</si>
  <si>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</si>
  <si>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</si>
  <si>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</si>
  <si>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</si>
  <si>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</si>
  <si>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</si>
  <si>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</si>
  <si>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</si>
  <si>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</si>
  <si>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</si>
  <si>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</si>
  <si>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</si>
  <si>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</si>
  <si>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</si>
  <si>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</si>
  <si>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</si>
  <si>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</si>
  <si>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</si>
  <si>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</si>
  <si>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</si>
  <si>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</si>
  <si>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</si>
  <si>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</si>
  <si>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</si>
  <si>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</si>
  <si>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</si>
  <si>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</si>
  <si>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</si>
  <si>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</si>
  <si>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</si>
  <si>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</si>
  <si>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</si>
  <si>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</si>
  <si>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</si>
  <si>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</si>
  <si>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</si>
  <si>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</si>
  <si>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</si>
  <si>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</si>
  <si>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</si>
  <si>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</si>
  <si>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</si>
  <si>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</si>
  <si>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</si>
  <si>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</si>
  <si>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</si>
  <si>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</si>
  <si>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</si>
  <si>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</si>
  <si>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</si>
  <si>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</si>
  <si>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</si>
  <si>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</si>
  <si>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</si>
  <si>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</si>
  <si>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</si>
  <si>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</si>
  <si>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</si>
  <si>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</si>
  <si>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</si>
  <si>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</si>
  <si>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</si>
  <si>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</si>
  <si>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</si>
  <si>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</si>
  <si>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</si>
  <si>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</si>
  <si>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</si>
  <si>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</si>
  <si>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</si>
  <si>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</si>
  <si>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</si>
  <si>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</si>
  <si>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</si>
  <si>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</si>
  <si>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</si>
  <si>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</si>
  <si>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</si>
  <si>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</si>
  <si>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</si>
  <si>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</si>
  <si>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</si>
  <si>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</si>
  <si>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</si>
  <si>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</si>
  <si>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</si>
  <si>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</si>
  <si>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</si>
  <si>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</si>
  <si>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</si>
  <si>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</si>
  <si>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</si>
  <si>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</si>
  <si>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</si>
  <si>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</si>
  <si>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</si>
  <si>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</si>
  <si>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</si>
  <si>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</si>
  <si>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</si>
  <si>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</si>
  <si>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</si>
  <si>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</si>
  <si>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</si>
  <si>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</si>
  <si>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</si>
  <si>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</si>
  <si>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</si>
  <si>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</si>
  <si>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</si>
  <si>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</si>
  <si>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</si>
  <si>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</si>
  <si>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</si>
  <si>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</si>
  <si>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</si>
  <si>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</si>
  <si>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</si>
  <si>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</si>
  <si>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</si>
  <si>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</si>
  <si>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与级别开发程度不一致</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</si>
  <si>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</si>
  <si>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</si>
  <si>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</si>
  <si>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</si>
  <si>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</si>
  <si>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</si>
  <si>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</si>
  <si>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</si>
  <si>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</si>
  <si>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</si>
  <si>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</si>
  <si>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</si>
  <si>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</si>
  <si>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</si>
  <si>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</si>
  <si>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</si>
  <si>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</si>
  <si>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</si>
  <si>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</si>
  <si>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</si>
  <si>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</si>
  <si>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</si>
  <si>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</si>
  <si>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</si>
  <si>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</si>
  <si>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</si>
  <si>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</si>
  <si>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</si>
  <si>
    <t>年收入</t>
    <phoneticPr fontId="134" type="noConversion"/>
  </si>
  <si>
    <t>已出租面积</t>
    <phoneticPr fontId="7" type="noConversion"/>
  </si>
  <si>
    <t>扣除车库建面</t>
    <phoneticPr fontId="7" type="noConversion"/>
  </si>
  <si>
    <t>净收入</t>
    <phoneticPr fontId="134" type="noConversion"/>
  </si>
  <si>
    <t>自定义</t>
  </si>
  <si>
    <t>序号</t>
  </si>
  <si>
    <t>客户名称</t>
  </si>
  <si>
    <t>租赁单元</t>
  </si>
  <si>
    <r>
      <rPr>
        <b/>
        <sz val="10"/>
        <color theme="1"/>
        <rFont val="微软雅黑"/>
        <family val="2"/>
        <charset val="134"/>
      </rPr>
      <t>面积（</t>
    </r>
    <r>
      <rPr>
        <b/>
        <sz val="10"/>
        <color theme="1"/>
        <rFont val="宋体"/>
        <family val="3"/>
        <charset val="134"/>
      </rPr>
      <t>㎡</t>
    </r>
    <r>
      <rPr>
        <b/>
        <sz val="10"/>
        <color theme="1"/>
        <rFont val="微软雅黑"/>
        <family val="2"/>
        <charset val="134"/>
      </rPr>
      <t>）</t>
    </r>
  </si>
  <si>
    <t>租赁年限</t>
  </si>
  <si>
    <r>
      <rPr>
        <b/>
        <sz val="10"/>
        <color rgb="FF000000"/>
        <rFont val="微软雅黑"/>
        <family val="2"/>
        <charset val="134"/>
      </rPr>
      <t>首年租金单价      （天/</t>
    </r>
    <r>
      <rPr>
        <b/>
        <sz val="10"/>
        <color rgb="FF000000"/>
        <rFont val="宋体"/>
        <family val="3"/>
        <charset val="134"/>
      </rPr>
      <t>㎡</t>
    </r>
    <r>
      <rPr>
        <b/>
        <sz val="10"/>
        <color rgb="FF000000"/>
        <rFont val="微软雅黑"/>
        <family val="2"/>
        <charset val="134"/>
      </rPr>
      <t>）</t>
    </r>
  </si>
  <si>
    <t>首年月租金</t>
  </si>
  <si>
    <t>首年年租金</t>
  </si>
  <si>
    <t>租金递增</t>
  </si>
  <si>
    <t>租金押金</t>
  </si>
  <si>
    <r>
      <rPr>
        <b/>
        <sz val="10"/>
        <color theme="1"/>
        <rFont val="微软雅黑"/>
        <family val="2"/>
        <charset val="134"/>
      </rPr>
      <t>物业费单价     （天/</t>
    </r>
    <r>
      <rPr>
        <b/>
        <sz val="10"/>
        <color theme="1"/>
        <rFont val="宋体"/>
        <family val="3"/>
        <charset val="134"/>
      </rPr>
      <t>㎡</t>
    </r>
    <r>
      <rPr>
        <b/>
        <sz val="10"/>
        <color theme="1"/>
        <rFont val="微软雅黑"/>
        <family val="2"/>
        <charset val="134"/>
      </rPr>
      <t>）</t>
    </r>
  </si>
  <si>
    <t>物业费递增</t>
  </si>
  <si>
    <t>首年月物业费</t>
  </si>
  <si>
    <t>首年年物业费</t>
  </si>
  <si>
    <t>物业费押金</t>
  </si>
  <si>
    <t>制冷费</t>
  </si>
  <si>
    <t>供暖费</t>
  </si>
  <si>
    <t>租期总金额 （不含押金） 租金+物业费+车位费</t>
  </si>
  <si>
    <t>租期总租金        （不含押金）</t>
  </si>
  <si>
    <t>租期总物业费    （不含押金）</t>
  </si>
  <si>
    <t>合同签署及合作方式</t>
  </si>
  <si>
    <t>签约公司</t>
  </si>
  <si>
    <t>签约日期</t>
  </si>
  <si>
    <t>租赁日期</t>
  </si>
  <si>
    <t>免租期</t>
  </si>
  <si>
    <t>支付方式</t>
  </si>
  <si>
    <t>已支付租金</t>
  </si>
  <si>
    <t>已付租金起止日期</t>
  </si>
  <si>
    <t>已支付租赁押金</t>
  </si>
  <si>
    <t>已付物业费</t>
  </si>
  <si>
    <t>已付物业费起止日期</t>
  </si>
  <si>
    <t>已付物业费押金</t>
  </si>
  <si>
    <t>下一个支付日期</t>
  </si>
  <si>
    <t>需支付总额        租金+物业费</t>
  </si>
  <si>
    <t>需支付租金</t>
  </si>
  <si>
    <t>需支付物业费</t>
  </si>
  <si>
    <t>空调使用费</t>
  </si>
  <si>
    <t>中国银行保险传媒股份有限公司                           《中国农村金融》杂志社有限责任公司</t>
  </si>
  <si>
    <t>11层1-14</t>
  </si>
  <si>
    <t>10年</t>
  </si>
  <si>
    <t>每年递增2.7%</t>
  </si>
  <si>
    <t>每三年递增5%</t>
  </si>
  <si>
    <t>租赁合同+物业合同</t>
  </si>
  <si>
    <t>渡业商业+耕海物业</t>
  </si>
  <si>
    <t>2022.06.30</t>
  </si>
  <si>
    <t>2022年10月1日-2032年9月30日</t>
  </si>
  <si>
    <t>第一年：押三年付；第二年：押三付九；第三年：押三付六；第四年至第十年：押三付三</t>
  </si>
  <si>
    <t>2022.10.1-2023.09.30</t>
  </si>
  <si>
    <t>12层1-14</t>
  </si>
  <si>
    <t>B1层01</t>
  </si>
  <si>
    <t>长安责任保险股份有限公司北京市分公司</t>
  </si>
  <si>
    <t>5层06-08</t>
  </si>
  <si>
    <t>5年</t>
  </si>
  <si>
    <t>每两年递增5%</t>
  </si>
  <si>
    <t>好诚+耕海物业</t>
  </si>
  <si>
    <t>2022.07.01</t>
  </si>
  <si>
    <t>2022年10月1日-2027年9月30日</t>
  </si>
  <si>
    <t>185天</t>
  </si>
  <si>
    <t>押三付十二</t>
  </si>
  <si>
    <t>北京人寿保险股份有限公司北京分公司</t>
  </si>
  <si>
    <t>3层01-14</t>
  </si>
  <si>
    <t>第四年起每年递增3%</t>
  </si>
  <si>
    <t>好诚+渡业之家</t>
  </si>
  <si>
    <t>2022.09.09</t>
  </si>
  <si>
    <t>2022年10月21日-2027年10月20日</t>
  </si>
  <si>
    <t>61天</t>
  </si>
  <si>
    <t>押三付十二 首期支付两年</t>
  </si>
  <si>
    <t>2022.10.21-2024.10.20</t>
  </si>
  <si>
    <t>B1层02</t>
  </si>
  <si>
    <t>足迹汤泉（北京）健康管理有限公司</t>
  </si>
  <si>
    <t>8年</t>
  </si>
  <si>
    <t>每两年递增10%</t>
  </si>
  <si>
    <t>使用合同</t>
  </si>
  <si>
    <t>好诚</t>
  </si>
  <si>
    <t>2023.4.28</t>
  </si>
  <si>
    <t>2023年1月1日-2030年12月31日</t>
  </si>
  <si>
    <t>8个月</t>
  </si>
  <si>
    <t>押一付六</t>
  </si>
  <si>
    <t>B1层</t>
  </si>
  <si>
    <t>B2层</t>
  </si>
  <si>
    <t>北京麦当劳食品有限公司</t>
  </si>
  <si>
    <t>1层09-10</t>
  </si>
  <si>
    <t>15年</t>
  </si>
  <si>
    <t>首年免物业费，后边详细费用为第2-15年费用</t>
  </si>
  <si>
    <t>第一年：                                      营业额600万元以下，免租金；            营业额600万-1000万提6%；           营业额1000万-1400万提7%；         营业额1400万-1800万提8%；          营业额1800万以上提9%</t>
  </si>
  <si>
    <t>渡业商业</t>
  </si>
  <si>
    <t>2022.8.18</t>
  </si>
  <si>
    <t>2022年12月31日-2037年12月30日</t>
  </si>
  <si>
    <t>北京泰益堂万柳健康管理有限公司</t>
  </si>
  <si>
    <t>2层203</t>
  </si>
  <si>
    <t>第二年起每年递增3%</t>
  </si>
  <si>
    <t>2022.9.27</t>
  </si>
  <si>
    <t>2022年9月15日-2027年9月14日</t>
  </si>
  <si>
    <t>6.5个月</t>
  </si>
  <si>
    <t>押一付一</t>
  </si>
  <si>
    <t>2023.4.1-2023.5.31</t>
  </si>
  <si>
    <t>41336.28（一年空调使用费 冷+暖）</t>
  </si>
  <si>
    <t>2023年5月23月</t>
  </si>
  <si>
    <t>北京正合堂健康管理有限公司</t>
  </si>
  <si>
    <t>2层204</t>
  </si>
  <si>
    <t>18892.61（一年空调使用费 冷+暖）</t>
  </si>
  <si>
    <t>2023年6月23月</t>
  </si>
  <si>
    <t>茶馆</t>
  </si>
  <si>
    <t>2层07-08</t>
  </si>
  <si>
    <t>月营业额10万以下，0元；             月营业额10-15万，1.4元/天/平；       月营业额15-20万，3元/天/平；       月营业额20-30万，4元/天/平；        月营业额30-50万，5元/天/平；        月营业额50万以上，6元/天/平。</t>
  </si>
  <si>
    <t>渡业民安</t>
  </si>
  <si>
    <t>2022.10.20</t>
  </si>
  <si>
    <t>营业额达到10万开始收租金</t>
  </si>
  <si>
    <t>食堂</t>
  </si>
  <si>
    <t>B1</t>
  </si>
  <si>
    <t>1年</t>
  </si>
  <si>
    <t>月营业额流水10-20万（含20万）的，按总营业额5%计提；                    月营业额流水20-30万（含30万）的，按总营业额7%计提；               月营业额流水30万以上的，按总营业额10%计提；</t>
  </si>
  <si>
    <t>大堂吧</t>
  </si>
  <si>
    <t>1层11单元</t>
  </si>
  <si>
    <t>月营业额5万以下，0元；             月营业额5-7万，月销售额5%；       月营业额7-10万，月销售额7%；               月营业额10万以上，月销售额7%</t>
  </si>
  <si>
    <t>2022年11月1日-2032年10月31日</t>
  </si>
  <si>
    <t>B1便利店</t>
  </si>
  <si>
    <t>B1层11单元</t>
  </si>
  <si>
    <t>每两年递增3%</t>
  </si>
  <si>
    <t>2023年1月1日-2032年12月31日</t>
  </si>
  <si>
    <t>2个月</t>
  </si>
  <si>
    <t>2023.3.1-2023.4.31</t>
  </si>
  <si>
    <t>2023年4月22月</t>
  </si>
  <si>
    <t>中建六局华北建设有限公司</t>
  </si>
  <si>
    <t>9层02-11</t>
  </si>
  <si>
    <t>每年递增2.5%</t>
  </si>
  <si>
    <t>2022.12.09</t>
  </si>
  <si>
    <t>2022年12月7日-2027年12月6日</t>
  </si>
  <si>
    <t>押三付三</t>
  </si>
  <si>
    <t>2023.3.7-2023.6.6</t>
  </si>
  <si>
    <t>2022.12.7-2023.6.6</t>
  </si>
  <si>
    <t>北京食粤天湘餐饮管理有限公司</t>
  </si>
  <si>
    <t>1层07-08</t>
  </si>
  <si>
    <t>每年递增3%</t>
  </si>
  <si>
    <t>好诚+渡业民安</t>
  </si>
  <si>
    <t>2023.02.16</t>
  </si>
  <si>
    <t>2023年3月1日-2033年2月28日</t>
  </si>
  <si>
    <t>6个月</t>
  </si>
  <si>
    <t>押二付三</t>
  </si>
  <si>
    <t>免租期
至2023年8月31日</t>
  </si>
  <si>
    <t>2023.3.1-2023.5.31</t>
  </si>
  <si>
    <t>8月23日支付</t>
  </si>
  <si>
    <t>5层01、02、14</t>
  </si>
  <si>
    <t>2023.02.01</t>
  </si>
  <si>
    <t>2023年3月1日-2028年2月29日</t>
  </si>
  <si>
    <t>4个月</t>
  </si>
  <si>
    <t>2023.7.1-2024.2.29</t>
  </si>
  <si>
    <t>2023.3.1-2024.2.29</t>
  </si>
  <si>
    <t>北京喜达来广告制作中心</t>
  </si>
  <si>
    <t>一层13单元</t>
  </si>
  <si>
    <t>6年</t>
  </si>
  <si>
    <t>第三年起在3.8元基础上每两年递增5%</t>
  </si>
  <si>
    <t>2023.03.27</t>
  </si>
  <si>
    <t>2023年5月10日-2029年5月9日</t>
  </si>
  <si>
    <t>1个月</t>
  </si>
  <si>
    <t>2023.6.10-2023.8.9</t>
  </si>
  <si>
    <t>2023.5.10-2023.8.9</t>
  </si>
  <si>
    <t>北京中微知著知识产权代理事务所（特殊普通合伙）</t>
  </si>
  <si>
    <t>13层1306</t>
  </si>
  <si>
    <t>2年</t>
  </si>
  <si>
    <t>服务合同</t>
  </si>
  <si>
    <t>2023年5月10日-2025年5月9日</t>
  </si>
  <si>
    <t>京乐机电制冷设备（北京）有限公司</t>
  </si>
  <si>
    <t>13层1331</t>
  </si>
  <si>
    <t>2023.3.31</t>
  </si>
  <si>
    <t>2023年4月15日-2024年4月14日</t>
  </si>
  <si>
    <t>2023.4.15-2023.7.14</t>
  </si>
  <si>
    <t>成都悦飨餐饮有限公司</t>
  </si>
  <si>
    <t>2号楼1-2层</t>
  </si>
  <si>
    <t>第三年起每两年递增4%</t>
  </si>
  <si>
    <t>2023年4月15日-2033年4月14日</t>
  </si>
  <si>
    <t>押一付三</t>
  </si>
  <si>
    <t>2023.10.15-2024.1.14</t>
  </si>
  <si>
    <t>2023.7.15-2023.10.14</t>
  </si>
  <si>
    <t>北京京心云健康管理服务有限公司</t>
  </si>
  <si>
    <r>
      <rPr>
        <sz val="10"/>
        <color rgb="FFFF0000"/>
        <rFont val="微软雅黑"/>
        <family val="2"/>
        <charset val="134"/>
      </rPr>
      <t>13层1318</t>
    </r>
    <r>
      <rPr>
        <sz val="10"/>
        <color theme="1"/>
        <rFont val="微软雅黑"/>
        <family val="2"/>
        <charset val="134"/>
      </rPr>
      <t xml:space="preserve">         </t>
    </r>
    <r>
      <rPr>
        <b/>
        <sz val="10"/>
        <rFont val="微软雅黑"/>
        <family val="2"/>
        <charset val="134"/>
      </rPr>
      <t>换房间至1327</t>
    </r>
  </si>
  <si>
    <t>2024.1.3</t>
  </si>
  <si>
    <t>2023年5月10日-2024年5月9日</t>
  </si>
  <si>
    <t>2024.1.10-2024.2.9</t>
  </si>
  <si>
    <t>律师事务所</t>
  </si>
  <si>
    <t>2层09-10</t>
  </si>
  <si>
    <t>3年</t>
  </si>
  <si>
    <t>2023.5.15</t>
  </si>
  <si>
    <t>2023年5月15日-2026年5月14日</t>
  </si>
  <si>
    <t>北京可为保险代理有限公司（退租）</t>
  </si>
  <si>
    <t>13层1301</t>
  </si>
  <si>
    <t>2023.4.24</t>
  </si>
  <si>
    <t>2023年6月1日-2025年5月31日</t>
  </si>
  <si>
    <t>2023.6.1-2023.8.31</t>
  </si>
  <si>
    <t>北京宗尚信息技术咨询有限公司（退租）</t>
  </si>
  <si>
    <t>13层1308</t>
  </si>
  <si>
    <t>2023年5月1日-2024年4月30日</t>
  </si>
  <si>
    <t>押1万付六</t>
  </si>
  <si>
    <t>2023.5.1-2023.10.31</t>
  </si>
  <si>
    <t>新疆兴宏泰股份有限公司</t>
  </si>
  <si>
    <t>13层1302</t>
  </si>
  <si>
    <t>2023.4.30</t>
  </si>
  <si>
    <t>万好思咨询服务（北京）有限责任公司</t>
  </si>
  <si>
    <t>13层1330</t>
  </si>
  <si>
    <t>2023年5月8日-2024年5月7日</t>
  </si>
  <si>
    <t>押二付六</t>
  </si>
  <si>
    <t>2023.5.8-2023.11.7</t>
  </si>
  <si>
    <t>海南华屹药业有限公司</t>
  </si>
  <si>
    <t>13层1310</t>
  </si>
  <si>
    <t>2023年5月4日-2026年5月3日</t>
  </si>
  <si>
    <t>21天</t>
  </si>
  <si>
    <t>押二付一年</t>
  </si>
  <si>
    <t>2023.5.25-2024.5.3</t>
  </si>
  <si>
    <t>方元智新(北京)科技有限公司</t>
  </si>
  <si>
    <t>13层1328</t>
  </si>
  <si>
    <t>2023.5.9</t>
  </si>
  <si>
    <t>2023年5月20日-2024年5月19日</t>
  </si>
  <si>
    <t>2023.5.20-2023.8.19</t>
  </si>
  <si>
    <t>星徽律所</t>
  </si>
  <si>
    <t>2层209A房间</t>
  </si>
  <si>
    <t>2023.5.11</t>
  </si>
  <si>
    <t>2023年5月1日-2023年7月31日</t>
  </si>
  <si>
    <t>付三</t>
  </si>
  <si>
    <t>2023.5.1-2023.7.31</t>
  </si>
  <si>
    <t>中亮健康管理有限公司（退租）</t>
  </si>
  <si>
    <t>13层1322、1327</t>
  </si>
  <si>
    <t>2023.5.12</t>
  </si>
  <si>
    <t>7天</t>
  </si>
  <si>
    <t>2023.6.8-2023.8.31</t>
  </si>
  <si>
    <t>北京欧派阳光暖通科技有限公司</t>
  </si>
  <si>
    <t>5层505单元</t>
  </si>
  <si>
    <t>2023.6.1</t>
  </si>
  <si>
    <t>2023年6月1日-2024年5月31日</t>
  </si>
  <si>
    <t>押三付二</t>
  </si>
  <si>
    <t>2023.6.1-2023.7.31</t>
  </si>
  <si>
    <t>2023年7月23月</t>
  </si>
  <si>
    <t>循真未来(北京)传媒有限公司（退租）</t>
  </si>
  <si>
    <t>13层1329</t>
  </si>
  <si>
    <t>2023.6.8</t>
  </si>
  <si>
    <t>2023年7月1日-2024年6月30日</t>
  </si>
  <si>
    <t>2023.7.1-2023.9.30</t>
  </si>
  <si>
    <t>北京泽录科技有限公司（退租）</t>
  </si>
  <si>
    <t>13层1332</t>
  </si>
  <si>
    <t>2023.6.14</t>
  </si>
  <si>
    <t>2023年7月1日-2025年6月30日</t>
  </si>
  <si>
    <t>2023.07.01-2023.12.31</t>
  </si>
  <si>
    <t>北京恒美怡医疗科技有限公司</t>
  </si>
  <si>
    <r>
      <rPr>
        <sz val="10"/>
        <color rgb="FFFF0000"/>
        <rFont val="微软雅黑"/>
        <family val="2"/>
        <charset val="134"/>
      </rPr>
      <t xml:space="preserve">13层1325  </t>
    </r>
    <r>
      <rPr>
        <sz val="10"/>
        <color theme="1"/>
        <rFont val="微软雅黑"/>
        <family val="2"/>
        <charset val="134"/>
      </rPr>
      <t xml:space="preserve">       </t>
    </r>
    <r>
      <rPr>
        <b/>
        <sz val="10"/>
        <rFont val="微软雅黑"/>
        <family val="2"/>
        <charset val="134"/>
      </rPr>
      <t>换房间至1332</t>
    </r>
  </si>
  <si>
    <t>2023年7月15日-2025年7月14日</t>
  </si>
  <si>
    <t>2024.1.15-2024.4.14</t>
  </si>
  <si>
    <t>北京市丰台区保障性住房发展有限公司</t>
  </si>
  <si>
    <t>6层10-15单元</t>
  </si>
  <si>
    <t>2023.6.16</t>
  </si>
  <si>
    <t>2023年9月15日-2026年9月14日</t>
  </si>
  <si>
    <t>押三付一年</t>
  </si>
  <si>
    <t>2023.9.15-2024.9.14</t>
  </si>
  <si>
    <t>《中国产经》杂志社有限公司（退租）</t>
  </si>
  <si>
    <t>13层1319</t>
  </si>
  <si>
    <t>耕海创联租赁合同</t>
  </si>
  <si>
    <t>2023.6.19</t>
  </si>
  <si>
    <t>2023年6月20日-2024年6月19日</t>
  </si>
  <si>
    <t>2023.6.20-2023.9.19</t>
  </si>
  <si>
    <t>华夏晟大（北京）健康管理有限公司</t>
  </si>
  <si>
    <t>13层1317</t>
  </si>
  <si>
    <t>2023.6.20</t>
  </si>
  <si>
    <t>2023年7月15日-2024年7月14日</t>
  </si>
  <si>
    <t>太乙堂健康管理(北京)有限公司</t>
  </si>
  <si>
    <t>5层09-11单元</t>
  </si>
  <si>
    <t>4年</t>
  </si>
  <si>
    <t>每两年递增 5%</t>
  </si>
  <si>
    <t>渡业商业+渡业之家</t>
  </si>
  <si>
    <t>2023.7.7</t>
  </si>
  <si>
    <t>2023年8月1日-2027年7月31日</t>
  </si>
  <si>
    <t>3+1个月</t>
  </si>
  <si>
    <t>2023.11.1-2024.1.31</t>
  </si>
  <si>
    <t>2023.9.1-2023.10.31</t>
  </si>
  <si>
    <t>北京天海寰宇科贸有限公司</t>
  </si>
  <si>
    <t>13层1312</t>
  </si>
  <si>
    <t>2023.7.20</t>
  </si>
  <si>
    <t>2023年8月1日-2025年7月31日</t>
  </si>
  <si>
    <t>10天</t>
  </si>
  <si>
    <t>2023.8.11-2023.10.31</t>
  </si>
  <si>
    <t>13层1316</t>
  </si>
  <si>
    <t>浙江英集动力科技有限公司</t>
  </si>
  <si>
    <t>13层1309</t>
  </si>
  <si>
    <t>2023.7.29</t>
  </si>
  <si>
    <t>2023年8月1日-2024年7月31日</t>
  </si>
  <si>
    <t>北京圣格斯服装服饰有限公司</t>
  </si>
  <si>
    <t>13层1320</t>
  </si>
  <si>
    <t>2023.8.3</t>
  </si>
  <si>
    <t>2023年9月1日-2025年8月31日</t>
  </si>
  <si>
    <t>2023.10.1-2023.11.30</t>
  </si>
  <si>
    <t>北京斯芬尼克国际贸易有限公司</t>
  </si>
  <si>
    <t>13层1321</t>
  </si>
  <si>
    <t>2023.8.17</t>
  </si>
  <si>
    <t>2023.9.1-2024.2.29</t>
  </si>
  <si>
    <t>深圳观麦网络科技有限公司（退租）</t>
  </si>
  <si>
    <t>13层1307</t>
  </si>
  <si>
    <t>2023.8.24</t>
  </si>
  <si>
    <t>2023年8月8日-2024年8月7日</t>
  </si>
  <si>
    <t>2023.8.8-2023.9.7</t>
  </si>
  <si>
    <t>北京华夏大画教育科技发展中心</t>
  </si>
  <si>
    <r>
      <rPr>
        <sz val="10"/>
        <color rgb="FFFF0000"/>
        <rFont val="微软雅黑"/>
        <family val="2"/>
        <charset val="134"/>
      </rPr>
      <t>13层1311</t>
    </r>
    <r>
      <rPr>
        <sz val="10"/>
        <color theme="1"/>
        <rFont val="微软雅黑"/>
        <family val="2"/>
        <charset val="134"/>
      </rPr>
      <t xml:space="preserve">          </t>
    </r>
    <r>
      <rPr>
        <b/>
        <sz val="10"/>
        <rFont val="微软雅黑"/>
        <family val="2"/>
        <charset val="134"/>
      </rPr>
      <t>换房间至1329</t>
    </r>
  </si>
  <si>
    <t>2023年10月22日-2024年10月21日</t>
  </si>
  <si>
    <t>29827.8（施春霖）</t>
  </si>
  <si>
    <t>江苏惠都科技 张富贵（退租）</t>
  </si>
  <si>
    <t>13层1326</t>
  </si>
  <si>
    <t>2023年9月5日-2024年9月4日</t>
  </si>
  <si>
    <t>2023.9.5-2023.12.4</t>
  </si>
  <si>
    <t>9层01、12-14</t>
  </si>
  <si>
    <t>4年3个月</t>
  </si>
  <si>
    <t>2023.9.15</t>
  </si>
  <si>
    <t>2023年9月7日-2027年12月6日</t>
  </si>
  <si>
    <t>2023.12.7-2024.3.6</t>
  </si>
  <si>
    <t>顺天鑫融国际投资（北京）有限公司</t>
  </si>
  <si>
    <t>13层1305</t>
  </si>
  <si>
    <t>2023.10.10</t>
  </si>
  <si>
    <t>2023年10月15日-2025年10月14日</t>
  </si>
  <si>
    <t>2023.10.15-2024.10.14</t>
  </si>
  <si>
    <t>刘超(北京幸福口腔医院管理有限公司)</t>
  </si>
  <si>
    <t>5层505-1-2</t>
  </si>
  <si>
    <t>2023.10.16</t>
  </si>
  <si>
    <t>2023年11月1日-2024年10月31日</t>
  </si>
  <si>
    <t>2023.12.1-2024.1.31</t>
  </si>
  <si>
    <t>中水建管（北京）工程咨询有限公司</t>
  </si>
  <si>
    <t>13层1313</t>
  </si>
  <si>
    <t>2023年6月1日-2026年5月31日</t>
  </si>
  <si>
    <t>2023.6.1-2023.11.30</t>
  </si>
  <si>
    <t>北京玛达科技有限公司</t>
  </si>
  <si>
    <t>6层609单元</t>
  </si>
  <si>
    <t>2023年10月18日-2026年10月17日</t>
  </si>
  <si>
    <t>2023.11.18-2024.2.17</t>
  </si>
  <si>
    <t>北京纳测科技有限公司</t>
  </si>
  <si>
    <t>13层1303</t>
  </si>
  <si>
    <t>2023年10月20日-2025年10月19日</t>
  </si>
  <si>
    <t>2023.11.20-2024.4.19</t>
  </si>
  <si>
    <t>美容美发 郭建勇</t>
  </si>
  <si>
    <t>1层12单元</t>
  </si>
  <si>
    <t>5万以上10%</t>
  </si>
  <si>
    <t>协议书</t>
  </si>
  <si>
    <t>2023.10.24</t>
  </si>
  <si>
    <t>2023年11月1日-2028年10月31日</t>
  </si>
  <si>
    <t>北京戎屹健身中心</t>
  </si>
  <si>
    <t>B2层01-03</t>
  </si>
  <si>
    <t>14个月</t>
  </si>
  <si>
    <t>250万15%</t>
  </si>
  <si>
    <t>2023.10.26</t>
  </si>
  <si>
    <t>2023年11月1日-2024年12月31日</t>
  </si>
  <si>
    <t>北京易读图书有限公司</t>
  </si>
  <si>
    <t>1层11、14/B1</t>
  </si>
  <si>
    <t>一层8、B15</t>
  </si>
  <si>
    <t>1层06单元</t>
  </si>
  <si>
    <t>10万20%</t>
  </si>
  <si>
    <t>使用协议</t>
  </si>
  <si>
    <t>2023.10.23</t>
  </si>
  <si>
    <t>2023年12月1日-2024年11月30日</t>
  </si>
  <si>
    <t>广州宇洪科技股份有限公司</t>
  </si>
  <si>
    <t>13层1307-1</t>
  </si>
  <si>
    <t>租赁合同</t>
  </si>
  <si>
    <t>2023.10.30</t>
  </si>
  <si>
    <t>2023年11月1日-2025年10月31日</t>
  </si>
  <si>
    <t>北京华谊劳务服务有限公司</t>
  </si>
  <si>
    <t>13层1323</t>
  </si>
  <si>
    <t>2023.11.28</t>
  </si>
  <si>
    <t>2023年11月20日-2025年11月19日</t>
  </si>
  <si>
    <t>2023.12.20-2024.2.19</t>
  </si>
  <si>
    <t>北京芝宇商业管理有限公司 （退租）</t>
  </si>
  <si>
    <t>2023.11.17</t>
  </si>
  <si>
    <t>2023年12月1日-2025年11月30日</t>
  </si>
  <si>
    <t>2023.12.1-2024.2.29</t>
  </si>
  <si>
    <t>江苏省建筑设计研究院股份有限公司北京分公司</t>
  </si>
  <si>
    <t>13层1311</t>
  </si>
  <si>
    <t>2024.1.1-2024.2.29</t>
  </si>
  <si>
    <t>中进汽贸服务有限公司</t>
  </si>
  <si>
    <t>8层01-14</t>
  </si>
  <si>
    <t>渡业商业+渡业民安</t>
  </si>
  <si>
    <t>2023.12.14</t>
  </si>
  <si>
    <t>2024年1月1日-2033年12月31日</t>
  </si>
  <si>
    <t>2024.2.1-2024.12.31</t>
  </si>
  <si>
    <t>北京安博慧联科技有限公司</t>
  </si>
  <si>
    <t>13层1318</t>
  </si>
  <si>
    <t>2024.1.5</t>
  </si>
  <si>
    <t>2024年1月10日-2026年1月9日</t>
  </si>
  <si>
    <t>2024.2.10-2024.4.9</t>
  </si>
  <si>
    <t>广东粤海水务投资有限公司</t>
  </si>
  <si>
    <t>5层504</t>
  </si>
  <si>
    <t>2023.12.28</t>
  </si>
  <si>
    <t>2024年2月24日-2026年2月23日</t>
  </si>
  <si>
    <t>无押年付</t>
  </si>
  <si>
    <t>2024.2.24-2025.2.23</t>
  </si>
  <si>
    <t>北京禧物集信息咨询中心</t>
  </si>
  <si>
    <t>2层205</t>
  </si>
  <si>
    <t>押0付三</t>
  </si>
  <si>
    <t>汇泰睿洋(北京)科技有限公司</t>
  </si>
  <si>
    <t>13层1322</t>
  </si>
  <si>
    <t>2024.3.5</t>
  </si>
  <si>
    <t>2024年3月11日-2025年3月10日</t>
  </si>
  <si>
    <t>2024.4.11-2024.6.10</t>
  </si>
  <si>
    <t>广州星火深智科技有限公司北京科技分公司</t>
  </si>
  <si>
    <t>6层603-1</t>
  </si>
  <si>
    <t>2024年3月5日-2025年3月4日</t>
  </si>
  <si>
    <t>15天</t>
  </si>
  <si>
    <t>2024.3.20-2024.6.4</t>
  </si>
  <si>
    <t>2024.3.5-2024.6.4</t>
  </si>
  <si>
    <t>小螺波特(北京)餐饮科技有限公司</t>
  </si>
  <si>
    <t>美食广场E档口</t>
  </si>
  <si>
    <t>提点</t>
  </si>
  <si>
    <t>海绵城市投资有限公司</t>
  </si>
  <si>
    <t>5 层12 单元</t>
  </si>
  <si>
    <t>2024.3.12</t>
  </si>
  <si>
    <t>2024年2月24日-2027年2月23日</t>
  </si>
  <si>
    <t>海南仁信祺润投资有限公司</t>
  </si>
  <si>
    <t>6层603-2</t>
  </si>
  <si>
    <t>2024.3.13</t>
  </si>
  <si>
    <t>2024年3月15日-2027年3月14日</t>
  </si>
  <si>
    <t>深圳猎农网络科技有限公司</t>
  </si>
  <si>
    <t>2024年3月15日-2025年3月14日</t>
  </si>
  <si>
    <t>半个月</t>
  </si>
  <si>
    <t>2024.4.1-2024.6.14</t>
  </si>
  <si>
    <t>西安启味贸易有限公司</t>
  </si>
  <si>
    <t>2024.3.21</t>
  </si>
  <si>
    <t>2024年4月1日-2026年3月31日</t>
  </si>
  <si>
    <t>2024.5.1-2024.9.30</t>
  </si>
  <si>
    <t>2024年9月23</t>
  </si>
  <si>
    <t>总计</t>
  </si>
  <si>
    <t>押金总计</t>
  </si>
  <si>
    <t>首年租金+物业费总计</t>
  </si>
  <si>
    <t>出租率</t>
    <phoneticPr fontId="134" type="noConversion"/>
  </si>
  <si>
    <t>办公</t>
    <phoneticPr fontId="134" type="noConversion"/>
  </si>
  <si>
    <t>商业</t>
    <phoneticPr fontId="134" type="noConversion"/>
  </si>
  <si>
    <t>负2</t>
    <phoneticPr fontId="134" type="noConversion"/>
  </si>
  <si>
    <t>负1</t>
    <phoneticPr fontId="134" type="noConversion"/>
  </si>
  <si>
    <t>1层</t>
    <phoneticPr fontId="134" type="noConversion"/>
  </si>
  <si>
    <t>2层</t>
    <phoneticPr fontId="134" type="noConversion"/>
  </si>
  <si>
    <r>
      <t>1</t>
    </r>
    <r>
      <rPr>
        <sz val="11"/>
        <color theme="1"/>
        <rFont val="宋体"/>
        <family val="3"/>
        <charset val="134"/>
        <scheme val="minor"/>
      </rPr>
      <t>-2混</t>
    </r>
    <phoneticPr fontId="134" type="noConversion"/>
  </si>
  <si>
    <t>负1、1层</t>
    <phoneticPr fontId="134" type="noConversion"/>
  </si>
  <si>
    <t>3层</t>
    <phoneticPr fontId="134" type="noConversion"/>
  </si>
  <si>
    <t>4层</t>
    <phoneticPr fontId="134" type="noConversion"/>
  </si>
  <si>
    <t>5层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</si>
</sst>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Red]0.00"/>
    <numFmt numFmtId="197"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theme="1"/>
      <name val="微软雅黑"/>
      <family val="2"/>
      <charset val="134"/>
    </font>
    <font>
      <b/>
      <sz val="10"/>
      <color rgb="FF000000"/>
      <name val="微软雅黑"/>
      <family val="2"/>
      <charset val="134"/>
    </font>
    <font>
      <b/>
      <sz val="10"/>
      <color rgb="FF000000"/>
      <name val="宋体"/>
      <family val="3"/>
      <charset val="134"/>
    </font>
    <font>
      <sz val="10"/>
      <color theme="1"/>
      <name val="微软雅黑"/>
      <family val="2"/>
      <charset val="134"/>
    </font>
    <font>
      <sz val="10"/>
      <color rgb="FF000000"/>
      <name val="微软雅黑"/>
      <family val="2"/>
      <charset val="134"/>
    </font>
    <font>
      <sz val="11"/>
      <color theme="1"/>
      <name val="微软雅黑"/>
      <family val="2"/>
      <charset val="134"/>
    </font>
    <font>
      <sz val="8"/>
      <color theme="1"/>
      <name val="微软雅黑"/>
      <family val="2"/>
      <charset val="134"/>
    </font>
    <font>
      <sz val="10"/>
      <color rgb="FFFF0000"/>
      <name val="微软雅黑"/>
      <family val="2"/>
      <charset val="134"/>
    </font>
    <font>
      <b/>
      <sz val="10"/>
      <name val="微软雅黑"/>
      <family val="2"/>
      <charset val="134"/>
    </font>
    <font>
      <b/>
      <sz val="10"/>
      <color rgb="FFFF0000"/>
      <name val="微软雅黑"/>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F0F323"/>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41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4" fillId="0" borderId="0" xfId="0" applyFont="1" applyProtection="1">
      <alignment vertical="center"/>
      <protection locked="0"/>
    </xf>
    <xf numFmtId="0" fontId="128" fillId="0" borderId="0" xfId="0" applyFont="1" applyProtection="1">
      <alignment vertical="center"/>
      <protection locked="0"/>
    </xf>
    <xf numFmtId="0" fontId="269" fillId="0" borderId="1" xfId="10" applyFont="1" applyBorder="1" applyAlignment="1">
      <alignment horizontal="center" vertical="center"/>
    </xf>
    <xf numFmtId="0" fontId="269" fillId="0" borderId="5" xfId="10" applyFont="1" applyBorder="1" applyAlignment="1">
      <alignment horizontal="center" vertical="center"/>
    </xf>
    <xf numFmtId="0" fontId="270" fillId="22" borderId="1" xfId="10" applyFont="1" applyFill="1" applyBorder="1" applyAlignment="1">
      <alignment horizontal="center" vertical="center" wrapText="1"/>
    </xf>
    <xf numFmtId="0" fontId="269" fillId="22" borderId="1" xfId="10" applyFont="1" applyFill="1" applyBorder="1" applyAlignment="1">
      <alignment horizontal="center" vertical="center"/>
    </xf>
    <xf numFmtId="0" fontId="270" fillId="22" borderId="1" xfId="10" applyFont="1" applyFill="1" applyBorder="1" applyAlignment="1">
      <alignment horizontal="center" vertical="center"/>
    </xf>
    <xf numFmtId="0" fontId="269" fillId="23" borderId="1" xfId="10" applyFont="1" applyFill="1" applyBorder="1" applyAlignment="1">
      <alignment horizontal="center" vertical="center" wrapText="1"/>
    </xf>
    <xf numFmtId="0" fontId="270" fillId="23" borderId="1" xfId="10" applyFont="1" applyFill="1" applyBorder="1" applyAlignment="1">
      <alignment horizontal="center" vertical="center"/>
    </xf>
    <xf numFmtId="0" fontId="269" fillId="23" borderId="1" xfId="10" applyFont="1" applyFill="1" applyBorder="1" applyAlignment="1">
      <alignment horizontal="center" vertical="center"/>
    </xf>
    <xf numFmtId="0" fontId="269" fillId="23" borderId="5" xfId="10" applyFont="1" applyFill="1" applyBorder="1" applyAlignment="1">
      <alignment horizontal="center" vertical="center"/>
    </xf>
    <xf numFmtId="0" fontId="269" fillId="24" borderId="5" xfId="10" applyFont="1" applyFill="1" applyBorder="1" applyAlignment="1">
      <alignment horizontal="center" vertical="center"/>
    </xf>
    <xf numFmtId="0" fontId="269" fillId="24" borderId="1" xfId="10" applyFont="1" applyFill="1" applyBorder="1" applyAlignment="1">
      <alignment horizontal="center" vertical="center" wrapText="1"/>
    </xf>
    <xf numFmtId="0" fontId="269" fillId="25" borderId="1" xfId="10" applyFont="1" applyFill="1" applyBorder="1" applyAlignment="1">
      <alignment horizontal="center" vertical="center" wrapText="1"/>
    </xf>
    <xf numFmtId="0" fontId="269" fillId="26" borderId="1" xfId="10" applyFont="1" applyFill="1" applyBorder="1" applyAlignment="1">
      <alignment horizontal="center" vertical="center"/>
    </xf>
    <xf numFmtId="0" fontId="272" fillId="27" borderId="1" xfId="10" applyFont="1" applyFill="1" applyBorder="1" applyAlignment="1">
      <alignment horizontal="center" vertical="center"/>
    </xf>
    <xf numFmtId="0" fontId="272" fillId="27" borderId="1" xfId="10" applyFont="1" applyFill="1" applyBorder="1" applyAlignment="1">
      <alignment horizontal="center" vertical="center" wrapText="1"/>
    </xf>
    <xf numFmtId="0" fontId="272" fillId="28" borderId="1" xfId="10" applyFont="1" applyFill="1" applyBorder="1" applyAlignment="1">
      <alignment horizontal="center" vertical="center"/>
    </xf>
    <xf numFmtId="0" fontId="272" fillId="28" borderId="54" xfId="10" applyFont="1" applyFill="1" applyBorder="1" applyAlignment="1">
      <alignment horizontal="center" vertical="center" wrapText="1"/>
    </xf>
    <xf numFmtId="0" fontId="272" fillId="0" borderId="0" xfId="10" applyFont="1" applyAlignment="1">
      <alignment horizontal="center" vertical="center"/>
    </xf>
    <xf numFmtId="0" fontId="272" fillId="0" borderId="1" xfId="10" applyFont="1" applyBorder="1" applyAlignment="1">
      <alignment horizontal="center" vertical="center"/>
    </xf>
    <xf numFmtId="0" fontId="272" fillId="0" borderId="46" xfId="10" applyFont="1" applyBorder="1" applyAlignment="1">
      <alignment horizontal="center" vertical="center" wrapText="1"/>
    </xf>
    <xf numFmtId="0" fontId="273" fillId="0" borderId="1" xfId="10" applyFont="1" applyBorder="1" applyAlignment="1">
      <alignment horizontal="center" vertical="center"/>
    </xf>
    <xf numFmtId="0" fontId="273" fillId="0" borderId="1" xfId="10" applyFont="1" applyBorder="1" applyAlignment="1">
      <alignment horizontal="center" vertical="center" wrapText="1"/>
    </xf>
    <xf numFmtId="0" fontId="273" fillId="22" borderId="1" xfId="10" applyFont="1" applyFill="1" applyBorder="1" applyAlignment="1">
      <alignment horizontal="center" vertical="center"/>
    </xf>
    <xf numFmtId="0" fontId="273" fillId="22" borderId="1" xfId="10" applyFont="1" applyFill="1" applyBorder="1" applyAlignment="1">
      <alignment horizontal="center" vertical="center"/>
    </xf>
    <xf numFmtId="0" fontId="272" fillId="22" borderId="1" xfId="10" applyFont="1" applyFill="1" applyBorder="1" applyAlignment="1">
      <alignment horizontal="center" vertical="center"/>
    </xf>
    <xf numFmtId="10" fontId="272" fillId="22" borderId="1" xfId="10" applyNumberFormat="1" applyFont="1" applyFill="1" applyBorder="1" applyAlignment="1">
      <alignment horizontal="center" vertical="center"/>
    </xf>
    <xf numFmtId="0" fontId="272" fillId="23" borderId="13" xfId="10" applyFont="1" applyFill="1" applyBorder="1" applyAlignment="1">
      <alignment horizontal="center" vertical="center"/>
    </xf>
    <xf numFmtId="0" fontId="272" fillId="23" borderId="1" xfId="10" applyFont="1" applyFill="1" applyBorder="1" applyAlignment="1">
      <alignment horizontal="center" vertical="center"/>
    </xf>
    <xf numFmtId="0" fontId="272" fillId="23" borderId="5" xfId="10" applyFont="1" applyFill="1" applyBorder="1" applyAlignment="1">
      <alignment horizontal="center" vertical="center"/>
    </xf>
    <xf numFmtId="0" fontId="272" fillId="24" borderId="13" xfId="10" applyFont="1" applyFill="1" applyBorder="1" applyAlignment="1">
      <alignment horizontal="center" vertical="center"/>
    </xf>
    <xf numFmtId="0" fontId="272" fillId="24" borderId="46" xfId="10" applyFont="1" applyFill="1" applyBorder="1" applyAlignment="1">
      <alignment horizontal="center" vertical="center"/>
    </xf>
    <xf numFmtId="179" fontId="272" fillId="24" borderId="1" xfId="10" applyNumberFormat="1" applyFont="1" applyFill="1" applyBorder="1" applyAlignment="1">
      <alignment horizontal="center" vertical="center"/>
    </xf>
    <xf numFmtId="0" fontId="272" fillId="25" borderId="1" xfId="10" applyFont="1" applyFill="1" applyBorder="1" applyAlignment="1">
      <alignment horizontal="center" vertical="center"/>
    </xf>
    <xf numFmtId="0" fontId="272" fillId="26" borderId="13" xfId="10" applyFont="1" applyFill="1" applyBorder="1" applyAlignment="1">
      <alignment horizontal="center" vertical="center"/>
    </xf>
    <xf numFmtId="0" fontId="272" fillId="0" borderId="13" xfId="10" applyFont="1" applyBorder="1" applyAlignment="1">
      <alignment horizontal="center" vertical="center" wrapText="1"/>
    </xf>
    <xf numFmtId="0" fontId="272" fillId="0" borderId="1" xfId="10" applyFont="1" applyBorder="1" applyAlignment="1">
      <alignment horizontal="left" vertical="center" wrapText="1"/>
    </xf>
    <xf numFmtId="0" fontId="272" fillId="27" borderId="13" xfId="10" applyFont="1" applyFill="1" applyBorder="1" applyAlignment="1">
      <alignment horizontal="center" vertical="center" wrapText="1"/>
    </xf>
    <xf numFmtId="0" fontId="269" fillId="27" borderId="13" xfId="10" applyFont="1" applyFill="1" applyBorder="1" applyAlignment="1">
      <alignment horizontal="center" vertical="center"/>
    </xf>
    <xf numFmtId="0" fontId="272" fillId="27" borderId="13" xfId="10" applyFont="1" applyFill="1" applyBorder="1" applyAlignment="1">
      <alignment horizontal="center" vertical="center"/>
    </xf>
    <xf numFmtId="183" fontId="272" fillId="28" borderId="13" xfId="10" applyNumberFormat="1" applyFont="1" applyFill="1" applyBorder="1" applyAlignment="1">
      <alignment horizontal="center" vertical="center"/>
    </xf>
    <xf numFmtId="0" fontId="272" fillId="28" borderId="36" xfId="10" applyFont="1" applyFill="1" applyBorder="1" applyAlignment="1">
      <alignment horizontal="center" vertical="center"/>
    </xf>
    <xf numFmtId="0" fontId="272" fillId="28" borderId="13" xfId="10" applyNumberFormat="1" applyFont="1" applyFill="1" applyBorder="1" applyAlignment="1">
      <alignment horizontal="center" vertical="center"/>
    </xf>
    <xf numFmtId="0" fontId="272" fillId="28" borderId="13" xfId="10" applyFont="1" applyFill="1" applyBorder="1" applyAlignment="1">
      <alignment horizontal="center" vertical="center"/>
    </xf>
    <xf numFmtId="0" fontId="272" fillId="0" borderId="1" xfId="10" applyFont="1" applyBorder="1" applyAlignment="1">
      <alignment horizontal="center" vertical="center"/>
    </xf>
    <xf numFmtId="0" fontId="272" fillId="0" borderId="58" xfId="10" applyFont="1" applyBorder="1" applyAlignment="1">
      <alignment horizontal="center" vertical="center" wrapText="1"/>
    </xf>
    <xf numFmtId="0" fontId="272" fillId="23" borderId="15" xfId="10" applyFont="1" applyFill="1" applyBorder="1" applyAlignment="1">
      <alignment horizontal="center" vertical="center"/>
    </xf>
    <xf numFmtId="0" fontId="272" fillId="24" borderId="15" xfId="10" applyFont="1" applyFill="1" applyBorder="1" applyAlignment="1">
      <alignment horizontal="center" vertical="center"/>
    </xf>
    <xf numFmtId="0" fontId="272" fillId="24" borderId="58" xfId="10" applyFont="1" applyFill="1" applyBorder="1" applyAlignment="1">
      <alignment horizontal="center" vertical="center"/>
    </xf>
    <xf numFmtId="0" fontId="272" fillId="26" borderId="15" xfId="10" applyFont="1" applyFill="1" applyBorder="1" applyAlignment="1">
      <alignment horizontal="center" vertical="center"/>
    </xf>
    <xf numFmtId="0" fontId="272" fillId="0" borderId="15" xfId="10" applyFont="1" applyBorder="1" applyAlignment="1">
      <alignment horizontal="center" vertical="center" wrapText="1"/>
    </xf>
    <xf numFmtId="0" fontId="272" fillId="27" borderId="15" xfId="10" applyFont="1" applyFill="1" applyBorder="1" applyAlignment="1">
      <alignment horizontal="center" vertical="center" wrapText="1"/>
    </xf>
    <xf numFmtId="0" fontId="269" fillId="27" borderId="15" xfId="10" applyFont="1" applyFill="1" applyBorder="1" applyAlignment="1">
      <alignment horizontal="center" vertical="center"/>
    </xf>
    <xf numFmtId="0" fontId="272" fillId="27" borderId="15" xfId="10" applyFont="1" applyFill="1" applyBorder="1" applyAlignment="1">
      <alignment horizontal="center" vertical="center"/>
    </xf>
    <xf numFmtId="183" fontId="272" fillId="28" borderId="15" xfId="10" applyNumberFormat="1" applyFont="1" applyFill="1" applyBorder="1" applyAlignment="1">
      <alignment horizontal="center" vertical="center"/>
    </xf>
    <xf numFmtId="0" fontId="272" fillId="28" borderId="0" xfId="10" applyFont="1" applyFill="1" applyAlignment="1">
      <alignment horizontal="center" vertical="center"/>
    </xf>
    <xf numFmtId="0" fontId="272" fillId="28" borderId="15" xfId="10" applyNumberFormat="1" applyFont="1" applyFill="1" applyBorder="1" applyAlignment="1">
      <alignment horizontal="center" vertical="center"/>
    </xf>
    <xf numFmtId="0" fontId="272" fillId="28" borderId="15" xfId="10" applyFont="1" applyFill="1" applyBorder="1" applyAlignment="1">
      <alignment horizontal="center" vertical="center"/>
    </xf>
    <xf numFmtId="0" fontId="272" fillId="0" borderId="4" xfId="10" applyFont="1" applyBorder="1" applyAlignment="1">
      <alignment horizontal="center" vertical="center" wrapText="1"/>
    </xf>
    <xf numFmtId="0" fontId="272" fillId="23" borderId="2" xfId="10" applyFont="1" applyFill="1" applyBorder="1" applyAlignment="1">
      <alignment horizontal="center" vertical="center"/>
    </xf>
    <xf numFmtId="0" fontId="272" fillId="24" borderId="2" xfId="10" applyFont="1" applyFill="1" applyBorder="1" applyAlignment="1">
      <alignment horizontal="center" vertical="center"/>
    </xf>
    <xf numFmtId="0" fontId="272" fillId="24" borderId="4" xfId="10" applyFont="1" applyFill="1" applyBorder="1" applyAlignment="1">
      <alignment horizontal="center" vertical="center"/>
    </xf>
    <xf numFmtId="0" fontId="272" fillId="26" borderId="2" xfId="10" applyFont="1" applyFill="1" applyBorder="1" applyAlignment="1">
      <alignment horizontal="center" vertical="center"/>
    </xf>
    <xf numFmtId="0" fontId="272" fillId="0" borderId="2" xfId="10" applyFont="1" applyBorder="1" applyAlignment="1">
      <alignment horizontal="center" vertical="center" wrapText="1"/>
    </xf>
    <xf numFmtId="0" fontId="272" fillId="27" borderId="2" xfId="10" applyFont="1" applyFill="1" applyBorder="1" applyAlignment="1">
      <alignment horizontal="center" vertical="center" wrapText="1"/>
    </xf>
    <xf numFmtId="0" fontId="269" fillId="27" borderId="2" xfId="10" applyFont="1" applyFill="1" applyBorder="1" applyAlignment="1">
      <alignment horizontal="center" vertical="center"/>
    </xf>
    <xf numFmtId="0" fontId="272" fillId="27" borderId="2" xfId="10" applyFont="1" applyFill="1" applyBorder="1" applyAlignment="1">
      <alignment horizontal="center" vertical="center"/>
    </xf>
    <xf numFmtId="183" fontId="272" fillId="28" borderId="2" xfId="10" applyNumberFormat="1" applyFont="1" applyFill="1" applyBorder="1" applyAlignment="1">
      <alignment horizontal="center" vertical="center"/>
    </xf>
    <xf numFmtId="0" fontId="272" fillId="28" borderId="60" xfId="10" applyFont="1" applyFill="1" applyBorder="1" applyAlignment="1">
      <alignment horizontal="center" vertical="center"/>
    </xf>
    <xf numFmtId="0" fontId="272" fillId="28" borderId="2" xfId="10" applyNumberFormat="1" applyFont="1" applyFill="1" applyBorder="1" applyAlignment="1">
      <alignment horizontal="center" vertical="center"/>
    </xf>
    <xf numFmtId="0" fontId="272" fillId="28" borderId="2" xfId="10" applyFont="1" applyFill="1" applyBorder="1" applyAlignment="1">
      <alignment horizontal="center" vertical="center"/>
    </xf>
    <xf numFmtId="0" fontId="272" fillId="0" borderId="5" xfId="10" applyFont="1" applyBorder="1" applyAlignment="1">
      <alignment horizontal="center" vertical="center"/>
    </xf>
    <xf numFmtId="0" fontId="272" fillId="22" borderId="1" xfId="10" applyFont="1" applyFill="1" applyBorder="1" applyAlignment="1">
      <alignment horizontal="center" vertical="center"/>
    </xf>
    <xf numFmtId="0" fontId="272" fillId="23" borderId="1" xfId="10" applyFont="1" applyFill="1" applyBorder="1" applyAlignment="1">
      <alignment horizontal="center" vertical="center"/>
    </xf>
    <xf numFmtId="0" fontId="272" fillId="23" borderId="5" xfId="10" applyFont="1" applyFill="1" applyBorder="1" applyAlignment="1">
      <alignment horizontal="center" vertical="center"/>
    </xf>
    <xf numFmtId="0" fontId="272" fillId="24" borderId="1" xfId="10" applyFont="1" applyFill="1" applyBorder="1" applyAlignment="1">
      <alignment horizontal="center" vertical="center"/>
    </xf>
    <xf numFmtId="0" fontId="272" fillId="24" borderId="5" xfId="10" applyFont="1" applyFill="1" applyBorder="1" applyAlignment="1">
      <alignment horizontal="center" vertical="center"/>
    </xf>
    <xf numFmtId="0" fontId="272" fillId="25" borderId="1" xfId="10" applyFont="1" applyFill="1" applyBorder="1" applyAlignment="1">
      <alignment horizontal="center" vertical="center"/>
    </xf>
    <xf numFmtId="179" fontId="272" fillId="25" borderId="1" xfId="10" applyNumberFormat="1" applyFont="1" applyFill="1" applyBorder="1" applyAlignment="1">
      <alignment horizontal="center" vertical="center"/>
    </xf>
    <xf numFmtId="0" fontId="272" fillId="26" borderId="1" xfId="10" applyFont="1" applyFill="1" applyBorder="1" applyAlignment="1">
      <alignment horizontal="center" vertical="center"/>
    </xf>
    <xf numFmtId="0" fontId="269" fillId="27" borderId="1" xfId="10" applyFont="1" applyFill="1" applyBorder="1" applyAlignment="1">
      <alignment horizontal="center" vertical="center"/>
    </xf>
    <xf numFmtId="183" fontId="272" fillId="28" borderId="1" xfId="10" applyNumberFormat="1" applyFont="1" applyFill="1" applyBorder="1" applyAlignment="1">
      <alignment horizontal="center" vertical="center"/>
    </xf>
    <xf numFmtId="0" fontId="272" fillId="28" borderId="54" xfId="10" applyFont="1" applyFill="1" applyBorder="1" applyAlignment="1">
      <alignment horizontal="center" vertical="center"/>
    </xf>
    <xf numFmtId="0" fontId="272" fillId="0" borderId="46" xfId="10" applyFont="1" applyBorder="1" applyAlignment="1">
      <alignment horizontal="center" vertical="center"/>
    </xf>
    <xf numFmtId="0" fontId="272" fillId="0" borderId="13" xfId="10" applyFont="1" applyBorder="1" applyAlignment="1">
      <alignment horizontal="center" vertical="center"/>
    </xf>
    <xf numFmtId="179" fontId="272" fillId="22" borderId="1" xfId="10" applyNumberFormat="1" applyFont="1" applyFill="1" applyBorder="1" applyAlignment="1">
      <alignment horizontal="center" vertical="center"/>
    </xf>
    <xf numFmtId="196" fontId="272" fillId="22" borderId="13" xfId="10" applyNumberFormat="1" applyFont="1" applyFill="1" applyBorder="1" applyAlignment="1">
      <alignment horizontal="center" vertical="center"/>
    </xf>
    <xf numFmtId="179" fontId="272" fillId="22" borderId="13" xfId="10" applyNumberFormat="1" applyFont="1" applyFill="1" applyBorder="1" applyAlignment="1">
      <alignment horizontal="center" vertical="center"/>
    </xf>
    <xf numFmtId="0" fontId="272" fillId="22" borderId="13" xfId="10" applyFont="1" applyFill="1" applyBorder="1" applyAlignment="1">
      <alignment horizontal="center" vertical="center" wrapText="1"/>
    </xf>
    <xf numFmtId="0" fontId="272" fillId="22" borderId="13" xfId="10" applyFont="1" applyFill="1" applyBorder="1" applyAlignment="1">
      <alignment horizontal="center" vertical="center"/>
    </xf>
    <xf numFmtId="0" fontId="272" fillId="23" borderId="46" xfId="10" applyFont="1" applyFill="1" applyBorder="1" applyAlignment="1">
      <alignment horizontal="center" vertical="center"/>
    </xf>
    <xf numFmtId="0" fontId="272" fillId="25" borderId="13" xfId="10" applyFont="1" applyFill="1" applyBorder="1" applyAlignment="1">
      <alignment horizontal="center" vertical="center"/>
    </xf>
    <xf numFmtId="179" fontId="272" fillId="25" borderId="13" xfId="10" applyNumberFormat="1" applyFont="1" applyFill="1" applyBorder="1" applyAlignment="1">
      <alignment horizontal="center" vertical="center"/>
    </xf>
    <xf numFmtId="0" fontId="272" fillId="26" borderId="13" xfId="10" applyFont="1" applyFill="1" applyBorder="1" applyAlignment="1">
      <alignment horizontal="center" vertical="center" wrapText="1"/>
    </xf>
    <xf numFmtId="196" fontId="269" fillId="27" borderId="13" xfId="10" applyNumberFormat="1" applyFont="1" applyFill="1" applyBorder="1" applyAlignment="1">
      <alignment horizontal="center" vertical="center"/>
    </xf>
    <xf numFmtId="196" fontId="272" fillId="27" borderId="13" xfId="10" applyNumberFormat="1" applyFont="1" applyFill="1" applyBorder="1" applyAlignment="1">
      <alignment horizontal="center" vertical="center"/>
    </xf>
    <xf numFmtId="0" fontId="269" fillId="27" borderId="13" xfId="10" applyFont="1" applyFill="1" applyBorder="1" applyAlignment="1">
      <alignment horizontal="center" vertical="center" wrapText="1"/>
    </xf>
    <xf numFmtId="196" fontId="272" fillId="28" borderId="36" xfId="10" applyNumberFormat="1" applyFont="1" applyFill="1" applyBorder="1" applyAlignment="1">
      <alignment horizontal="center" vertical="center"/>
    </xf>
    <xf numFmtId="196" fontId="272" fillId="28" borderId="1" xfId="10" applyNumberFormat="1" applyFont="1" applyFill="1" applyBorder="1" applyAlignment="1">
      <alignment horizontal="center" vertical="center"/>
    </xf>
    <xf numFmtId="0" fontId="272" fillId="0" borderId="4" xfId="10" applyFont="1" applyBorder="1" applyAlignment="1">
      <alignment horizontal="center" vertical="center"/>
    </xf>
    <xf numFmtId="0" fontId="272" fillId="0" borderId="2" xfId="10" applyFont="1" applyBorder="1" applyAlignment="1">
      <alignment horizontal="center" vertical="center"/>
    </xf>
    <xf numFmtId="196" fontId="272" fillId="22" borderId="2" xfId="10" applyNumberFormat="1" applyFont="1" applyFill="1" applyBorder="1" applyAlignment="1">
      <alignment horizontal="center" vertical="center"/>
    </xf>
    <xf numFmtId="179" fontId="272" fillId="22" borderId="2" xfId="10" applyNumberFormat="1" applyFont="1" applyFill="1" applyBorder="1" applyAlignment="1">
      <alignment horizontal="center" vertical="center"/>
    </xf>
    <xf numFmtId="0" fontId="272" fillId="22" borderId="2" xfId="10" applyFont="1" applyFill="1" applyBorder="1" applyAlignment="1">
      <alignment horizontal="center" vertical="center" wrapText="1"/>
    </xf>
    <xf numFmtId="0" fontId="272" fillId="22" borderId="2" xfId="10" applyFont="1" applyFill="1" applyBorder="1" applyAlignment="1">
      <alignment horizontal="center" vertical="center"/>
    </xf>
    <xf numFmtId="0" fontId="272" fillId="23" borderId="4" xfId="10" applyFont="1" applyFill="1" applyBorder="1" applyAlignment="1">
      <alignment horizontal="center" vertical="center"/>
    </xf>
    <xf numFmtId="0" fontId="272" fillId="25" borderId="2" xfId="10" applyFont="1" applyFill="1" applyBorder="1" applyAlignment="1">
      <alignment horizontal="center" vertical="center"/>
    </xf>
    <xf numFmtId="179" fontId="272" fillId="25" borderId="2" xfId="10" applyNumberFormat="1" applyFont="1" applyFill="1" applyBorder="1" applyAlignment="1">
      <alignment horizontal="center" vertical="center"/>
    </xf>
    <xf numFmtId="0" fontId="272" fillId="26" borderId="2" xfId="10" applyFont="1" applyFill="1" applyBorder="1" applyAlignment="1">
      <alignment horizontal="center" vertical="center" wrapText="1"/>
    </xf>
    <xf numFmtId="196" fontId="269" fillId="27" borderId="2" xfId="10" applyNumberFormat="1" applyFont="1" applyFill="1" applyBorder="1" applyAlignment="1">
      <alignment horizontal="center" vertical="center"/>
    </xf>
    <xf numFmtId="196" fontId="272" fillId="27" borderId="2" xfId="10" applyNumberFormat="1" applyFont="1" applyFill="1" applyBorder="1" applyAlignment="1">
      <alignment horizontal="center" vertical="center"/>
    </xf>
    <xf numFmtId="0" fontId="269" fillId="27" borderId="2" xfId="10" applyFont="1" applyFill="1" applyBorder="1" applyAlignment="1">
      <alignment horizontal="center" vertical="center" wrapText="1"/>
    </xf>
    <xf numFmtId="196" fontId="272" fillId="28" borderId="60" xfId="10" applyNumberFormat="1" applyFont="1" applyFill="1" applyBorder="1" applyAlignment="1">
      <alignment horizontal="center" vertical="center"/>
    </xf>
    <xf numFmtId="0" fontId="272" fillId="0" borderId="13" xfId="10" applyFont="1" applyFill="1" applyBorder="1" applyAlignment="1">
      <alignment horizontal="center" vertical="center"/>
    </xf>
    <xf numFmtId="0" fontId="272" fillId="0" borderId="46" xfId="10" applyFont="1" applyFill="1" applyBorder="1" applyAlignment="1">
      <alignment horizontal="center" vertical="center"/>
    </xf>
    <xf numFmtId="0" fontId="272" fillId="0" borderId="1" xfId="10" applyFont="1" applyFill="1" applyBorder="1" applyAlignment="1">
      <alignment horizontal="center" vertical="center"/>
    </xf>
    <xf numFmtId="0" fontId="274" fillId="0" borderId="13" xfId="10" applyFont="1" applyFill="1" applyBorder="1" applyAlignment="1">
      <alignment horizontal="center" vertical="center" wrapText="1"/>
    </xf>
    <xf numFmtId="0" fontId="272" fillId="23" borderId="13" xfId="10" applyFont="1" applyFill="1" applyBorder="1" applyAlignment="1">
      <alignment horizontal="center" vertical="center" wrapText="1"/>
    </xf>
    <xf numFmtId="179" fontId="272" fillId="23" borderId="13" xfId="10" applyNumberFormat="1" applyFont="1" applyFill="1" applyBorder="1" applyAlignment="1">
      <alignment horizontal="center" vertical="center"/>
    </xf>
    <xf numFmtId="0" fontId="272" fillId="0" borderId="13" xfId="10" applyFont="1" applyFill="1" applyBorder="1" applyAlignment="1">
      <alignment horizontal="center" vertical="center" wrapText="1"/>
    </xf>
    <xf numFmtId="0" fontId="272" fillId="0" borderId="1" xfId="10" applyFont="1" applyFill="1" applyBorder="1" applyAlignment="1">
      <alignment horizontal="left" vertical="center" wrapText="1"/>
    </xf>
    <xf numFmtId="179" fontId="272" fillId="28" borderId="36" xfId="10" applyNumberFormat="1" applyFont="1" applyFill="1" applyBorder="1" applyAlignment="1">
      <alignment horizontal="center" vertical="center"/>
    </xf>
    <xf numFmtId="179" fontId="272" fillId="28" borderId="13" xfId="10" applyNumberFormat="1" applyFont="1" applyFill="1" applyBorder="1" applyAlignment="1">
      <alignment horizontal="center" vertical="center"/>
    </xf>
    <xf numFmtId="0" fontId="272" fillId="0" borderId="0" xfId="10" applyFont="1" applyFill="1" applyAlignment="1">
      <alignment horizontal="center" vertical="center"/>
    </xf>
    <xf numFmtId="0" fontId="272" fillId="0" borderId="15" xfId="10" applyFont="1" applyFill="1" applyBorder="1" applyAlignment="1">
      <alignment horizontal="center" vertical="center"/>
    </xf>
    <xf numFmtId="0" fontId="272" fillId="0" borderId="58" xfId="10" applyFont="1" applyFill="1" applyBorder="1" applyAlignment="1">
      <alignment horizontal="center" vertical="center"/>
    </xf>
    <xf numFmtId="0" fontId="274" fillId="0" borderId="2" xfId="10" applyFont="1" applyFill="1" applyBorder="1" applyAlignment="1">
      <alignment horizontal="center" vertical="center" wrapText="1"/>
    </xf>
    <xf numFmtId="0" fontId="272" fillId="23" borderId="15" xfId="10" applyFont="1" applyFill="1" applyBorder="1" applyAlignment="1">
      <alignment horizontal="center" vertical="center" wrapText="1"/>
    </xf>
    <xf numFmtId="0" fontId="272" fillId="23" borderId="58" xfId="10" applyFont="1" applyFill="1" applyBorder="1" applyAlignment="1">
      <alignment horizontal="center" vertical="center"/>
    </xf>
    <xf numFmtId="0" fontId="272" fillId="0" borderId="15" xfId="10" applyFont="1" applyFill="1" applyBorder="1" applyAlignment="1">
      <alignment horizontal="center" vertical="center" wrapText="1"/>
    </xf>
    <xf numFmtId="179" fontId="272" fillId="28" borderId="0" xfId="10" applyNumberFormat="1" applyFont="1" applyFill="1" applyAlignment="1">
      <alignment horizontal="center" vertical="center"/>
    </xf>
    <xf numFmtId="0" fontId="272" fillId="0" borderId="2" xfId="10" applyFont="1" applyFill="1" applyBorder="1" applyAlignment="1">
      <alignment horizontal="center" vertical="center"/>
    </xf>
    <xf numFmtId="0" fontId="272" fillId="0" borderId="4" xfId="10" applyFont="1" applyFill="1" applyBorder="1" applyAlignment="1">
      <alignment horizontal="center" vertical="center"/>
    </xf>
    <xf numFmtId="0" fontId="274" fillId="0" borderId="1" xfId="10" applyFont="1" applyFill="1" applyBorder="1" applyAlignment="1">
      <alignment horizontal="center" vertical="center" wrapText="1"/>
    </xf>
    <xf numFmtId="0" fontId="272" fillId="23" borderId="2" xfId="10" applyFont="1" applyFill="1" applyBorder="1" applyAlignment="1">
      <alignment horizontal="center" vertical="center" wrapText="1"/>
    </xf>
    <xf numFmtId="0" fontId="272" fillId="0" borderId="2" xfId="10" applyFont="1" applyFill="1" applyBorder="1" applyAlignment="1">
      <alignment horizontal="center" vertical="center" wrapText="1"/>
    </xf>
    <xf numFmtId="179" fontId="272" fillId="28" borderId="60" xfId="10" applyNumberFormat="1" applyFont="1" applyFill="1" applyBorder="1" applyAlignment="1">
      <alignment horizontal="center" vertical="center"/>
    </xf>
    <xf numFmtId="0" fontId="272" fillId="18" borderId="1" xfId="10" applyFont="1" applyFill="1" applyBorder="1" applyAlignment="1">
      <alignment horizontal="center" vertical="center"/>
    </xf>
    <xf numFmtId="0" fontId="272" fillId="23" borderId="1" xfId="10" applyFont="1" applyFill="1" applyBorder="1" applyAlignment="1">
      <alignment horizontal="left" vertical="center" wrapText="1"/>
    </xf>
    <xf numFmtId="0" fontId="275" fillId="26" borderId="1" xfId="10" applyFont="1" applyFill="1" applyBorder="1" applyAlignment="1">
      <alignment horizontal="left" vertical="center" wrapText="1"/>
    </xf>
    <xf numFmtId="0" fontId="272" fillId="26" borderId="1" xfId="10" applyFont="1" applyFill="1" applyBorder="1" applyAlignment="1">
      <alignment horizontal="center" vertical="center" wrapText="1"/>
    </xf>
    <xf numFmtId="0" fontId="272" fillId="0" borderId="1" xfId="10" applyFont="1" applyBorder="1" applyAlignment="1">
      <alignment horizontal="center" vertical="center" wrapText="1"/>
    </xf>
    <xf numFmtId="179" fontId="272" fillId="23" borderId="1" xfId="10" applyNumberFormat="1" applyFont="1" applyFill="1" applyBorder="1" applyAlignment="1">
      <alignment horizontal="center" vertical="center"/>
    </xf>
    <xf numFmtId="179" fontId="272" fillId="23" borderId="5" xfId="10" applyNumberFormat="1" applyFont="1" applyFill="1" applyBorder="1" applyAlignment="1">
      <alignment horizontal="center" vertical="center"/>
    </xf>
    <xf numFmtId="179" fontId="272" fillId="24" borderId="1" xfId="10" applyNumberFormat="1" applyFont="1" applyFill="1" applyBorder="1" applyAlignment="1">
      <alignment horizontal="center" vertical="center"/>
    </xf>
    <xf numFmtId="0" fontId="269" fillId="27" borderId="5" xfId="10" applyFont="1" applyFill="1" applyBorder="1" applyAlignment="1">
      <alignment horizontal="center" vertical="center"/>
    </xf>
    <xf numFmtId="0" fontId="269" fillId="27" borderId="3" xfId="10" applyFont="1" applyFill="1" applyBorder="1" applyAlignment="1">
      <alignment horizontal="center" vertical="center"/>
    </xf>
    <xf numFmtId="179" fontId="272" fillId="28" borderId="54" xfId="10" applyNumberFormat="1" applyFont="1" applyFill="1" applyBorder="1" applyAlignment="1">
      <alignment horizontal="center" vertical="center"/>
    </xf>
    <xf numFmtId="179" fontId="272" fillId="28" borderId="1" xfId="10" applyNumberFormat="1" applyFont="1" applyFill="1" applyBorder="1" applyAlignment="1">
      <alignment horizontal="center" vertical="center"/>
    </xf>
    <xf numFmtId="0" fontId="272" fillId="0" borderId="13" xfId="10" applyFont="1" applyFill="1" applyBorder="1" applyAlignment="1">
      <alignment horizontal="center" vertical="center"/>
    </xf>
    <xf numFmtId="0" fontId="272" fillId="0" borderId="46" xfId="10" applyFont="1" applyFill="1" applyBorder="1" applyAlignment="1">
      <alignment horizontal="center" vertical="center"/>
    </xf>
    <xf numFmtId="0" fontId="272" fillId="0" borderId="13" xfId="10" applyFont="1" applyFill="1" applyBorder="1" applyAlignment="1">
      <alignment horizontal="center" vertical="center" wrapText="1"/>
    </xf>
    <xf numFmtId="0" fontId="272" fillId="22" borderId="13" xfId="10" applyFont="1" applyFill="1" applyBorder="1" applyAlignment="1">
      <alignment horizontal="center" vertical="center"/>
    </xf>
    <xf numFmtId="0" fontId="272" fillId="18" borderId="13" xfId="10" applyFont="1" applyFill="1" applyBorder="1" applyAlignment="1">
      <alignment horizontal="center" vertical="center"/>
    </xf>
    <xf numFmtId="0" fontId="272" fillId="23" borderId="13" xfId="10" applyFont="1" applyFill="1" applyBorder="1" applyAlignment="1">
      <alignment horizontal="center" vertical="center"/>
    </xf>
    <xf numFmtId="0" fontId="272" fillId="23" borderId="46" xfId="10" applyFont="1" applyFill="1" applyBorder="1" applyAlignment="1">
      <alignment horizontal="center" vertical="center"/>
    </xf>
    <xf numFmtId="0" fontId="272" fillId="24" borderId="13" xfId="10" applyFont="1" applyFill="1" applyBorder="1" applyAlignment="1">
      <alignment horizontal="center" vertical="center"/>
    </xf>
    <xf numFmtId="0" fontId="272" fillId="24" borderId="46" xfId="10" applyFont="1" applyFill="1" applyBorder="1" applyAlignment="1">
      <alignment horizontal="center" vertical="center"/>
    </xf>
    <xf numFmtId="0" fontId="275" fillId="26" borderId="13" xfId="10" applyFont="1" applyFill="1" applyBorder="1" applyAlignment="1">
      <alignment horizontal="left" vertical="center" wrapText="1"/>
    </xf>
    <xf numFmtId="0" fontId="272" fillId="26" borderId="13" xfId="10" applyFont="1" applyFill="1" applyBorder="1" applyAlignment="1">
      <alignment horizontal="center" vertical="center" wrapText="1"/>
    </xf>
    <xf numFmtId="183" fontId="272" fillId="28" borderId="1" xfId="10" applyNumberFormat="1" applyFont="1" applyFill="1" applyBorder="1" applyAlignment="1">
      <alignment horizontal="center" vertical="center" wrapText="1"/>
    </xf>
    <xf numFmtId="31" fontId="272" fillId="0" borderId="1" xfId="10" applyNumberFormat="1" applyFont="1" applyBorder="1" applyAlignment="1">
      <alignment horizontal="center" vertical="center"/>
    </xf>
    <xf numFmtId="0" fontId="272" fillId="28" borderId="5" xfId="10" applyFont="1" applyFill="1" applyBorder="1" applyAlignment="1">
      <alignment horizontal="center" vertical="center"/>
    </xf>
    <xf numFmtId="196" fontId="272" fillId="22" borderId="1" xfId="10" applyNumberFormat="1" applyFont="1" applyFill="1" applyBorder="1" applyAlignment="1">
      <alignment horizontal="center" vertical="center"/>
    </xf>
    <xf numFmtId="196" fontId="272" fillId="25" borderId="1" xfId="10" applyNumberFormat="1" applyFont="1" applyFill="1" applyBorder="1" applyAlignment="1">
      <alignment horizontal="center" vertical="center"/>
    </xf>
    <xf numFmtId="0" fontId="272" fillId="28" borderId="1" xfId="10" applyNumberFormat="1" applyFont="1" applyFill="1" applyBorder="1" applyAlignment="1">
      <alignment horizontal="center" vertical="center"/>
    </xf>
    <xf numFmtId="196" fontId="272" fillId="22" borderId="1" xfId="10" applyNumberFormat="1" applyFont="1" applyFill="1" applyBorder="1" applyAlignment="1">
      <alignment horizontal="center" vertical="center" wrapText="1"/>
    </xf>
    <xf numFmtId="196" fontId="272" fillId="23" borderId="1" xfId="10" applyNumberFormat="1" applyFont="1" applyFill="1" applyBorder="1" applyAlignment="1">
      <alignment horizontal="center" vertical="center"/>
    </xf>
    <xf numFmtId="179" fontId="269" fillId="27" borderId="1" xfId="10" applyNumberFormat="1" applyFont="1" applyFill="1" applyBorder="1" applyAlignment="1">
      <alignment horizontal="center" vertical="center"/>
    </xf>
    <xf numFmtId="4" fontId="269" fillId="27" borderId="1" xfId="10" applyNumberFormat="1" applyFont="1" applyFill="1" applyBorder="1" applyAlignment="1">
      <alignment horizontal="center" vertical="center"/>
    </xf>
    <xf numFmtId="196" fontId="272" fillId="28" borderId="54" xfId="10" applyNumberFormat="1" applyFont="1" applyFill="1" applyBorder="1" applyAlignment="1">
      <alignment horizontal="center" vertical="center"/>
    </xf>
    <xf numFmtId="196" fontId="272" fillId="28" borderId="1" xfId="10" applyNumberFormat="1" applyFont="1" applyFill="1" applyBorder="1" applyAlignment="1">
      <alignment horizontal="center" vertical="center"/>
    </xf>
    <xf numFmtId="179" fontId="272" fillId="28" borderId="5" xfId="10" applyNumberFormat="1" applyFont="1" applyFill="1" applyBorder="1" applyAlignment="1">
      <alignment horizontal="center" vertical="center"/>
    </xf>
    <xf numFmtId="0" fontId="272" fillId="22" borderId="1" xfId="10" applyFont="1" applyFill="1" applyBorder="1" applyAlignment="1">
      <alignment horizontal="center" vertical="center" wrapText="1"/>
    </xf>
    <xf numFmtId="178" fontId="272" fillId="22" borderId="1" xfId="10" applyNumberFormat="1" applyFont="1" applyFill="1" applyBorder="1" applyAlignment="1">
      <alignment horizontal="center" vertical="center"/>
    </xf>
    <xf numFmtId="0" fontId="272" fillId="5" borderId="5" xfId="10" applyFont="1" applyFill="1" applyBorder="1" applyAlignment="1">
      <alignment horizontal="center" vertical="center"/>
    </xf>
    <xf numFmtId="0" fontId="276" fillId="5" borderId="1" xfId="10" applyFont="1" applyFill="1" applyBorder="1" applyAlignment="1">
      <alignment horizontal="center" vertical="center" wrapText="1"/>
    </xf>
    <xf numFmtId="0" fontId="272" fillId="0" borderId="5" xfId="10" applyFont="1" applyBorder="1" applyAlignment="1">
      <alignment horizontal="center" vertical="center" wrapText="1"/>
    </xf>
    <xf numFmtId="0" fontId="276" fillId="0" borderId="5" xfId="10" applyFont="1" applyBorder="1" applyAlignment="1">
      <alignment horizontal="center" vertical="center"/>
    </xf>
    <xf numFmtId="0" fontId="276" fillId="0" borderId="1" xfId="10" applyFont="1" applyBorder="1" applyAlignment="1">
      <alignment horizontal="center" vertical="center" wrapText="1"/>
    </xf>
    <xf numFmtId="0" fontId="276" fillId="0" borderId="5" xfId="10" applyFont="1" applyBorder="1" applyAlignment="1">
      <alignment horizontal="center" vertical="center" wrapText="1"/>
    </xf>
    <xf numFmtId="0" fontId="272" fillId="0" borderId="46" xfId="10" applyFont="1" applyBorder="1" applyAlignment="1">
      <alignment horizontal="center" vertical="center"/>
    </xf>
    <xf numFmtId="0" fontId="272" fillId="0" borderId="13" xfId="10" applyFont="1" applyBorder="1" applyAlignment="1">
      <alignment horizontal="center" vertical="center" wrapText="1"/>
    </xf>
    <xf numFmtId="0" fontId="272" fillId="0" borderId="13" xfId="10" applyFont="1" applyBorder="1" applyAlignment="1">
      <alignment horizontal="center" vertical="center"/>
    </xf>
    <xf numFmtId="178" fontId="272" fillId="22" borderId="13" xfId="10" applyNumberFormat="1" applyFont="1" applyFill="1" applyBorder="1" applyAlignment="1">
      <alignment horizontal="center" vertical="center"/>
    </xf>
    <xf numFmtId="0" fontId="272" fillId="25" borderId="13" xfId="10" applyFont="1" applyFill="1" applyBorder="1" applyAlignment="1">
      <alignment horizontal="center" vertical="center"/>
    </xf>
    <xf numFmtId="179" fontId="272" fillId="25" borderId="13" xfId="10" applyNumberFormat="1" applyFont="1" applyFill="1" applyBorder="1" applyAlignment="1">
      <alignment horizontal="center" vertical="center"/>
    </xf>
    <xf numFmtId="0" fontId="272" fillId="27" borderId="13" xfId="10" applyFont="1" applyFill="1" applyBorder="1" applyAlignment="1">
      <alignment horizontal="center" vertical="center"/>
    </xf>
    <xf numFmtId="0" fontId="269" fillId="27" borderId="13" xfId="10" applyFont="1" applyFill="1" applyBorder="1" applyAlignment="1">
      <alignment horizontal="center" vertical="center"/>
    </xf>
    <xf numFmtId="183" fontId="272" fillId="28" borderId="13" xfId="10" applyNumberFormat="1" applyFont="1" applyFill="1" applyBorder="1" applyAlignment="1">
      <alignment horizontal="center" vertical="center"/>
    </xf>
    <xf numFmtId="0" fontId="272" fillId="28" borderId="13" xfId="10" applyFont="1" applyFill="1" applyBorder="1" applyAlignment="1">
      <alignment horizontal="center" vertical="center"/>
    </xf>
    <xf numFmtId="0" fontId="272" fillId="28" borderId="46" xfId="10" applyFont="1" applyFill="1" applyBorder="1" applyAlignment="1">
      <alignment horizontal="center" vertical="center"/>
    </xf>
    <xf numFmtId="0" fontId="276" fillId="0" borderId="46" xfId="10" applyFont="1" applyBorder="1" applyAlignment="1">
      <alignment horizontal="center" vertical="center"/>
    </xf>
    <xf numFmtId="179" fontId="272" fillId="24" borderId="13" xfId="10" applyNumberFormat="1" applyFont="1" applyFill="1" applyBorder="1" applyAlignment="1">
      <alignment horizontal="center" vertical="center"/>
    </xf>
    <xf numFmtId="4" fontId="272" fillId="25" borderId="13" xfId="10" applyNumberFormat="1" applyFont="1" applyFill="1" applyBorder="1" applyAlignment="1">
      <alignment horizontal="center" vertical="center"/>
    </xf>
    <xf numFmtId="0" fontId="278" fillId="5" borderId="46" xfId="10" applyFont="1" applyFill="1" applyBorder="1" applyAlignment="1">
      <alignment horizontal="center" vertical="center"/>
    </xf>
    <xf numFmtId="179" fontId="272" fillId="0" borderId="13" xfId="10" applyNumberFormat="1" applyFont="1" applyBorder="1" applyAlignment="1">
      <alignment horizontal="center" vertical="center"/>
    </xf>
    <xf numFmtId="0" fontId="272" fillId="5" borderId="46" xfId="10" applyFont="1" applyFill="1" applyBorder="1" applyAlignment="1">
      <alignment horizontal="center" vertical="center"/>
    </xf>
    <xf numFmtId="0" fontId="272" fillId="26" borderId="13" xfId="10" applyFont="1" applyFill="1" applyBorder="1" applyAlignment="1">
      <alignment horizontal="center" vertical="center"/>
    </xf>
    <xf numFmtId="179" fontId="269" fillId="27" borderId="13" xfId="10" applyNumberFormat="1" applyFont="1" applyFill="1" applyBorder="1" applyAlignment="1">
      <alignment horizontal="center" vertical="center"/>
    </xf>
    <xf numFmtId="179" fontId="272" fillId="28" borderId="13" xfId="10" applyNumberFormat="1" applyFont="1" applyFill="1" applyBorder="1" applyAlignment="1">
      <alignment horizontal="center" vertical="center"/>
    </xf>
    <xf numFmtId="179" fontId="272" fillId="22" borderId="13" xfId="10" applyNumberFormat="1" applyFont="1" applyFill="1" applyBorder="1" applyAlignment="1">
      <alignment horizontal="center" vertical="center"/>
    </xf>
    <xf numFmtId="0" fontId="272" fillId="0" borderId="46" xfId="10" applyFont="1" applyBorder="1" applyAlignment="1">
      <alignment horizontal="center" vertical="center" wrapText="1"/>
    </xf>
    <xf numFmtId="0" fontId="276" fillId="0" borderId="46" xfId="10" applyFont="1" applyBorder="1" applyAlignment="1">
      <alignment horizontal="center" vertical="center" wrapText="1"/>
    </xf>
    <xf numFmtId="0" fontId="276" fillId="0" borderId="13" xfId="10" applyFont="1" applyBorder="1" applyAlignment="1">
      <alignment horizontal="center" vertical="center" wrapText="1"/>
    </xf>
    <xf numFmtId="0" fontId="272" fillId="5" borderId="46" xfId="10" applyFont="1" applyFill="1" applyBorder="1" applyAlignment="1">
      <alignment horizontal="center" vertical="center" wrapText="1"/>
    </xf>
    <xf numFmtId="0" fontId="276" fillId="5" borderId="13" xfId="10" applyFont="1" applyFill="1" applyBorder="1" applyAlignment="1">
      <alignment horizontal="center" vertical="center" wrapText="1"/>
    </xf>
    <xf numFmtId="179" fontId="269" fillId="27" borderId="13" xfId="10" applyNumberFormat="1" applyFont="1" applyFill="1" applyBorder="1" applyAlignment="1">
      <alignment horizontal="center" vertical="center" wrapText="1"/>
    </xf>
    <xf numFmtId="0" fontId="276" fillId="28" borderId="13" xfId="10" applyFont="1" applyFill="1" applyBorder="1" applyAlignment="1">
      <alignment horizontal="center" vertical="center"/>
    </xf>
    <xf numFmtId="4" fontId="269" fillId="27" borderId="13" xfId="10" applyNumberFormat="1" applyFont="1" applyFill="1" applyBorder="1" applyAlignment="1">
      <alignment horizontal="center" vertical="center"/>
    </xf>
    <xf numFmtId="4" fontId="272" fillId="25" borderId="13" xfId="10" applyNumberFormat="1" applyFont="1" applyFill="1" applyBorder="1" applyAlignment="1">
      <alignment horizontal="center" vertical="center" wrapText="1"/>
    </xf>
    <xf numFmtId="178" fontId="272" fillId="0" borderId="13" xfId="10" applyNumberFormat="1" applyFont="1" applyBorder="1" applyAlignment="1">
      <alignment horizontal="center" vertical="center"/>
    </xf>
    <xf numFmtId="179" fontId="272" fillId="23" borderId="13" xfId="10" applyNumberFormat="1" applyFont="1" applyFill="1" applyBorder="1" applyAlignment="1">
      <alignment horizontal="center" vertical="center"/>
    </xf>
    <xf numFmtId="179" fontId="272" fillId="23" borderId="46" xfId="10" applyNumberFormat="1" applyFont="1" applyFill="1" applyBorder="1" applyAlignment="1">
      <alignment horizontal="center" vertical="center"/>
    </xf>
    <xf numFmtId="179" fontId="272" fillId="28" borderId="46" xfId="10" applyNumberFormat="1" applyFont="1" applyFill="1" applyBorder="1" applyAlignment="1">
      <alignment horizontal="center" vertical="center"/>
    </xf>
    <xf numFmtId="197" fontId="272" fillId="0" borderId="0" xfId="10" applyNumberFormat="1" applyFont="1" applyAlignment="1">
      <alignment horizontal="center" vertical="center"/>
    </xf>
    <xf numFmtId="0" fontId="272" fillId="0" borderId="63" xfId="10" applyFont="1" applyBorder="1" applyAlignment="1">
      <alignment horizontal="center" vertical="center"/>
    </xf>
    <xf numFmtId="0" fontId="269" fillId="0" borderId="84" xfId="10" applyFont="1" applyBorder="1" applyAlignment="1">
      <alignment horizontal="center" vertical="center"/>
    </xf>
    <xf numFmtId="0" fontId="269" fillId="0" borderId="65" xfId="10" applyFont="1" applyBorder="1" applyAlignment="1">
      <alignment horizontal="center" vertical="center"/>
    </xf>
    <xf numFmtId="0" fontId="269" fillId="0" borderId="39" xfId="10" applyFont="1" applyBorder="1" applyAlignment="1">
      <alignment horizontal="center" vertical="center"/>
    </xf>
    <xf numFmtId="0" fontId="269" fillId="0" borderId="17" xfId="10" applyFont="1" applyBorder="1" applyAlignment="1">
      <alignment horizontal="center" vertical="center"/>
    </xf>
    <xf numFmtId="0" fontId="269" fillId="22" borderId="17" xfId="10" applyFont="1" applyFill="1" applyBorder="1" applyAlignment="1">
      <alignment horizontal="center" vertical="center"/>
    </xf>
    <xf numFmtId="0" fontId="269" fillId="22" borderId="84" xfId="10" applyFont="1" applyFill="1" applyBorder="1" applyAlignment="1">
      <alignment horizontal="center" vertical="center"/>
    </xf>
    <xf numFmtId="0" fontId="269" fillId="23" borderId="84" xfId="10" applyFont="1" applyFill="1" applyBorder="1" applyAlignment="1">
      <alignment horizontal="center" vertical="center"/>
    </xf>
    <xf numFmtId="0" fontId="269" fillId="23" borderId="34" xfId="10" applyFont="1" applyFill="1" applyBorder="1" applyAlignment="1">
      <alignment horizontal="center" vertical="center"/>
    </xf>
    <xf numFmtId="0" fontId="95" fillId="24" borderId="84" xfId="10" applyFill="1" applyBorder="1" applyAlignment="1">
      <alignment horizontal="center" vertical="center"/>
    </xf>
    <xf numFmtId="0" fontId="95" fillId="24" borderId="34" xfId="10" applyFill="1" applyBorder="1" applyAlignment="1">
      <alignment horizontal="center" vertical="center"/>
    </xf>
    <xf numFmtId="0" fontId="269" fillId="24" borderId="84" xfId="10" applyFont="1" applyFill="1" applyBorder="1" applyAlignment="1">
      <alignment horizontal="center" vertical="center"/>
    </xf>
    <xf numFmtId="0" fontId="269" fillId="25" borderId="84" xfId="10" applyFont="1" applyFill="1" applyBorder="1" applyAlignment="1">
      <alignment horizontal="center" vertical="center"/>
    </xf>
    <xf numFmtId="0" fontId="269" fillId="26" borderId="84" xfId="10" applyFont="1" applyFill="1" applyBorder="1" applyAlignment="1">
      <alignment horizontal="center" vertical="center"/>
    </xf>
    <xf numFmtId="0" fontId="272" fillId="27" borderId="84" xfId="10" applyFont="1" applyFill="1" applyBorder="1" applyAlignment="1">
      <alignment horizontal="center" vertical="center"/>
    </xf>
    <xf numFmtId="0" fontId="269" fillId="27" borderId="84" xfId="10" applyFont="1" applyFill="1" applyBorder="1" applyAlignment="1">
      <alignment horizontal="center" vertical="center"/>
    </xf>
    <xf numFmtId="183" fontId="272" fillId="28" borderId="84" xfId="10" applyNumberFormat="1" applyFont="1" applyFill="1" applyBorder="1" applyAlignment="1">
      <alignment horizontal="center" vertical="center"/>
    </xf>
    <xf numFmtId="0" fontId="272" fillId="28" borderId="64" xfId="10" applyFont="1" applyFill="1" applyBorder="1" applyAlignment="1">
      <alignment horizontal="center" vertical="center"/>
    </xf>
    <xf numFmtId="0" fontId="272" fillId="28" borderId="84" xfId="10" applyFont="1" applyFill="1" applyBorder="1" applyAlignment="1">
      <alignment horizontal="center" vertical="center"/>
    </xf>
    <xf numFmtId="0" fontId="272" fillId="28" borderId="34" xfId="10" applyFont="1" applyFill="1" applyBorder="1" applyAlignment="1">
      <alignment horizontal="center" vertical="center"/>
    </xf>
    <xf numFmtId="0" fontId="272" fillId="28" borderId="67" xfId="10" applyFont="1" applyFill="1" applyBorder="1" applyAlignment="1">
      <alignment horizontal="center" vertical="center"/>
    </xf>
    <xf numFmtId="0" fontId="269" fillId="0" borderId="12" xfId="10" applyFont="1" applyBorder="1" applyAlignment="1">
      <alignment horizontal="center" vertical="center"/>
    </xf>
    <xf numFmtId="0" fontId="269" fillId="0" borderId="74" xfId="10" applyFont="1" applyBorder="1" applyAlignment="1">
      <alignment horizontal="center" vertical="center"/>
    </xf>
    <xf numFmtId="0" fontId="269" fillId="0" borderId="74" xfId="10" applyFont="1" applyBorder="1" applyAlignment="1">
      <alignment vertical="center"/>
    </xf>
    <xf numFmtId="0" fontId="269" fillId="0" borderId="84" xfId="10" applyFont="1" applyBorder="1" applyAlignment="1">
      <alignment vertical="center"/>
    </xf>
    <xf numFmtId="0" fontId="269" fillId="0" borderId="67" xfId="10" applyFont="1" applyBorder="1" applyAlignment="1">
      <alignment horizontal="center" vertical="center"/>
    </xf>
    <xf numFmtId="0" fontId="269" fillId="0" borderId="0" xfId="10" applyFont="1" applyAlignment="1">
      <alignment horizontal="center" vertical="center"/>
    </xf>
    <xf numFmtId="0" fontId="95" fillId="0" borderId="2" xfId="10" applyBorder="1" applyAlignment="1">
      <alignment horizontal="center" vertical="center"/>
    </xf>
    <xf numFmtId="0" fontId="269" fillId="0" borderId="2" xfId="10" applyFont="1" applyBorder="1" applyAlignment="1">
      <alignment horizontal="center" vertical="center"/>
    </xf>
    <xf numFmtId="0" fontId="272" fillId="0" borderId="2" xfId="10" applyFont="1" applyFill="1" applyBorder="1" applyAlignment="1">
      <alignment horizontal="center" vertical="center"/>
    </xf>
    <xf numFmtId="0" fontId="272" fillId="0" borderId="60" xfId="10" applyFont="1" applyFill="1" applyBorder="1" applyAlignment="1">
      <alignment horizontal="center" vertical="center"/>
    </xf>
    <xf numFmtId="0" fontId="272" fillId="0" borderId="2" xfId="10" applyFont="1" applyBorder="1" applyAlignment="1">
      <alignment horizontal="center" vertical="center"/>
    </xf>
    <xf numFmtId="0" fontId="272" fillId="0" borderId="74" xfId="10" applyFont="1" applyBorder="1" applyAlignment="1">
      <alignment horizontal="center" vertical="center"/>
    </xf>
    <xf numFmtId="0" fontId="269" fillId="0" borderId="76" xfId="10" applyFont="1" applyBorder="1" applyAlignment="1">
      <alignment horizontal="center" vertical="center"/>
    </xf>
    <xf numFmtId="0" fontId="95" fillId="0" borderId="0" xfId="10" applyAlignment="1">
      <alignment horizontal="center" vertical="center"/>
    </xf>
    <xf numFmtId="0" fontId="95" fillId="0" borderId="0" xfId="10">
      <alignment vertical="center"/>
    </xf>
    <xf numFmtId="0" fontId="95" fillId="0" borderId="0" xfId="10" applyFont="1">
      <alignment vertical="center"/>
    </xf>
    <xf numFmtId="181" fontId="0" fillId="0" borderId="0" xfId="19" applyNumberFormat="1" applyFont="1">
      <alignment vertical="center"/>
    </xf>
    <xf numFmtId="196" fontId="95" fillId="0" borderId="0" xfId="10" applyNumberFormat="1">
      <alignment vertical="center"/>
    </xf>
    <xf numFmtId="179" fontId="95" fillId="0" borderId="0" xfId="10" applyNumberFormat="1">
      <alignment vertical="center"/>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789;&#28023;&#31614;&#32422;&#23458;&#25143;&#21488;&#36134;2024-4-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ow r="30">
          <cell r="D30">
            <v>0.95009439354707936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'预评函-封皮'!B46</f>
        <v>（注册号：0)、（注册号：0)</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2024年6月14日</v>
      </c>
    </row>
    <row r="13" spans="1:2" s="1199" customFormat="1">
      <c r="A13" s="1197" t="s">
        <v>528</v>
      </c>
      <c r="B13" s="1198"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136579</v>
      </c>
    </row>
    <row r="21" spans="1:2" s="1199" customFormat="1">
      <c r="A21" s="1197" t="s">
        <v>536</v>
      </c>
      <c r="B21" s="1198">
        <f ca="1">'预评函-2'!D7</f>
        <v>27165</v>
      </c>
    </row>
    <row r="22" spans="1:2" s="1199" customFormat="1">
      <c r="A22" s="1197" t="s">
        <v>537</v>
      </c>
      <c r="B22" s="1198" t="str">
        <f ca="1">'预评函-2'!D6</f>
        <v>壹拾叁亿陆仟伍佰柒拾玖万元整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136579</v>
      </c>
    </row>
    <row r="31" spans="1:2" s="1199" customFormat="1">
      <c r="A31" s="1197" t="s">
        <v>575</v>
      </c>
      <c r="B31" s="1198">
        <f ca="1">'预评函-2'!D15</f>
        <v>27165</v>
      </c>
    </row>
    <row r="32" spans="1:2" s="1199" customFormat="1">
      <c r="A32" s="1197" t="s">
        <v>542</v>
      </c>
      <c r="B32" s="1198" t="str">
        <f ca="1">'预评函-2'!D14</f>
        <v>壹拾叁亿陆仟伍佰柒拾玖万元整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103496</v>
      </c>
    </row>
    <row r="39" spans="1:2" s="1199" customFormat="1">
      <c r="A39" s="1197" t="s">
        <v>544</v>
      </c>
      <c r="B39" s="1198">
        <f ca="1">'预评函-2'!D21</f>
        <v>20585</v>
      </c>
    </row>
    <row r="40" spans="1:2" s="1199" customFormat="1">
      <c r="A40" s="1197" t="s">
        <v>545</v>
      </c>
      <c r="B40" s="1198" t="str">
        <f ca="1">'预评函-2'!D20</f>
        <v>壹拾亿叁仟肆佰玖拾陆万元整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105576</v>
      </c>
    </row>
    <row r="48" spans="1:2" s="1199" customFormat="1">
      <c r="A48" s="1197" t="s">
        <v>548</v>
      </c>
      <c r="B48" s="1198">
        <f ca="1">'预评函-3'!E4</f>
        <v>20999</v>
      </c>
    </row>
    <row r="49" spans="1:2" s="1199" customFormat="1">
      <c r="A49" s="1197" t="s">
        <v>549</v>
      </c>
      <c r="B49" s="1198" t="str">
        <f ca="1">'预评函-3'!D5</f>
        <v>壹拾亿伍仟伍佰柒拾陆万元整</v>
      </c>
    </row>
    <row r="50" spans="1:2" s="1199" customFormat="1">
      <c r="A50" s="1197" t="s">
        <v>573</v>
      </c>
      <c r="B50" s="1198" t="str">
        <f>'预评函-3'!F2</f>
        <v>在建建筑物价值</v>
      </c>
    </row>
    <row r="51" spans="1:2" s="1199" customFormat="1">
      <c r="A51" s="1197" t="s">
        <v>550</v>
      </c>
      <c r="B51" s="1198">
        <f ca="1">'预评函-3'!F4</f>
        <v>31003</v>
      </c>
    </row>
    <row r="52" spans="1:2" s="1199" customFormat="1">
      <c r="A52" s="1197" t="s">
        <v>551</v>
      </c>
      <c r="B52" s="1198">
        <f ca="1">'预评函-3'!G4</f>
        <v>6166</v>
      </c>
    </row>
    <row r="53" spans="1:2" s="1199" customFormat="1">
      <c r="A53" s="1197" t="s">
        <v>579</v>
      </c>
      <c r="B53" s="1198" t="str">
        <f ca="1">'预评函-3'!F5</f>
        <v>叁亿壹仟零叁万元整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f>'预评函-4'!A4</f>
        <v>0</v>
      </c>
    </row>
    <row r="71" spans="1:2">
      <c r="A71" s="1197" t="s">
        <v>562</v>
      </c>
      <c r="B71" s="1198">
        <f>'预评函-4'!B4</f>
        <v>0</v>
      </c>
    </row>
    <row r="72" spans="1:2">
      <c r="A72" s="1197" t="s">
        <v>563</v>
      </c>
      <c r="B72" s="1206">
        <f>'预评函-4'!A5</f>
        <v>0</v>
      </c>
    </row>
    <row r="73" spans="1:2" s="1193" customFormat="1" ht="15" thickBot="1">
      <c r="A73" s="1200" t="s">
        <v>564</v>
      </c>
      <c r="B73" s="1201">
        <f>'预评函-4'!B5</f>
        <v>0</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8"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0" t="s">
        <v>384</v>
      </c>
      <c r="C54" s="1547" t="s">
        <v>582</v>
      </c>
    </row>
    <row r="55" spans="1:4">
      <c r="A55" s="3558"/>
      <c r="B55" s="1550" t="s">
        <v>385</v>
      </c>
      <c r="C55" s="1547" t="s">
        <v>583</v>
      </c>
    </row>
    <row r="56" spans="1:4">
      <c r="A56" s="3558"/>
      <c r="B56" s="1550" t="s">
        <v>386</v>
      </c>
      <c r="C56" s="1547" t="s">
        <v>587</v>
      </c>
    </row>
    <row r="57" spans="1:4">
      <c r="A57" s="3558"/>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9" t="s">
        <v>2579</v>
      </c>
      <c r="J2" s="3559"/>
      <c r="K2" s="3559"/>
      <c r="L2" s="3559"/>
      <c r="M2" s="3559"/>
      <c r="N2" s="3559"/>
      <c r="O2" s="3559"/>
      <c r="P2" s="3559"/>
      <c r="Q2" s="3559"/>
      <c r="R2" s="3559"/>
    </row>
    <row r="3" spans="1:18">
      <c r="A3" s="3016" t="s">
        <v>2500</v>
      </c>
      <c r="B3" s="3017">
        <f>项目基本情况!D3</f>
        <v>45457</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2.5099999999999998</v>
      </c>
      <c r="D5" s="3021">
        <f>IF(ISERROR(ROUND(POWER(1+E5,A5-C5)*(POWER(1+E5,C5)-1)/(POWER(1+E5,A5)-1),3)),0,ROUND(POWER(1+E5,A5-C5)*(POWER(1+E5,C5)-1)/(POWER(1+E5,A5)-1),4))</f>
        <v>0.11840000000000001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12.52</v>
      </c>
      <c r="D6" s="3021">
        <f>IF(ISERROR(ROUND(POWER(1+E6,A6-C6)*(POWER(1+E6,C6)-1)/(POWER(1+E6,A6)-1),3)),0,ROUND(POWER(1+E6,A6-C6)*(POWER(1+E6,C6)-1)/(POWER(1+E6,A6)-1),4))</f>
        <v>0.4516</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32.53</v>
      </c>
      <c r="D7" s="3021">
        <f>IF(ISERROR(ROUND(POWER(1+E7,A7-C7)*(POWER(1+E7,C7)-1)/(POWER(1+E7,A7)-1),3)),0,ROUND(POWER(1+E7,A7-C7)*(POWER(1+E7,C7)-1)/(POWER(1+E7,A7)-1),4))</f>
        <v>0.77029999999999998</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M21" sqref="M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60" t="str">
        <f>IF(B10="北京市","北京市",C10)&amp;F10&amp;IF(结果表!G1="在建","出让国有建设用地使用权及在建建筑物",IF(结果表!G1="土地","出让国有建设用地使用权",))&amp;B9&amp;"预评估"</f>
        <v>北京市房地产抵押价值预评估</v>
      </c>
      <c r="C1" s="3561"/>
      <c r="D1" s="3561"/>
      <c r="E1" s="3561"/>
      <c r="F1" s="3561"/>
      <c r="G1" s="3561"/>
      <c r="H1" s="3561"/>
      <c r="I1" s="356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45457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63"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64"/>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33.64</v>
      </c>
      <c r="E15" s="2406">
        <f>IF(A13="出让",IF(E13="","",ROUNDDOWN(MIN((E13-$D$3)/365,E14),2)),E14)</f>
        <v>43.65</v>
      </c>
      <c r="F15" s="2406">
        <f>IF(A13="出让",IF(F13="","",ROUNDDOWN(MIN((F13-$D$3)/365,F14),2)),F14)</f>
        <v>43.65</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70"/>
      <c r="C16" s="3571"/>
      <c r="D16" s="3572"/>
      <c r="E16" s="2409" t="s">
        <v>2189</v>
      </c>
      <c r="F16" s="3573"/>
      <c r="G16" s="3574"/>
      <c r="H16" s="3574"/>
      <c r="I16" s="3575"/>
      <c r="J16" s="2435"/>
      <c r="K16" s="2613"/>
      <c r="L16" s="2447"/>
      <c r="M16" s="2447"/>
      <c r="N16" s="2505"/>
      <c r="O16" s="2447"/>
      <c r="P16" s="2505"/>
      <c r="Q16" s="2435"/>
      <c r="R16" s="2435"/>
    </row>
    <row r="17" spans="1:28">
      <c r="A17" s="313" t="s">
        <v>2190</v>
      </c>
      <c r="B17" s="302" t="s">
        <v>2191</v>
      </c>
      <c r="C17" s="8">
        <f>'数据-汇总表'!E3</f>
        <v>50278.100000000006</v>
      </c>
      <c r="D17" s="2318" t="s">
        <v>2192</v>
      </c>
      <c r="E17" s="3576" t="s">
        <v>2193</v>
      </c>
      <c r="F17" s="3577"/>
      <c r="G17" s="3577"/>
      <c r="H17" s="3577"/>
      <c r="I17" s="3578"/>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79" t="s">
        <v>2197</v>
      </c>
      <c r="F18" s="3580"/>
      <c r="G18" s="3580"/>
      <c r="H18" s="3580"/>
      <c r="I18" s="3581"/>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66" t="s">
        <v>2201</v>
      </c>
      <c r="C20" s="3567"/>
      <c r="D20" s="3568" t="s">
        <v>2202</v>
      </c>
      <c r="E20" s="3569"/>
      <c r="F20" s="2643" t="s">
        <v>1053</v>
      </c>
      <c r="G20" s="2660"/>
      <c r="H20" s="2660"/>
      <c r="I20" s="2660"/>
      <c r="J20" s="2435"/>
      <c r="K20" s="3565"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6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6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83"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83"/>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83"/>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84"/>
      <c r="B30" s="302" t="s">
        <v>2213</v>
      </c>
      <c r="C30" s="3585"/>
      <c r="D30" s="3586"/>
      <c r="E30" s="2660"/>
      <c r="F30" s="2660"/>
      <c r="G30" s="2660"/>
      <c r="H30" s="2660"/>
      <c r="I30" s="2660"/>
      <c r="J30" s="2435"/>
      <c r="K30" s="2612"/>
      <c r="L30" s="2609"/>
      <c r="M30" s="2609"/>
      <c r="N30" s="2435"/>
      <c r="O30" s="2446"/>
      <c r="P30" s="2435"/>
      <c r="Q30" s="2435"/>
      <c r="R30" s="2435"/>
      <c r="S30" s="2435"/>
      <c r="T30" s="2435"/>
      <c r="U30" s="2435"/>
      <c r="V30" s="2435"/>
    </row>
    <row r="31" spans="1:28">
      <c r="A31" s="3587"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8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8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82" t="s">
        <v>2223</v>
      </c>
      <c r="T34" s="2424" t="str">
        <f>NUMBERSTRING(7-K34,1)&amp;"通"</f>
        <v>七通</v>
      </c>
      <c r="U34" s="2435"/>
      <c r="V34" s="2435"/>
    </row>
    <row r="35" spans="1:30">
      <c r="A35" s="2425"/>
      <c r="B35" s="3589" t="s">
        <v>2224</v>
      </c>
      <c r="C35" s="3589"/>
      <c r="D35" s="3589"/>
      <c r="E35" s="3589"/>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82"/>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509">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3"/>
  <sheetViews>
    <sheetView workbookViewId="0">
      <selection activeCell="J17" sqref="J17"/>
    </sheetView>
  </sheetViews>
  <sheetFormatPr defaultRowHeight="13.5"/>
  <cols>
    <col min="6" max="7" width="14.875" customWidth="1"/>
  </cols>
  <sheetData>
    <row r="1" spans="1:13">
      <c r="B1" s="3510" t="s">
        <v>3499</v>
      </c>
      <c r="E1" s="3510" t="s">
        <v>3500</v>
      </c>
      <c r="F1" s="3510" t="s">
        <v>3507</v>
      </c>
      <c r="G1" s="3510" t="s">
        <v>3508</v>
      </c>
      <c r="H1" s="3510" t="s">
        <v>3506</v>
      </c>
      <c r="I1" s="3510" t="s">
        <v>3504</v>
      </c>
      <c r="J1" s="3510" t="s">
        <v>3505</v>
      </c>
      <c r="K1" s="3510" t="s">
        <v>3498</v>
      </c>
    </row>
    <row r="2" spans="1:13">
      <c r="A2" s="3510" t="s">
        <v>3494</v>
      </c>
      <c r="B2">
        <v>15550.94</v>
      </c>
      <c r="D2" s="3510" t="s">
        <v>3501</v>
      </c>
      <c r="E2">
        <f>SUM(F2:K2)</f>
        <v>33759.020000000004</v>
      </c>
      <c r="F2">
        <f>33759.02-G2-H2</f>
        <v>12833.079999999998</v>
      </c>
      <c r="G2">
        <f>ROUND(B4/B10*E10,2)</f>
        <v>20688.28</v>
      </c>
      <c r="H2">
        <f>'数据-基础表'!AL13</f>
        <v>237.66</v>
      </c>
    </row>
    <row r="3" spans="1:13">
      <c r="A3" s="3510" t="s">
        <v>3495</v>
      </c>
      <c r="B3">
        <v>3617.18</v>
      </c>
      <c r="D3" s="3510" t="s">
        <v>3502</v>
      </c>
      <c r="E3">
        <f>SUM(F3:K3)</f>
        <v>1114.5</v>
      </c>
      <c r="F3">
        <f>'数据-基础表'!K14</f>
        <v>1114.5</v>
      </c>
    </row>
    <row r="4" spans="1:13">
      <c r="A4" s="3510" t="s">
        <v>3496</v>
      </c>
      <c r="B4">
        <v>20549.52</v>
      </c>
      <c r="D4" s="3510" t="s">
        <v>3503</v>
      </c>
      <c r="E4">
        <f>SUM(F4:K4)</f>
        <v>15404.58</v>
      </c>
      <c r="H4">
        <v>92.98</v>
      </c>
      <c r="I4">
        <f>B3</f>
        <v>3617.18</v>
      </c>
      <c r="J4">
        <f>B5</f>
        <v>7662.36</v>
      </c>
      <c r="K4">
        <f>M4-I4-J4-H4</f>
        <v>4032.06</v>
      </c>
      <c r="M4">
        <v>15404.58</v>
      </c>
    </row>
    <row r="5" spans="1:13">
      <c r="A5" s="3510" t="s">
        <v>3497</v>
      </c>
      <c r="B5">
        <v>7662.36</v>
      </c>
    </row>
    <row r="6" spans="1:13">
      <c r="B6">
        <f>SUM(B2:B5)</f>
        <v>47380</v>
      </c>
    </row>
    <row r="7" spans="1:13">
      <c r="A7" s="3510" t="s">
        <v>3498</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6"/>
  <sheetViews>
    <sheetView view="pageBreakPreview" zoomScale="70" zoomScaleNormal="100" zoomScaleSheetLayoutView="70" workbookViewId="0">
      <selection activeCell="K37" sqref="K37:P4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9" t="s">
        <v>1128</v>
      </c>
      <c r="B2" s="3599"/>
      <c r="C2" s="3599"/>
      <c r="D2" s="792" t="s">
        <v>1104</v>
      </c>
      <c r="E2" s="1635" t="s">
        <v>1105</v>
      </c>
      <c r="F2" s="2655"/>
      <c r="G2" s="2646"/>
      <c r="H2" s="2647"/>
      <c r="I2" s="2321" t="s">
        <v>1129</v>
      </c>
      <c r="J2" s="2655"/>
      <c r="K2" s="2655"/>
      <c r="L2" s="2655"/>
      <c r="M2" s="2655"/>
      <c r="N2" s="2657"/>
      <c r="O2" s="2655"/>
      <c r="P2" s="2655"/>
    </row>
    <row r="3" spans="1:16" ht="15.75" thickBot="1">
      <c r="A3" s="3600" t="s">
        <v>1102</v>
      </c>
      <c r="B3" s="3600"/>
      <c r="C3" s="3600"/>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601"/>
      <c r="B4" s="3602"/>
      <c r="C4" s="3603"/>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604" t="s">
        <v>1107</v>
      </c>
      <c r="C5" s="3604"/>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604" t="s">
        <v>1108</v>
      </c>
      <c r="C6" s="3604"/>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96"/>
      <c r="B7" s="3597"/>
      <c r="C7" s="3598"/>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93" t="s">
        <v>1132</v>
      </c>
      <c r="L16" s="3594"/>
      <c r="M16" s="3594"/>
      <c r="N16" s="3594"/>
      <c r="O16" s="3594"/>
      <c r="P16" s="3595"/>
    </row>
    <row r="17" spans="1:19" ht="15">
      <c r="A17" s="1646" t="s">
        <v>1133</v>
      </c>
      <c r="B17" s="1647" t="s">
        <v>1134</v>
      </c>
      <c r="C17" s="1648" t="s">
        <v>1135</v>
      </c>
      <c r="D17" s="1649" t="s">
        <v>1123</v>
      </c>
      <c r="E17" s="1650" t="s">
        <v>1124</v>
      </c>
      <c r="F17" s="1651"/>
      <c r="G17" s="1652"/>
      <c r="H17" s="1653" t="s">
        <v>1136</v>
      </c>
      <c r="I17" s="1654" t="s">
        <v>1121</v>
      </c>
      <c r="J17" s="1135"/>
      <c r="K17" s="3590" t="s">
        <v>1137</v>
      </c>
      <c r="L17" s="3591"/>
      <c r="M17" s="3592"/>
      <c r="N17" s="3590" t="s">
        <v>1138</v>
      </c>
      <c r="O17" s="3591"/>
      <c r="P17" s="3592"/>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8">
      <c r="D33" s="1674"/>
    </row>
    <row r="37" spans="4:8">
      <c r="F37" s="1634">
        <v>3.7</v>
      </c>
      <c r="G37" s="1634">
        <v>1</v>
      </c>
    </row>
    <row r="38" spans="4:8">
      <c r="G38" s="1634">
        <v>0.5</v>
      </c>
    </row>
    <row r="39" spans="4:8">
      <c r="E39" s="1634">
        <f>F39+G39</f>
        <v>135601.04200000002</v>
      </c>
      <c r="F39" s="1634">
        <f>F37*F27</f>
        <v>128152.68200000002</v>
      </c>
      <c r="G39" s="1634">
        <f>G37*G20+G38*G21</f>
        <v>7448.36</v>
      </c>
    </row>
    <row r="43" spans="4:8">
      <c r="E43" s="3862" t="s">
        <v>3512</v>
      </c>
      <c r="F43" s="1674">
        <f>E27-G21</f>
        <v>38253.039999999994</v>
      </c>
    </row>
    <row r="44" spans="4:8">
      <c r="E44" s="3862" t="s">
        <v>3511</v>
      </c>
      <c r="F44" s="1634">
        <v>36465.339999999997</v>
      </c>
      <c r="G44" s="1634">
        <v>6190</v>
      </c>
      <c r="H44" s="1634">
        <f>G44*10000/365/F44</f>
        <v>4.6506913440513769</v>
      </c>
    </row>
    <row r="45" spans="4:8">
      <c r="F45" s="1674">
        <f>F43-F44</f>
        <v>1787.6999999999971</v>
      </c>
      <c r="G45" s="1634">
        <f>H44*F45*365/10000</f>
        <v>303.46249342526312</v>
      </c>
    </row>
    <row r="46" spans="4:8">
      <c r="G46" s="1634">
        <f>G44+G45</f>
        <v>6493.4624934252633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Z26" sqref="Z2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45457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43.65</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511">
        <v>5.5</v>
      </c>
      <c r="V6" s="70">
        <v>0.02</v>
      </c>
      <c r="W6" s="70">
        <v>0.1</v>
      </c>
      <c r="X6" s="1036"/>
      <c r="Y6" s="71">
        <f>N6</f>
        <v>0.95</v>
      </c>
      <c r="Z6" s="72"/>
      <c r="AA6" s="66"/>
      <c r="AB6" s="66"/>
      <c r="AC6" s="1036"/>
      <c r="AD6" s="73"/>
      <c r="AE6" s="1037">
        <f ca="1">IF(AN6="",0,SUMIF(INDIRECT("'"&amp;AN6&amp;"'"&amp;"!E:E"),$AE$5,INDIRECT("'"&amp;AN6&amp;"'"&amp;"!F:F")))</f>
        <v>43.65</v>
      </c>
      <c r="AF6" s="1344"/>
      <c r="AG6" s="138">
        <f>IF(AF6="",0,AE6-AF6)</f>
        <v>0</v>
      </c>
      <c r="AH6" s="74"/>
      <c r="AI6" s="76">
        <v>365</v>
      </c>
      <c r="AJ6" s="77"/>
      <c r="AK6" s="3513">
        <v>5.0000000000000001E-3</v>
      </c>
      <c r="AL6" s="3514">
        <v>1E-3</v>
      </c>
      <c r="AM6" s="3515">
        <v>0.01</v>
      </c>
      <c r="AN6" s="1711" t="s">
        <v>3476</v>
      </c>
      <c r="AO6" s="52">
        <f ca="1">SUMIF(INDIRECT("'"&amp;AN6&amp;"'"&amp;"!A:A"),"总价",INDIRECT("'"&amp;AN6&amp;"'"&amp;"!B:B"))</f>
        <v>65813</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33.64</v>
      </c>
      <c r="G7" s="65">
        <f t="shared" ref="G7:G11" si="2">IF(ISERROR(ROUND(POWER(1+H7,D7-F7)*(POWER(1+H7,F7)-1)/(POWER(1+H7,D7)-1),3)),0,ROUND(POWER(1+H7,D7-F7)*(POWER(1+H7,F7)-1)/(POWER(1+H7,D7)-1),3))</f>
        <v>0.94</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511">
        <v>4.5</v>
      </c>
      <c r="V7" s="70">
        <v>0.02</v>
      </c>
      <c r="W7" s="70">
        <v>0.1</v>
      </c>
      <c r="X7" s="1036"/>
      <c r="Y7" s="71">
        <f t="shared" ref="Y7:Y8" si="7">N7</f>
        <v>0.95</v>
      </c>
      <c r="Z7" s="72"/>
      <c r="AA7" s="66"/>
      <c r="AB7" s="66"/>
      <c r="AC7" s="1036"/>
      <c r="AD7" s="73"/>
      <c r="AE7" s="1037">
        <f t="shared" ref="AE7:AE13" ca="1" si="8">IF(AN7="",0,SUMIF(INDIRECT("'"&amp;AN7&amp;"'"&amp;"!E:E"),$AE$5,INDIRECT("'"&amp;AN7&amp;"'"&amp;"!F:F")))</f>
        <v>33.64</v>
      </c>
      <c r="AF7" s="1344"/>
      <c r="AG7" s="138">
        <f t="shared" ref="AG7:AG13" si="9">IF(AF7="",0,AE7-AF7)</f>
        <v>0</v>
      </c>
      <c r="AH7" s="74"/>
      <c r="AI7" s="76">
        <v>365</v>
      </c>
      <c r="AJ7" s="77"/>
      <c r="AK7" s="3513">
        <v>5.0000000000000001E-3</v>
      </c>
      <c r="AL7" s="3514">
        <v>1E-3</v>
      </c>
      <c r="AM7" s="3515">
        <v>0.01</v>
      </c>
      <c r="AN7" s="1711" t="s">
        <v>3474</v>
      </c>
      <c r="AO7" s="52">
        <f t="shared" ref="AO7:AO13" ca="1" si="10">SUMIF(INDIRECT("'"&amp;AN7&amp;"'"&amp;"!A:A"),"总价",INDIRECT("'"&amp;AN7&amp;"'"&amp;"!B:B"))</f>
        <v>40203</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43.65</v>
      </c>
      <c r="G8" s="65">
        <f t="shared" si="2"/>
        <v>0.96</v>
      </c>
      <c r="H8" s="731">
        <v>4.4999999999999998E-2</v>
      </c>
      <c r="I8" s="3517">
        <v>5.5E-2</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512">
        <v>800</v>
      </c>
      <c r="V8" s="3516">
        <v>1.4999999999999999E-2</v>
      </c>
      <c r="W8" s="734">
        <v>0.1</v>
      </c>
      <c r="X8" s="1036"/>
      <c r="Y8" s="71">
        <f t="shared" si="7"/>
        <v>0.95</v>
      </c>
      <c r="Z8" s="72"/>
      <c r="AA8" s="66"/>
      <c r="AB8" s="66"/>
      <c r="AC8" s="1036"/>
      <c r="AD8" s="73"/>
      <c r="AE8" s="1037">
        <f t="shared" ca="1" si="8"/>
        <v>43.65</v>
      </c>
      <c r="AF8" s="1344"/>
      <c r="AG8" s="138">
        <f t="shared" si="9"/>
        <v>0</v>
      </c>
      <c r="AH8" s="735">
        <v>275</v>
      </c>
      <c r="AI8" s="76">
        <v>12</v>
      </c>
      <c r="AJ8" s="77"/>
      <c r="AK8" s="3513">
        <v>2E-3</v>
      </c>
      <c r="AL8" s="3514">
        <v>1E-3</v>
      </c>
      <c r="AM8" s="3515">
        <v>5.0000000000000001E-3</v>
      </c>
      <c r="AN8" s="1711" t="s">
        <v>3478</v>
      </c>
      <c r="AO8" s="52">
        <f t="shared" ca="1" si="10"/>
        <v>3702</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0.95499999999999996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5.2</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v>
      </c>
      <c r="W21" s="2667">
        <v>5.2</v>
      </c>
      <c r="X21" s="2667">
        <f>W21*365/0.05</f>
        <v>37960</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0.35</v>
      </c>
      <c r="W22" s="2667">
        <f>V22*W20</f>
        <v>1.8199999999999998</v>
      </c>
      <c r="X22" s="2667">
        <f>W22*365/0.055</f>
        <v>12078.181818181818</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3483</v>
      </c>
      <c r="K23" s="2668"/>
      <c r="L23" s="2668" t="s">
        <v>3484</v>
      </c>
      <c r="M23" s="2667">
        <f>M24+M25</f>
        <v>33590.18</v>
      </c>
      <c r="N23" s="2667"/>
      <c r="O23" s="2667"/>
      <c r="P23" s="2667"/>
      <c r="Q23" s="2667"/>
      <c r="R23" s="2667"/>
      <c r="S23" s="2667"/>
      <c r="T23" s="2667"/>
      <c r="U23" s="2667">
        <f>U21+U22</f>
        <v>17564.759999999998</v>
      </c>
      <c r="V23" s="2667"/>
      <c r="W23" s="2667">
        <f>(U21*W21+U22*W22)/(U21+U22)</f>
        <v>4.5039433274351595</v>
      </c>
      <c r="X23" s="2667">
        <f>(X21*U21+X22*U22)/U23</f>
        <v>32630.05554924126</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3485</v>
      </c>
      <c r="K26" s="2668" t="s">
        <v>3486</v>
      </c>
      <c r="L26" s="2668"/>
      <c r="M26" s="2667">
        <f>M27+M30+M31</f>
        <v>4930</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3487</v>
      </c>
      <c r="L27" s="2668" t="s">
        <v>3484</v>
      </c>
      <c r="M27" s="2667">
        <f>ROUND((M24*M28+M25*M29)/M23,0)</f>
        <v>2530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3488</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3489</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5" t="s">
        <v>2281</v>
      </c>
      <c r="B1" s="3606"/>
      <c r="C1" s="3606"/>
      <c r="D1" s="3606"/>
      <c r="E1" s="3606"/>
      <c r="F1" s="3606"/>
      <c r="G1" s="360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45457</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136579</v>
      </c>
      <c r="C5" s="2508">
        <f ca="1">IF(B5=D14,结果表!H102,ROUND(B5*10000/$B$1,0))</f>
        <v>27165</v>
      </c>
      <c r="D5" s="2508" t="e">
        <f ca="1">ROUND(B5*10000/$B$2,0)</f>
        <v>#DIV/0!</v>
      </c>
      <c r="E5" s="2682"/>
      <c r="F5" s="2683"/>
      <c r="G5" s="2683"/>
      <c r="H5" s="2684"/>
      <c r="I5" s="2684"/>
      <c r="J5" s="2684"/>
      <c r="K5" s="2684"/>
    </row>
    <row r="6" spans="1:11" ht="16.5">
      <c r="A6" s="2508" t="s">
        <v>655</v>
      </c>
      <c r="B6" s="2508">
        <f ca="1">SUM(G14:G23)</f>
        <v>136579</v>
      </c>
      <c r="C6" s="2508">
        <f ca="1">IF(B6=G14,结果表!H108,ROUND(B6*10000/$B$1,0))</f>
        <v>27165</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20585</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136579</v>
      </c>
      <c r="E14" s="2514">
        <f ca="1">ROUND(D14*10000/B14,0)</f>
        <v>40457</v>
      </c>
      <c r="F14" s="2514" t="e">
        <f ca="1">ROUND(D14*10000/C14,0)</f>
        <v>#DIV/0!</v>
      </c>
      <c r="G14" s="2514">
        <f ca="1">D14</f>
        <v>136579</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I34" sqref="I34"/>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74" t="str">
        <f>项目基本情况!S2</f>
        <v>北京市房地产</v>
      </c>
      <c r="B2" s="3675"/>
      <c r="C2" s="3675"/>
      <c r="D2" s="3675"/>
      <c r="E2" s="3675"/>
      <c r="F2" s="3675"/>
      <c r="G2" s="3675"/>
      <c r="H2" s="3675"/>
      <c r="I2" s="3676"/>
    </row>
    <row r="3" spans="1:12" ht="12.75">
      <c r="A3" s="3678" t="s">
        <v>1261</v>
      </c>
      <c r="B3" s="3679"/>
      <c r="C3" s="3679"/>
      <c r="D3" s="3679"/>
      <c r="E3" s="3679"/>
      <c r="F3" s="3679"/>
      <c r="G3" s="3679"/>
      <c r="H3" s="3679"/>
      <c r="I3" s="3679"/>
    </row>
    <row r="4" spans="1:12" ht="14.25">
      <c r="A4" s="1750" t="s">
        <v>1262</v>
      </c>
      <c r="B4" s="1751" t="s">
        <v>1263</v>
      </c>
      <c r="C4" s="1752" t="s">
        <v>3466</v>
      </c>
      <c r="D4" s="1752" t="s">
        <v>3480</v>
      </c>
      <c r="E4" s="3683" t="s">
        <v>1264</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1265</v>
      </c>
      <c r="B5" s="3677">
        <v>25</v>
      </c>
      <c r="C5" s="3680"/>
      <c r="D5" s="3668"/>
      <c r="E5" s="131" t="s">
        <v>1266</v>
      </c>
      <c r="F5" s="1753"/>
      <c r="G5" s="1753"/>
      <c r="H5" s="1753"/>
      <c r="I5" s="1369"/>
    </row>
    <row r="6" spans="1:12" ht="12.75">
      <c r="A6" s="3622"/>
      <c r="B6" s="3677"/>
      <c r="C6" s="3682"/>
      <c r="D6" s="3668"/>
      <c r="E6" s="131" t="s">
        <v>1267</v>
      </c>
      <c r="F6" s="1753"/>
      <c r="G6" s="1753"/>
      <c r="H6" s="1753"/>
      <c r="I6" s="1369"/>
    </row>
    <row r="7" spans="1:12" ht="12.75">
      <c r="A7" s="3622"/>
      <c r="B7" s="3677"/>
      <c r="C7" s="3681"/>
      <c r="D7" s="3668"/>
      <c r="E7" s="131" t="s">
        <v>1268</v>
      </c>
      <c r="F7" s="1753"/>
      <c r="G7" s="1753"/>
      <c r="H7" s="1753"/>
      <c r="I7" s="1369"/>
    </row>
    <row r="8" spans="1:12" ht="12.75">
      <c r="A8" s="3622" t="s">
        <v>1269</v>
      </c>
      <c r="B8" s="3677">
        <v>15</v>
      </c>
      <c r="C8" s="3680"/>
      <c r="D8" s="3668"/>
      <c r="E8" s="131" t="s">
        <v>1270</v>
      </c>
      <c r="F8" s="1753"/>
      <c r="G8" s="1753"/>
      <c r="H8" s="1753"/>
      <c r="I8" s="1369"/>
    </row>
    <row r="9" spans="1:12" ht="12.75">
      <c r="A9" s="3622"/>
      <c r="B9" s="3677"/>
      <c r="C9" s="3681"/>
      <c r="D9" s="3668"/>
      <c r="E9" s="131" t="s">
        <v>1271</v>
      </c>
      <c r="F9" s="1753"/>
      <c r="G9" s="1753"/>
      <c r="H9" s="1753"/>
      <c r="I9" s="1369"/>
    </row>
    <row r="10" spans="1:12" ht="12.75">
      <c r="A10" s="3622" t="s">
        <v>1272</v>
      </c>
      <c r="B10" s="3677">
        <v>15</v>
      </c>
      <c r="C10" s="3680"/>
      <c r="D10" s="3668"/>
      <c r="E10" s="131" t="s">
        <v>1273</v>
      </c>
      <c r="F10" s="1753"/>
      <c r="G10" s="1753"/>
      <c r="H10" s="1753"/>
      <c r="I10" s="1369"/>
    </row>
    <row r="11" spans="1:12" ht="12.75">
      <c r="A11" s="3622"/>
      <c r="B11" s="3677"/>
      <c r="C11" s="3681"/>
      <c r="D11" s="3668"/>
      <c r="E11" s="131" t="s">
        <v>1274</v>
      </c>
      <c r="F11" s="1753"/>
      <c r="G11" s="1753"/>
      <c r="H11" s="1753"/>
      <c r="I11" s="1369"/>
    </row>
    <row r="12" spans="1:12" ht="12.75">
      <c r="A12" s="3622" t="s">
        <v>1275</v>
      </c>
      <c r="B12" s="3677">
        <v>15</v>
      </c>
      <c r="C12" s="3680"/>
      <c r="D12" s="3668"/>
      <c r="E12" s="131" t="s">
        <v>1276</v>
      </c>
      <c r="F12" s="1753"/>
      <c r="G12" s="1753"/>
      <c r="H12" s="1753"/>
      <c r="I12" s="1369"/>
    </row>
    <row r="13" spans="1:12" ht="12.75">
      <c r="A13" s="3622"/>
      <c r="B13" s="3677"/>
      <c r="C13" s="3681"/>
      <c r="D13" s="3668"/>
      <c r="E13" s="131" t="s">
        <v>1277</v>
      </c>
      <c r="F13" s="1753"/>
      <c r="G13" s="1753"/>
      <c r="H13" s="1753"/>
      <c r="I13" s="1369"/>
    </row>
    <row r="14" spans="1:12" ht="12.75">
      <c r="A14" s="3622" t="s">
        <v>1278</v>
      </c>
      <c r="B14" s="3677">
        <v>30</v>
      </c>
      <c r="C14" s="3680">
        <v>6</v>
      </c>
      <c r="D14" s="3668">
        <v>4</v>
      </c>
      <c r="E14" s="131" t="s">
        <v>1279</v>
      </c>
      <c r="F14" s="1753"/>
      <c r="G14" s="1753"/>
      <c r="H14" s="1753"/>
      <c r="I14" s="1369"/>
    </row>
    <row r="15" spans="1:12" ht="12.75">
      <c r="A15" s="3622"/>
      <c r="B15" s="3677"/>
      <c r="C15" s="3682"/>
      <c r="D15" s="3668"/>
      <c r="E15" s="131" t="s">
        <v>1280</v>
      </c>
      <c r="F15" s="1753"/>
      <c r="G15" s="1753"/>
      <c r="H15" s="1753"/>
      <c r="I15" s="1369"/>
    </row>
    <row r="16" spans="1:12" ht="12.75">
      <c r="A16" s="3622"/>
      <c r="B16" s="3677"/>
      <c r="C16" s="3681"/>
      <c r="D16" s="3668"/>
      <c r="E16" s="131" t="s">
        <v>1281</v>
      </c>
      <c r="F16" s="1753"/>
      <c r="G16" s="1753"/>
      <c r="H16" s="1753"/>
      <c r="I16" s="1369"/>
    </row>
    <row r="17" spans="1:36" ht="15">
      <c r="A17" s="1754" t="s">
        <v>1282</v>
      </c>
      <c r="B17" s="56"/>
      <c r="C17" s="132">
        <f>SUM(C5:C16)</f>
        <v>6</v>
      </c>
      <c r="D17" s="132">
        <f>SUM(D5:D16)</f>
        <v>4</v>
      </c>
      <c r="E17" s="129"/>
      <c r="F17" s="129"/>
      <c r="G17" s="129"/>
      <c r="H17" s="129"/>
      <c r="I17" s="129"/>
      <c r="K17" s="302"/>
      <c r="L17" s="302" t="s">
        <v>1283</v>
      </c>
      <c r="M17" s="302" t="s">
        <v>1284</v>
      </c>
    </row>
    <row r="18" spans="1:36" ht="31.9" customHeight="1" thickBot="1">
      <c r="A18" s="1755" t="s">
        <v>1285</v>
      </c>
      <c r="B18" s="1756"/>
      <c r="C18" s="133">
        <f>ROUND(C17/SUM(C17:D17),2)</f>
        <v>0.6</v>
      </c>
      <c r="D18" s="133">
        <f>1-C18</f>
        <v>0.4</v>
      </c>
      <c r="E18" s="3699" t="s">
        <v>2126</v>
      </c>
      <c r="F18" s="3700"/>
      <c r="G18" s="3700"/>
      <c r="H18" s="3700"/>
      <c r="I18" s="3700"/>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154486</v>
      </c>
      <c r="D19" s="135">
        <f ca="1">SUMIF(INDIRECT("'"&amp;D4&amp;"'"&amp;"!A:A"),结果表!B19,INDIRECT("'"&amp;D4&amp;"'"&amp;"!B:B"))</f>
        <v>109718</v>
      </c>
      <c r="E19" s="1757" t="s">
        <v>1289</v>
      </c>
      <c r="F19" s="1758" t="s">
        <v>1288</v>
      </c>
      <c r="G19" s="136">
        <f ca="1">ROUND(C19*$C$18+D19*$D$18,0)</f>
        <v>136579</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30726</v>
      </c>
      <c r="D20" s="138">
        <f ca="1">SUMIF(INDIRECT("'"&amp;D4&amp;"'"&amp;"!A:A"),结果表!B20,INDIRECT("'"&amp;D4&amp;"'"&amp;"!B:B"))</f>
        <v>21822</v>
      </c>
      <c r="E20" s="1760"/>
      <c r="F20" s="1022" t="s">
        <v>1292</v>
      </c>
      <c r="G20" s="139">
        <f ca="1">ROUND(C20*$C$18+D20*$D$18,0)</f>
        <v>27164</v>
      </c>
      <c r="H20" s="804" t="s">
        <v>1293</v>
      </c>
      <c r="I20" s="129"/>
    </row>
    <row r="21" spans="1:36" ht="15" customHeight="1" thickBot="1">
      <c r="A21" s="824"/>
      <c r="B21" s="1761" t="s">
        <v>1294</v>
      </c>
      <c r="C21" s="718">
        <f ca="1">ROUND(C19*10000/L19,0)</f>
        <v>149606</v>
      </c>
      <c r="D21" s="719">
        <f ca="1">ROUND(D19*10000/L19,0)</f>
        <v>106252</v>
      </c>
      <c r="E21" s="824"/>
      <c r="F21" s="1761" t="s">
        <v>1294</v>
      </c>
      <c r="G21" s="140">
        <f ca="1">ROUND(G19*10000/L19,0)</f>
        <v>132265</v>
      </c>
      <c r="H21" s="1762" t="s">
        <v>1293</v>
      </c>
      <c r="I21" s="129"/>
    </row>
    <row r="22" spans="1:36" ht="15" thickBot="1">
      <c r="A22" s="1684" t="s">
        <v>1295</v>
      </c>
      <c r="B22" s="1763"/>
      <c r="C22" s="1764"/>
      <c r="D22" s="720">
        <f ca="1">IF(C19&lt;D19,D19/C19-1,C19/D19-1)</f>
        <v>0.40802785322371893</v>
      </c>
      <c r="E22" s="129"/>
      <c r="F22" s="129"/>
      <c r="G22" s="129"/>
      <c r="H22" s="129"/>
      <c r="I22" s="129"/>
    </row>
    <row r="23" spans="1:36" ht="13.5" thickBot="1">
      <c r="A23" s="1743"/>
      <c r="B23" s="1743"/>
      <c r="C23" s="1743"/>
      <c r="D23" s="1743"/>
      <c r="E23" s="129"/>
      <c r="F23" s="129"/>
      <c r="G23" s="129"/>
      <c r="H23" s="129"/>
      <c r="I23" s="129"/>
    </row>
    <row r="24" spans="1:36" ht="14.25">
      <c r="A24" s="3692" t="s">
        <v>1296</v>
      </c>
      <c r="B24" s="1758" t="s">
        <v>1288</v>
      </c>
      <c r="C24" s="136">
        <f>IF(B30=0,0,D30)</f>
        <v>0</v>
      </c>
      <c r="D24" s="1765"/>
      <c r="E24" s="129"/>
      <c r="F24" s="129"/>
      <c r="G24" s="129"/>
      <c r="H24" s="129"/>
      <c r="I24" s="129"/>
    </row>
    <row r="25" spans="1:36" ht="14.25">
      <c r="A25" s="3693"/>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41157.575757575753</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136579</v>
      </c>
      <c r="D32" s="1771" t="s">
        <v>3482</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105576</v>
      </c>
      <c r="D34" s="857">
        <f ca="1">IF(C33="自定义",ROUND(C34/C32,3),IF(C33="收益比率",SUMIF(INDIRECT("'"&amp;D33&amp;"'"&amp;"!b:b"),"土地收益比率",INDIRECT("'"&amp;D33&amp;"'"&amp;"!c:c")),SUMIF(INDIRECT("'"&amp;D33&amp;"'"&amp;"!b:b"),"土地成本比率",INDIRECT("'"&amp;D33&amp;"'"&amp;"!c:c"))))</f>
        <v>0.77300000000000002</v>
      </c>
      <c r="E34" s="1779" t="s">
        <v>1306</v>
      </c>
      <c r="F34" s="1326"/>
      <c r="G34" s="129"/>
      <c r="H34" s="129"/>
      <c r="I34" s="129"/>
    </row>
    <row r="35" spans="1:15" ht="15.75" thickBot="1">
      <c r="A35" s="1780"/>
      <c r="B35" s="1781" t="s">
        <v>1307</v>
      </c>
      <c r="C35" s="1166">
        <f ca="1">IF(C33="自定义",F35,ROUND(C32*D35,0))</f>
        <v>31003</v>
      </c>
      <c r="D35" s="1167">
        <f ca="1">IF(C33="自定义",ROUND(C35/C32,3),IF(C33="收益比率",SUMIF(INDIRECT("'"&amp;D33&amp;"'"&amp;"!b:b"),"建筑物收益比率",INDIRECT("'"&amp;D33&amp;"'"&amp;"!c:c")),SUMIF(INDIRECT("'"&amp;D33&amp;"'"&amp;"!b:b"),"建筑物成本比率",INDIRECT("'"&amp;D33&amp;"'"&amp;"!c:c"))))</f>
        <v>0.22700000000000001</v>
      </c>
      <c r="E35" s="1782" t="s">
        <v>1308</v>
      </c>
      <c r="F35" s="154"/>
      <c r="G35" s="129"/>
      <c r="H35" s="129"/>
      <c r="I35" s="129"/>
    </row>
    <row r="36" spans="1:15" ht="15.75" thickBot="1">
      <c r="A36" s="3669" t="s">
        <v>1309</v>
      </c>
      <c r="B36" s="1783" t="s">
        <v>1310</v>
      </c>
      <c r="C36" s="145"/>
      <c r="D36" s="1784"/>
      <c r="E36" s="1785"/>
      <c r="F36" s="1786"/>
      <c r="G36" s="129"/>
      <c r="H36" s="129"/>
      <c r="I36" s="129"/>
    </row>
    <row r="37" spans="1:15" ht="15.75" thickBot="1">
      <c r="A37" s="3670"/>
      <c r="B37" s="1670" t="s">
        <v>1311</v>
      </c>
      <c r="C37" s="147"/>
      <c r="D37" s="1135"/>
      <c r="E37" s="1135"/>
      <c r="F37" s="1786"/>
      <c r="G37" s="129"/>
      <c r="H37" s="129"/>
      <c r="I37" s="129"/>
    </row>
    <row r="38" spans="1:15" ht="15.75" thickBot="1">
      <c r="A38" s="3671"/>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9" t="s">
        <v>1323</v>
      </c>
      <c r="B45" s="3690"/>
      <c r="C45" s="3691"/>
      <c r="D45" s="155">
        <f ca="1">ROUND(H101*F45,0)</f>
        <v>136579</v>
      </c>
      <c r="E45" s="156" t="s">
        <v>1324</v>
      </c>
      <c r="F45" s="157">
        <v>1</v>
      </c>
      <c r="G45" s="158" t="s">
        <v>1325</v>
      </c>
      <c r="H45" s="129"/>
      <c r="I45" s="129"/>
      <c r="J45" s="3609" t="s">
        <v>1326</v>
      </c>
      <c r="K45" s="3609"/>
      <c r="L45" s="3609"/>
      <c r="M45" s="3609"/>
      <c r="N45" s="3609"/>
      <c r="O45" s="3609"/>
    </row>
    <row r="46" spans="1:15" ht="14.25" customHeight="1">
      <c r="A46" s="3686" t="s">
        <v>1327</v>
      </c>
      <c r="B46" s="3687"/>
      <c r="C46" s="3687"/>
      <c r="D46" s="3687"/>
      <c r="E46" s="3687"/>
      <c r="F46" s="3687"/>
      <c r="G46" s="3688"/>
      <c r="H46" s="1802"/>
      <c r="I46" s="159"/>
      <c r="J46" s="2519">
        <v>1</v>
      </c>
      <c r="K46" s="3610" t="s">
        <v>1328</v>
      </c>
      <c r="L46" s="3610"/>
      <c r="M46" s="3611"/>
      <c r="N46" s="3611"/>
      <c r="O46" s="3611"/>
    </row>
    <row r="47" spans="1:15" ht="12" customHeight="1">
      <c r="A47" s="160" t="s">
        <v>1329</v>
      </c>
      <c r="B47" s="161"/>
      <c r="C47" s="162"/>
      <c r="D47" s="1083" t="s">
        <v>1330</v>
      </c>
      <c r="E47" s="302" t="s">
        <v>1331</v>
      </c>
      <c r="F47" s="163" t="s">
        <v>1332</v>
      </c>
      <c r="G47" s="2542" t="s">
        <v>1333</v>
      </c>
      <c r="H47" s="2543"/>
      <c r="I47" s="159"/>
      <c r="J47" s="2519">
        <v>2</v>
      </c>
      <c r="K47" s="3610" t="s">
        <v>1334</v>
      </c>
      <c r="L47" s="3610"/>
      <c r="M47" s="3612">
        <f>'数据-取费表'!B2</f>
        <v>45457</v>
      </c>
      <c r="N47" s="3612"/>
      <c r="O47" s="3612"/>
    </row>
    <row r="48" spans="1:15" ht="25.5">
      <c r="A48" s="3672" t="s">
        <v>1335</v>
      </c>
      <c r="B48" s="3673"/>
      <c r="C48" s="3673"/>
      <c r="D48" s="2320">
        <f ca="1">IF(H48="情况1",0,IF(H48="情况2",D52,IF(H48="情况3",D53,IF(H48="情况4",D54))))</f>
        <v>7284</v>
      </c>
      <c r="E48" s="2330" t="str">
        <f>IF(H48="情况4","(销售额-原购置价)×税（费）率","销售额×税（费）率")</f>
        <v>销售额×税（费）率</v>
      </c>
      <c r="F48" s="2544">
        <f>IF(H48="情况1","免征",'数据-取费表'!B41)</f>
        <v>5.6000000000000001E-2</v>
      </c>
      <c r="G48" s="2545" t="s">
        <v>1336</v>
      </c>
      <c r="H48" s="2546" t="s">
        <v>3490</v>
      </c>
      <c r="I48" s="1802"/>
      <c r="J48" s="2519">
        <v>3</v>
      </c>
      <c r="K48" s="3610" t="s">
        <v>1337</v>
      </c>
      <c r="L48" s="3610"/>
      <c r="M48" s="3613">
        <f ca="1">H101</f>
        <v>136579</v>
      </c>
      <c r="N48" s="3613"/>
      <c r="O48" s="3613"/>
    </row>
    <row r="49" spans="1:35" ht="25.5" customHeight="1">
      <c r="A49" s="2329" t="s">
        <v>1338</v>
      </c>
      <c r="B49" s="3658" t="s">
        <v>1339</v>
      </c>
      <c r="C49" s="3658"/>
      <c r="D49" s="1586">
        <v>0</v>
      </c>
      <c r="E49" s="324" t="s">
        <v>1340</v>
      </c>
      <c r="F49" s="2420" t="s">
        <v>28</v>
      </c>
      <c r="G49" s="3641"/>
      <c r="H49" s="2306" t="s">
        <v>2129</v>
      </c>
      <c r="I49" s="2307"/>
      <c r="J49" s="2519">
        <v>4</v>
      </c>
      <c r="K49" s="3610" t="str">
        <f>IF(项目基本情况!E8="房地产抵押价值","房地产抵押价值","抵押担保权已注销时的房地产抵押价值")</f>
        <v>房地产抵押价值</v>
      </c>
      <c r="L49" s="3610"/>
      <c r="M49" s="3613">
        <f ca="1">IF(项目基本情况!E8="房地产抵押价值",H107,H109)</f>
        <v>136579</v>
      </c>
      <c r="N49" s="3613"/>
      <c r="O49" s="3613"/>
    </row>
    <row r="50" spans="1:35" ht="25.5" customHeight="1">
      <c r="A50" s="2547"/>
      <c r="B50" s="3658" t="s">
        <v>1341</v>
      </c>
      <c r="C50" s="3658"/>
      <c r="D50" s="2548"/>
      <c r="E50" s="332"/>
      <c r="F50" s="2420"/>
      <c r="G50" s="3642"/>
      <c r="H50" s="2308" t="s">
        <v>2130</v>
      </c>
      <c r="I50" s="2307"/>
      <c r="J50" s="3609" t="s">
        <v>1342</v>
      </c>
      <c r="K50" s="3609"/>
      <c r="L50" s="3609"/>
      <c r="M50" s="3609"/>
      <c r="N50" s="3609"/>
      <c r="O50" s="3609"/>
    </row>
    <row r="51" spans="1:35" ht="20.45" customHeight="1">
      <c r="A51" s="2549"/>
      <c r="B51" s="3658" t="s">
        <v>1343</v>
      </c>
      <c r="C51" s="3658"/>
      <c r="D51" s="1083"/>
      <c r="E51" s="327"/>
      <c r="F51" s="2420"/>
      <c r="G51" s="3643"/>
      <c r="H51" s="2308" t="s">
        <v>2131</v>
      </c>
      <c r="I51" s="2307"/>
      <c r="J51" s="2520" t="s">
        <v>1344</v>
      </c>
      <c r="K51" s="3610" t="s">
        <v>1345</v>
      </c>
      <c r="L51" s="3610"/>
      <c r="M51" s="2520" t="s">
        <v>1346</v>
      </c>
      <c r="N51" s="2520" t="s">
        <v>1347</v>
      </c>
      <c r="O51" s="2520" t="s">
        <v>1348</v>
      </c>
    </row>
    <row r="52" spans="1:35" ht="24" customHeight="1">
      <c r="A52" s="2331" t="s">
        <v>1349</v>
      </c>
      <c r="B52" s="3658" t="s">
        <v>1350</v>
      </c>
      <c r="C52" s="3658"/>
      <c r="D52" s="1083">
        <f ca="1">ROUND(D45*'数据-取费表'!B41/(1+'数据-取费表'!C42),0)</f>
        <v>7284</v>
      </c>
      <c r="E52" s="2330" t="s">
        <v>1351</v>
      </c>
      <c r="F52" s="2550">
        <f>'数据-取费表'!B41</f>
        <v>5.6000000000000001E-2</v>
      </c>
      <c r="G52" s="2551"/>
      <c r="H52" s="2540"/>
      <c r="I52" s="1803"/>
      <c r="J52" s="2519">
        <v>1</v>
      </c>
      <c r="K52" s="3635" t="s">
        <v>1352</v>
      </c>
      <c r="L52" s="3635"/>
      <c r="M52" s="2521">
        <f ca="1">D48</f>
        <v>7284</v>
      </c>
      <c r="N52" s="2519" t="str">
        <f>E48</f>
        <v>销售额×税（费）率</v>
      </c>
      <c r="O52" s="2522">
        <f>F48</f>
        <v>5.6000000000000001E-2</v>
      </c>
    </row>
    <row r="53" spans="1:35" ht="12" customHeight="1">
      <c r="A53" s="2331" t="s">
        <v>1353</v>
      </c>
      <c r="B53" s="3659" t="s">
        <v>2286</v>
      </c>
      <c r="C53" s="3660"/>
      <c r="D53" s="1083">
        <f ca="1">ROUND(D45*'数据-取费表'!B41/(1+'数据-取费表'!C42),0)</f>
        <v>7284</v>
      </c>
      <c r="E53" s="2330" t="s">
        <v>1351</v>
      </c>
      <c r="F53" s="2550">
        <f>'数据-取费表'!B41</f>
        <v>5.6000000000000001E-2</v>
      </c>
      <c r="G53" s="2551"/>
      <c r="H53" s="2540"/>
      <c r="I53" s="1803"/>
      <c r="J53" s="2519">
        <v>2</v>
      </c>
      <c r="K53" s="3635" t="s">
        <v>1354</v>
      </c>
      <c r="L53" s="3635"/>
      <c r="M53" s="2521">
        <f t="shared" ref="M53:O54" ca="1" si="0">D55</f>
        <v>68</v>
      </c>
      <c r="N53" s="2519" t="str">
        <f t="shared" si="0"/>
        <v>销售额×税（费）率</v>
      </c>
      <c r="O53" s="2522">
        <f t="shared" si="0"/>
        <v>5.0000000000000001E-4</v>
      </c>
    </row>
    <row r="54" spans="1:35" ht="12" customHeight="1">
      <c r="A54" s="2331" t="s">
        <v>1355</v>
      </c>
      <c r="B54" s="3659" t="s">
        <v>2287</v>
      </c>
      <c r="C54" s="3660"/>
      <c r="D54" s="1083">
        <f ca="1">C68</f>
        <v>7284</v>
      </c>
      <c r="E54" s="327" t="s">
        <v>1356</v>
      </c>
      <c r="F54" s="2550">
        <f>'数据-取费表'!B41</f>
        <v>5.6000000000000001E-2</v>
      </c>
      <c r="G54" s="2551"/>
      <c r="H54" s="2552"/>
      <c r="I54" s="1803"/>
      <c r="J54" s="2519">
        <v>3</v>
      </c>
      <c r="K54" s="3635" t="s">
        <v>1357</v>
      </c>
      <c r="L54" s="3635"/>
      <c r="M54" s="2521">
        <f t="shared" ca="1" si="0"/>
        <v>25731</v>
      </c>
      <c r="N54" s="2519" t="str">
        <f t="shared" si="0"/>
        <v>增值额×税（费）率</v>
      </c>
      <c r="O54" s="2523" t="str">
        <f t="shared" si="0"/>
        <v>——</v>
      </c>
      <c r="Q54" s="724">
        <f ca="1">M49*0.05/1.05</f>
        <v>6503.7619047619055</v>
      </c>
    </row>
    <row r="55" spans="1:35" ht="24" customHeight="1">
      <c r="A55" s="3695" t="s">
        <v>1358</v>
      </c>
      <c r="B55" s="3673"/>
      <c r="C55" s="3673"/>
      <c r="D55" s="2320">
        <f ca="1">IF(H55="个人住宅",0,ROUND(D45*I55,0))</f>
        <v>68</v>
      </c>
      <c r="E55" s="2330" t="s">
        <v>1359</v>
      </c>
      <c r="F55" s="2550">
        <f>IF(H55="正常",I55,"免征")</f>
        <v>5.0000000000000001E-4</v>
      </c>
      <c r="G55" s="2551"/>
      <c r="H55" s="2546" t="s">
        <v>3392</v>
      </c>
      <c r="I55" s="165">
        <f>'数据-取费表'!B49</f>
        <v>5.0000000000000001E-4</v>
      </c>
      <c r="J55" s="2519" t="str">
        <f>IF(H59="非个人房产","",4)</f>
        <v/>
      </c>
      <c r="K55" s="3635" t="str">
        <f>IF(H59="非个人房产","——","个人所得税")</f>
        <v>——</v>
      </c>
      <c r="L55" s="3635"/>
      <c r="M55" s="2524" t="str">
        <f>D59</f>
        <v>——</v>
      </c>
      <c r="N55" s="2036" t="str">
        <f>E59</f>
        <v>——</v>
      </c>
      <c r="O55" s="2525" t="str">
        <f>F59</f>
        <v>——</v>
      </c>
    </row>
    <row r="56" spans="1:35" ht="24.75">
      <c r="A56" s="3695" t="s">
        <v>1360</v>
      </c>
      <c r="B56" s="3673"/>
      <c r="C56" s="3673"/>
      <c r="D56" s="2320">
        <f ca="1">IF(H56="个人住宅",D57,D58)</f>
        <v>25731</v>
      </c>
      <c r="E56" s="2330" t="s">
        <v>1361</v>
      </c>
      <c r="F56" s="2550" t="str">
        <f>IF(H56="正常",F58,"免征")</f>
        <v>——</v>
      </c>
      <c r="G56" s="2553" t="s">
        <v>1362</v>
      </c>
      <c r="H56" s="2554" t="s">
        <v>3392</v>
      </c>
      <c r="I56" s="1804"/>
      <c r="J56" s="2519"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2331" t="s">
        <v>1338</v>
      </c>
      <c r="B57" s="3659" t="s">
        <v>1363</v>
      </c>
      <c r="C57" s="3660"/>
      <c r="D57" s="1586">
        <v>0</v>
      </c>
      <c r="E57" s="324" t="s">
        <v>1340</v>
      </c>
      <c r="F57" s="302"/>
      <c r="G57" s="2551"/>
      <c r="H57" s="2555"/>
      <c r="I57" s="1804"/>
      <c r="J57" s="3635">
        <f>IF(AND(J55="",J56=""),4,IF(项目基本情况!K6="上海银行",结果表!J56+1,结果表!J55+1))</f>
        <v>4</v>
      </c>
      <c r="K57" s="3635" t="s">
        <v>1364</v>
      </c>
      <c r="L57" s="2526" t="s">
        <v>1365</v>
      </c>
      <c r="M57" s="2527"/>
      <c r="N57" s="2528">
        <f ca="1">SUMIF(M52:M56,"&lt;9e307")</f>
        <v>33083</v>
      </c>
      <c r="O57" s="2529"/>
      <c r="P57" s="2686">
        <f ca="1">N57/M49</f>
        <v>0.24222611089552568</v>
      </c>
    </row>
    <row r="58" spans="1:35" ht="24.75">
      <c r="A58" s="2331" t="s">
        <v>1349</v>
      </c>
      <c r="B58" s="3659" t="s">
        <v>1366</v>
      </c>
      <c r="C58" s="3658"/>
      <c r="D58" s="2320">
        <f ca="1">IF(H58="转让取得",C81,C97)</f>
        <v>25731</v>
      </c>
      <c r="E58" s="2330" t="s">
        <v>1361</v>
      </c>
      <c r="F58" s="302" t="s">
        <v>28</v>
      </c>
      <c r="G58" s="2551"/>
      <c r="H58" s="2554" t="s">
        <v>3491</v>
      </c>
      <c r="I58" s="1804"/>
      <c r="J58" s="3635"/>
      <c r="K58" s="3635"/>
      <c r="L58" s="2526" t="s">
        <v>1367</v>
      </c>
      <c r="M58" s="2530"/>
      <c r="N58" s="2531" t="str">
        <f ca="1">NUMBERSTRING(INT(N57*10000),2)&amp;"元整"</f>
        <v>叁亿叁仟零捌拾叁万元整</v>
      </c>
      <c r="O58" s="2532"/>
    </row>
    <row r="59" spans="1:35" ht="24.75" thickBot="1">
      <c r="A59" s="3639" t="s">
        <v>1368</v>
      </c>
      <c r="B59" s="3640"/>
      <c r="C59" s="364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3492</v>
      </c>
      <c r="I59" s="2309" t="s">
        <v>2132</v>
      </c>
      <c r="J59" s="3637">
        <f>J57+1</f>
        <v>5</v>
      </c>
      <c r="K59" s="3635" t="s">
        <v>1369</v>
      </c>
      <c r="L59" s="2519" t="s">
        <v>1365</v>
      </c>
      <c r="M59" s="2533"/>
      <c r="N59" s="2534">
        <f ca="1">M49-N57</f>
        <v>103496</v>
      </c>
      <c r="O59" s="2535"/>
    </row>
    <row r="60" spans="1:35" ht="12" customHeight="1">
      <c r="A60" s="1805"/>
      <c r="B60" s="1743"/>
      <c r="C60" s="1743"/>
      <c r="D60" s="1743"/>
      <c r="E60" s="1574"/>
      <c r="F60" s="1804"/>
      <c r="G60" s="1804"/>
      <c r="H60" s="1806"/>
      <c r="I60" s="129"/>
      <c r="J60" s="3638"/>
      <c r="K60" s="3635"/>
      <c r="L60" s="2526" t="s">
        <v>1367</v>
      </c>
      <c r="M60" s="2530"/>
      <c r="N60" s="2531" t="str">
        <f ca="1">NUMBERSTRING(INT(N59*10000),2)&amp;"元整"</f>
        <v>壹拾亿叁仟肆佰玖拾陆万元整</v>
      </c>
      <c r="O60" s="2532"/>
    </row>
    <row r="61" spans="1:35" ht="13.5" thickBot="1">
      <c r="A61" s="3694" t="s">
        <v>1370</v>
      </c>
      <c r="B61" s="3694"/>
      <c r="C61" s="3694"/>
      <c r="D61" s="3694"/>
      <c r="E61" s="3694"/>
      <c r="F61" s="1804"/>
      <c r="G61" s="1804"/>
      <c r="H61" s="1806"/>
      <c r="I61" s="129"/>
      <c r="J61" s="2519">
        <f>J59+1</f>
        <v>6</v>
      </c>
      <c r="K61" s="3635" t="s">
        <v>1371</v>
      </c>
      <c r="L61" s="3635"/>
      <c r="M61" s="2536"/>
      <c r="N61" s="2537">
        <f ca="1">ROUND(N59*10000/'数据-汇总表'!E3,0)</f>
        <v>20585</v>
      </c>
      <c r="O61" s="2538"/>
    </row>
    <row r="62" spans="1:35" ht="12.75">
      <c r="A62" s="3654" t="s">
        <v>1372</v>
      </c>
      <c r="B62" s="3655"/>
      <c r="C62" s="2017"/>
      <c r="D62" s="2017" t="s">
        <v>1373</v>
      </c>
      <c r="E62" s="166" t="s">
        <v>1374</v>
      </c>
      <c r="F62" s="1804"/>
      <c r="G62" s="1804"/>
      <c r="H62" s="1806"/>
      <c r="I62" s="129"/>
    </row>
    <row r="63" spans="1:35" ht="12.75">
      <c r="A63" s="173" t="s">
        <v>329</v>
      </c>
      <c r="B63" s="167" t="s">
        <v>1375</v>
      </c>
      <c r="C63" s="2560">
        <f ca="1">ROUND((C64+C65)/(1+'数据-取费表'!C42),0)</f>
        <v>130075</v>
      </c>
      <c r="D63" s="167"/>
      <c r="E63" s="168"/>
      <c r="F63" s="1804"/>
      <c r="G63" s="1804"/>
      <c r="H63" s="1806"/>
      <c r="I63" s="129"/>
      <c r="J63" s="3618" t="s">
        <v>1376</v>
      </c>
      <c r="K63" s="1328" t="s">
        <v>1377</v>
      </c>
      <c r="L63" s="1328">
        <f ca="1">IF(M49&gt;10000,M49*0.5%,IF(AND(M49&gt;1000,M49&lt;=10000),M49*1%,IF(AND(M49&gt;100,M49&lt;=1000),M49*3%,IF(AND(M49&gt;10,M49&lt;=100),M49*5%,M49*8%))))</f>
        <v>682.89499999999998</v>
      </c>
      <c r="M63" s="302">
        <f ca="1">ROUND(L63,1)</f>
        <v>682.9</v>
      </c>
      <c r="N63" s="2539"/>
      <c r="Z63" s="1748"/>
      <c r="AI63" s="1749"/>
    </row>
    <row r="64" spans="1:35" ht="14.25" customHeight="1">
      <c r="A64" s="169" t="s">
        <v>324</v>
      </c>
      <c r="B64" s="170" t="s">
        <v>1378</v>
      </c>
      <c r="C64" s="2561">
        <f ca="1">D45</f>
        <v>136579</v>
      </c>
      <c r="D64" s="170" t="s">
        <v>26</v>
      </c>
      <c r="E64" s="172"/>
      <c r="F64" s="1804"/>
      <c r="G64" s="1804"/>
      <c r="H64" s="1806"/>
      <c r="I64" s="129"/>
      <c r="J64" s="3618"/>
      <c r="K64" s="1328" t="s">
        <v>1379</v>
      </c>
      <c r="L64" s="1328">
        <f ca="1">IF(M49&gt;2000,M49*0.5%,IF(AND(M49&gt;1000,M49&lt;=2000),M49*0.6%,IF(AND(M49&gt;500,M49&lt;=1000),M49*0.7%,IF(AND(M49&gt;200,M49&lt;=500),M49*0.8%,IF(AND(M49&gt;100,M49&lt;=200),M49*0.9%,IF(AND(M49&gt;50,M49&lt;=100),M49*1%,IF(AND(M49&gt;20,M49&lt;=50),M49*1.5%,IF(AND(M49&gt;10,M49&lt;=20),M49*2%,IF(AND(M49&gt;1,M49&lt;=10),M49*2.5%)))))))))</f>
        <v>682.89499999999998</v>
      </c>
      <c r="M64" s="302">
        <f t="shared" ref="M64:M65" ca="1" si="1">ROUND(L64,1)</f>
        <v>682.9</v>
      </c>
      <c r="N64" s="2540" t="s">
        <v>1380</v>
      </c>
      <c r="Z64" s="1748"/>
      <c r="AI64" s="1749"/>
    </row>
    <row r="65" spans="1:35" ht="14.25" customHeight="1">
      <c r="A65" s="169" t="s">
        <v>325</v>
      </c>
      <c r="B65" s="170" t="s">
        <v>1381</v>
      </c>
      <c r="C65" s="2562"/>
      <c r="D65" s="170"/>
      <c r="E65" s="172"/>
      <c r="F65" s="1804"/>
      <c r="G65" s="1804"/>
      <c r="H65" s="1806"/>
      <c r="I65" s="129"/>
      <c r="J65" s="3618"/>
      <c r="K65" s="1328" t="s">
        <v>1382</v>
      </c>
      <c r="L65" s="1328">
        <f ca="1">IF(M49&gt;1000,M49*0.1%,IF(AND(M49&gt;500,M49&lt;=1000),M49*0.5%,IF(AND(M49&gt;50,M49&lt;=500),M49*1%,IF(AND(M49&gt;1,M49&lt;=50),M49*1.5%))))</f>
        <v>136.57900000000001</v>
      </c>
      <c r="M65" s="302">
        <f t="shared" ca="1" si="1"/>
        <v>136.6</v>
      </c>
      <c r="N65" s="2540" t="s">
        <v>1380</v>
      </c>
      <c r="Z65" s="1748"/>
      <c r="AI65" s="1749"/>
    </row>
    <row r="66" spans="1:35" ht="14.25" customHeight="1">
      <c r="A66" s="173" t="s">
        <v>326</v>
      </c>
      <c r="B66" s="174" t="s">
        <v>1383</v>
      </c>
      <c r="C66" s="2563"/>
      <c r="D66" s="174" t="s">
        <v>26</v>
      </c>
      <c r="E66" s="1334" t="s">
        <v>670</v>
      </c>
      <c r="F66" s="1804"/>
      <c r="G66" s="1804"/>
      <c r="H66" s="1806"/>
      <c r="I66" s="129"/>
      <c r="J66" s="3618"/>
      <c r="K66" s="1328" t="s">
        <v>1384</v>
      </c>
      <c r="L66" s="1328">
        <f ca="1">M49*0.5%</f>
        <v>682.89499999999998</v>
      </c>
      <c r="M66" s="302">
        <f ca="1">IF(L66&gt;0.5,0.5,ROUND(L66,0))</f>
        <v>0.5</v>
      </c>
      <c r="N66" s="2540" t="s">
        <v>1385</v>
      </c>
      <c r="Z66" s="1748"/>
      <c r="AI66" s="1749"/>
    </row>
    <row r="67" spans="1:35" ht="14.25" customHeight="1">
      <c r="A67" s="173" t="s">
        <v>327</v>
      </c>
      <c r="B67" s="174" t="s">
        <v>1386</v>
      </c>
      <c r="C67" s="2564">
        <f ca="1">C63-C66</f>
        <v>130075</v>
      </c>
      <c r="D67" s="170" t="s">
        <v>26</v>
      </c>
      <c r="E67" s="172"/>
      <c r="F67" s="1804"/>
      <c r="G67" s="1804"/>
      <c r="H67" s="1806"/>
      <c r="I67" s="129"/>
      <c r="J67" s="3618"/>
      <c r="K67" s="1328" t="s">
        <v>1387</v>
      </c>
      <c r="L67" s="1328">
        <f ca="1">IF(M49&gt;=10000,(8.25+(M49-10000)*0.01%),IF(AND(M49&gt;=8000,M49&lt;10000),(7.85+(M49-8000)*0.02%),IF(AND(M49&gt;=5000,M49&lt;8000),(6.65+(M49-5000)*0.04%),IF(AND(M49&gt;=2000,M49&lt;5000),(4.25+(PM49-2000)*0.08%),IF(AND(M49&gt;=1000,M49&lt;2000),(2.75+(M49-1000)*0.15%),IF(AND(M49&gt;=100,M49&lt;1000),(0.5+(M49-100)*0.25%),IF(AND(M49&gt;0,M49&lt;100),M49*0.5%)))))))</f>
        <v>20.907900000000001</v>
      </c>
      <c r="M67" s="302">
        <f ca="1">ROUND(L67*0.9,1)</f>
        <v>18.8</v>
      </c>
      <c r="N67" s="2539"/>
      <c r="Z67" s="1748"/>
      <c r="AI67" s="1749"/>
    </row>
    <row r="68" spans="1:35" ht="14.25" customHeight="1" thickBot="1">
      <c r="A68" s="176" t="s">
        <v>328</v>
      </c>
      <c r="B68" s="177" t="s">
        <v>1388</v>
      </c>
      <c r="C68" s="2565">
        <f ca="1">IF(C67&lt;=0,0,ROUND(C67*D68,0))</f>
        <v>7284</v>
      </c>
      <c r="D68" s="2566">
        <f>'数据-取费表'!B41</f>
        <v>5.6000000000000001E-2</v>
      </c>
      <c r="E68" s="178"/>
      <c r="F68" s="1804"/>
      <c r="G68" s="1804"/>
      <c r="H68" s="1806"/>
      <c r="I68" s="129"/>
      <c r="J68" s="3618"/>
      <c r="K68" s="1328" t="s">
        <v>1389</v>
      </c>
      <c r="L68" s="1328">
        <f ca="1">IF(M49&gt;10000,M49*0.5%,IF(AND(M49&gt;5000,M49&lt;=10000),M49*1%,IF(AND(M49&gt;1000,M49&lt;=5000),M49*2%,IF(AND(M49&gt;200,M49&lt;=1000),M49*3%,M49*5%))))</f>
        <v>682.89499999999998</v>
      </c>
      <c r="M68" s="302">
        <f ca="1">ROUND(L68,1)</f>
        <v>682.9</v>
      </c>
      <c r="N68" s="2539"/>
      <c r="Z68" s="1748"/>
      <c r="AI68" s="1749"/>
    </row>
    <row r="69" spans="1:35" s="1768" customFormat="1" ht="16.5" customHeight="1">
      <c r="A69" s="1807"/>
      <c r="B69" s="1808"/>
      <c r="C69" s="1809"/>
      <c r="D69" s="1810"/>
      <c r="E69" s="1811"/>
      <c r="F69" s="1574"/>
      <c r="G69" s="1574"/>
      <c r="H69" s="1573"/>
      <c r="I69" s="1743"/>
      <c r="J69" s="3618"/>
      <c r="K69" s="1328" t="s">
        <v>1390</v>
      </c>
      <c r="L69" s="1328"/>
      <c r="M69" s="302">
        <f ca="1">ROUND(SUM(M63:M68),0)</f>
        <v>2205</v>
      </c>
      <c r="N69" s="2541">
        <f ca="1">M69/M49</f>
        <v>1.6144502449132004E-2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2" t="s">
        <v>1391</v>
      </c>
      <c r="B70" s="3663"/>
      <c r="C70" s="3663"/>
      <c r="D70" s="3663"/>
      <c r="E70" s="3663"/>
      <c r="F70" s="3663"/>
      <c r="G70" s="3663"/>
      <c r="H70" s="366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1372</v>
      </c>
      <c r="B71" s="3655"/>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130075</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780</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9" t="s">
        <v>1399</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780</v>
      </c>
      <c r="D78" s="2573">
        <f>'数据-取费表'!B43</f>
        <v>6.000000000000001E-3</v>
      </c>
      <c r="E78" s="3651" t="s">
        <v>1403</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129295</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165.76282051282053</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77304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1407</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1372</v>
      </c>
      <c r="B84" s="3655"/>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130075</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60471.187000000005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3493</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2323"/>
      <c r="G90" s="3620" t="s">
        <v>2124</v>
      </c>
      <c r="H90" s="362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27904</v>
      </c>
      <c r="D91" s="2573"/>
      <c r="E91" s="3651" t="s">
        <v>1416</v>
      </c>
      <c r="F91" s="3652"/>
      <c r="G91" s="3652"/>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4592</v>
      </c>
      <c r="D92" s="2579">
        <v>0.1</v>
      </c>
      <c r="E92" s="3651" t="s">
        <v>1419</v>
      </c>
      <c r="F92" s="3652"/>
      <c r="G92" s="3652"/>
      <c r="H92" s="365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780</v>
      </c>
      <c r="D93" s="2573">
        <f>'数据-取费表'!B43</f>
        <v>6.000000000000001E-3</v>
      </c>
      <c r="E93" s="3651" t="s">
        <v>1403</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9183</v>
      </c>
      <c r="D94" s="2573">
        <v>0.2</v>
      </c>
      <c r="E94" s="3696" t="s">
        <v>1423</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69604</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1.1510275133180368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25731</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36"/>
      <c r="E100" s="3602" t="s">
        <v>1426</v>
      </c>
      <c r="F100" s="3602"/>
      <c r="G100" s="3602"/>
      <c r="H100" s="3636"/>
      <c r="I100" s="129"/>
    </row>
    <row r="101" spans="1:35" ht="18.75" customHeight="1">
      <c r="A101" s="3644" t="s">
        <v>1427</v>
      </c>
      <c r="B101" s="3645"/>
      <c r="C101" s="2581" t="str">
        <f>C4</f>
        <v>成本法</v>
      </c>
      <c r="D101" s="2582" t="str">
        <f>D4</f>
        <v>收益法（汇总）</v>
      </c>
      <c r="E101" s="3614" t="s">
        <v>1428</v>
      </c>
      <c r="F101" s="3615"/>
      <c r="G101" s="1823" t="s">
        <v>1429</v>
      </c>
      <c r="H101" s="2591">
        <f ca="1">H118</f>
        <v>136579</v>
      </c>
      <c r="I101" s="129"/>
    </row>
    <row r="102" spans="1:35" ht="18.75" customHeight="1">
      <c r="A102" s="3646" t="s">
        <v>1430</v>
      </c>
      <c r="B102" s="2580" t="s">
        <v>1429</v>
      </c>
      <c r="C102" s="2581">
        <f ca="1">IF(D32="楼面单价",ROUND(C19,0),C19)</f>
        <v>154486</v>
      </c>
      <c r="D102" s="2582">
        <f ca="1">IF(D32="楼面单价",ROUND(D19,0),D19)</f>
        <v>109718</v>
      </c>
      <c r="E102" s="3614"/>
      <c r="F102" s="3615"/>
      <c r="G102" s="1823" t="s">
        <v>1431</v>
      </c>
      <c r="H102" s="2551">
        <f ca="1">I118</f>
        <v>27165</v>
      </c>
      <c r="I102" s="129"/>
    </row>
    <row r="103" spans="1:35" ht="42.75" customHeight="1">
      <c r="A103" s="3646"/>
      <c r="B103" s="2580" t="s">
        <v>1431</v>
      </c>
      <c r="C103" s="2583">
        <f ca="1">C20</f>
        <v>30726</v>
      </c>
      <c r="D103" s="2584">
        <f ca="1">D20</f>
        <v>21822</v>
      </c>
      <c r="E103" s="3607" t="s">
        <v>1432</v>
      </c>
      <c r="F103" s="3608"/>
      <c r="G103" s="1824" t="s">
        <v>1433</v>
      </c>
      <c r="H103" s="2591">
        <f>IF(D36="正常操作",H104+H105+H106,H105+H106)</f>
        <v>0</v>
      </c>
      <c r="I103" s="129"/>
    </row>
    <row r="104" spans="1:35" ht="18.75" customHeight="1">
      <c r="A104" s="3646" t="s">
        <v>1434</v>
      </c>
      <c r="B104" s="2585" t="s">
        <v>1429</v>
      </c>
      <c r="C104" s="2586">
        <f ca="1">H118</f>
        <v>136579</v>
      </c>
      <c r="D104" s="2587"/>
      <c r="E104" s="1670" t="s">
        <v>1435</v>
      </c>
      <c r="F104" s="1662"/>
      <c r="G104" s="1824" t="s">
        <v>1433</v>
      </c>
      <c r="H104" s="2592">
        <f>IF(D36="同一抵押权人同一抵押物续贷",C36&amp;"（续贷，未扣减，详见特别提示）",C36)</f>
        <v>0</v>
      </c>
      <c r="I104" s="129"/>
    </row>
    <row r="105" spans="1:35" ht="18.75" customHeight="1" thickBot="1">
      <c r="A105" s="3656"/>
      <c r="B105" s="2588" t="s">
        <v>1431</v>
      </c>
      <c r="C105" s="2589">
        <f ca="1">I118</f>
        <v>27165</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7" t="str">
        <f>IF(项目基本情况!E8="已注销","——","3.房地产抵押价值")</f>
        <v>3.房地产抵押价值</v>
      </c>
      <c r="F107" s="3615"/>
      <c r="G107" s="1823" t="s">
        <v>1429</v>
      </c>
      <c r="H107" s="2591">
        <f ca="1">IF(E107="——","——",H101-H103)</f>
        <v>136579</v>
      </c>
      <c r="I107" s="129"/>
    </row>
    <row r="108" spans="1:35" ht="18.75" customHeight="1">
      <c r="A108" s="129"/>
      <c r="B108" s="129"/>
      <c r="C108" s="129"/>
      <c r="D108" s="129"/>
      <c r="E108" s="3647"/>
      <c r="F108" s="3615"/>
      <c r="G108" s="1823" t="s">
        <v>1431</v>
      </c>
      <c r="H108" s="2551">
        <f ca="1">IF(H107=H101,H102,ROUND(H107*10000/'数据-汇总表'!E3,0))</f>
        <v>27165</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3" t="s">
        <v>1429</v>
      </c>
      <c r="H109" s="2594" t="str">
        <f>IF(E109="——","——",H101-H105-H106)</f>
        <v>——</v>
      </c>
      <c r="I109" s="129"/>
    </row>
    <row r="110" spans="1:35" ht="18.75" customHeight="1">
      <c r="A110" s="129"/>
      <c r="B110" s="129"/>
      <c r="C110" s="129"/>
      <c r="D110" s="129"/>
      <c r="E110" s="3647"/>
      <c r="F110" s="3615"/>
      <c r="G110" s="1823" t="s">
        <v>1431</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3" t="s">
        <v>1429</v>
      </c>
      <c r="H111" s="2591">
        <f ca="1">IF(E111="——","——",N59)</f>
        <v>103496</v>
      </c>
      <c r="I111" s="129"/>
    </row>
    <row r="112" spans="1:35" ht="18.75" customHeight="1" thickBot="1">
      <c r="A112" s="129"/>
      <c r="B112" s="129"/>
      <c r="C112" s="129"/>
      <c r="D112" s="129"/>
      <c r="E112" s="3649"/>
      <c r="F112" s="3650"/>
      <c r="G112" s="1826" t="s">
        <v>1431</v>
      </c>
      <c r="H112" s="2595">
        <f ca="1">IF(E111="——","——",N61)</f>
        <v>20585</v>
      </c>
      <c r="I112" s="129"/>
    </row>
    <row r="113" spans="1:27" ht="18.75" customHeight="1">
      <c r="A113" s="129"/>
      <c r="B113" s="129"/>
      <c r="C113" s="129"/>
      <c r="D113" s="129"/>
      <c r="E113" s="3657" t="s">
        <v>1437</v>
      </c>
      <c r="F113" s="3657"/>
      <c r="G113" s="3657"/>
      <c r="H113" s="3657"/>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2" t="s">
        <v>1440</v>
      </c>
      <c r="B116" s="3626" t="s">
        <v>1441</v>
      </c>
      <c r="C116" s="3626" t="s">
        <v>1442</v>
      </c>
      <c r="D116" s="3632" t="s">
        <v>1443</v>
      </c>
      <c r="E116" s="3633"/>
      <c r="F116" s="3664" t="s">
        <v>1444</v>
      </c>
      <c r="G116" s="3664"/>
      <c r="H116" s="3622" t="s">
        <v>1445</v>
      </c>
      <c r="I116" s="3622"/>
    </row>
    <row r="117" spans="1:27" ht="18.75" customHeight="1">
      <c r="A117" s="3622"/>
      <c r="B117" s="3627"/>
      <c r="C117" s="3627"/>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105576</v>
      </c>
      <c r="E118" s="2325">
        <f ca="1">ROUND(IF(C33="自定义",IF(D32="楼面单价",C34,D118*10000/B118),I118-G118),0)</f>
        <v>20999</v>
      </c>
      <c r="F118" s="2325">
        <f ca="1">ROUND(IF(D32="总价",C35,G118*B118/10000),0)</f>
        <v>31003</v>
      </c>
      <c r="G118" s="2325">
        <f ca="1">ROUND(IF(D32="楼面单价",C35,F118*10000/B118),0)</f>
        <v>6166</v>
      </c>
      <c r="H118" s="2325">
        <f ca="1">ROUND(IF(D32="总价",C32,I118*B118/10000),0)</f>
        <v>136579</v>
      </c>
      <c r="I118" s="2325">
        <f ca="1">ROUND(IF(D32="楼面单价",C32,H118*10000/B118),0)</f>
        <v>27165</v>
      </c>
    </row>
    <row r="119" spans="1:27" ht="18.75" customHeight="1">
      <c r="A119" s="3622" t="s">
        <v>1449</v>
      </c>
      <c r="B119" s="3622"/>
      <c r="C119" s="3622"/>
      <c r="D119" s="3628" t="str">
        <f ca="1">NUMBERSTRING(INT(D118*10000),2)&amp;"元整"</f>
        <v>壹拾亿伍仟伍佰柒拾陆万元整</v>
      </c>
      <c r="E119" s="3629"/>
      <c r="F119" s="3628" t="str">
        <f ca="1">NUMBERSTRING(INT(F118*10000),2)&amp;"元整"</f>
        <v>叁亿壹仟零叁万元整</v>
      </c>
      <c r="G119" s="3629"/>
      <c r="H119" s="3628" t="str">
        <f ca="1">NUMBERSTRING(INT(H118*10000),2)&amp;"元整"</f>
        <v>壹拾叁亿陆仟伍佰柒拾玖万元整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8" t="s">
        <v>1449</v>
      </c>
      <c r="B121" s="3630"/>
      <c r="C121" s="3629"/>
      <c r="D121" s="3628" t="str">
        <f>IF(D120=0,"零元整",NUMBERSTRING(INT(D120*10000),2)&amp;"元整")</f>
        <v>零元整</v>
      </c>
      <c r="E121" s="3630"/>
      <c r="F121" s="3630"/>
      <c r="G121" s="3630"/>
      <c r="H121" s="3630"/>
      <c r="I121" s="3629"/>
      <c r="AA121" s="724"/>
    </row>
    <row r="122" spans="1:27" ht="18.75" customHeight="1">
      <c r="A122" s="3634" t="str">
        <f>IF(项目基本情况!B9="房地产市场价值","",MID(E107,3,LEN(E107)-2))</f>
        <v>房地产抵押价值</v>
      </c>
      <c r="B122" s="3634"/>
      <c r="C122" s="3634"/>
      <c r="D122" s="3623">
        <f ca="1">H107</f>
        <v>136579</v>
      </c>
      <c r="E122" s="3624"/>
      <c r="F122" s="3624"/>
      <c r="G122" s="3624"/>
      <c r="H122" s="3624"/>
      <c r="I122" s="3625"/>
      <c r="AA122" s="724"/>
    </row>
    <row r="123" spans="1:27" ht="18.75" customHeight="1">
      <c r="A123" s="3622" t="s">
        <v>1449</v>
      </c>
      <c r="B123" s="3622"/>
      <c r="C123" s="3622"/>
      <c r="D123" s="3628" t="str">
        <f ca="1">NUMBERSTRING(INT(D122*10000),2)&amp;"元整"</f>
        <v>壹拾叁亿陆仟伍佰柒拾玖万元整</v>
      </c>
      <c r="E123" s="3630"/>
      <c r="F123" s="3630"/>
      <c r="G123" s="3630"/>
      <c r="H123" s="3630"/>
      <c r="I123" s="3629"/>
      <c r="AA123" s="724"/>
    </row>
    <row r="124" spans="1:27" ht="18.75" customHeight="1">
      <c r="A124" s="3634" t="str">
        <f>IF(项目基本情况!B9="房地产市场价值","",MID(E109,3,LEN(E109)-2))</f>
        <v/>
      </c>
      <c r="B124" s="3634"/>
      <c r="C124" s="3634"/>
      <c r="D124" s="3623" t="str">
        <f>H109</f>
        <v>——</v>
      </c>
      <c r="E124" s="3624"/>
      <c r="F124" s="3624"/>
      <c r="G124" s="3624"/>
      <c r="H124" s="3624"/>
      <c r="I124" s="3625"/>
      <c r="AA124" s="724"/>
    </row>
    <row r="125" spans="1:27" ht="18.75" customHeight="1">
      <c r="A125" s="3622" t="s">
        <v>1449</v>
      </c>
      <c r="B125" s="3622"/>
      <c r="C125" s="3622"/>
      <c r="D125" s="3628" t="e">
        <f>NUMBERSTRING(INT(D124*10000),2)&amp;"元整"</f>
        <v>#VALUE!</v>
      </c>
      <c r="E125" s="3630"/>
      <c r="F125" s="3630"/>
      <c r="G125" s="3630"/>
      <c r="H125" s="3630"/>
      <c r="I125" s="3629"/>
      <c r="AA125" s="724"/>
    </row>
    <row r="126" spans="1:27" ht="18.75" customHeight="1">
      <c r="A126" s="3634" t="str">
        <f>IF(项目基本情况!B9="房地产市场价值","",MID(E111,3,LEN(E111)-2))</f>
        <v>抵押净值</v>
      </c>
      <c r="B126" s="3634"/>
      <c r="C126" s="3634"/>
      <c r="D126" s="3623">
        <f ca="1">H111</f>
        <v>103496</v>
      </c>
      <c r="E126" s="3624"/>
      <c r="F126" s="3624"/>
      <c r="G126" s="3624"/>
      <c r="H126" s="3624"/>
      <c r="I126" s="3625"/>
      <c r="AA126" s="724"/>
    </row>
    <row r="127" spans="1:27" ht="18.75" customHeight="1">
      <c r="A127" s="3622" t="s">
        <v>1449</v>
      </c>
      <c r="B127" s="3622"/>
      <c r="C127" s="3622"/>
      <c r="D127" s="3628" t="str">
        <f ca="1">NUMBERSTRING(INT(D126*10000),2)&amp;"元整"</f>
        <v>壹拾亿叁仟肆佰玖拾陆万元整</v>
      </c>
      <c r="E127" s="3630"/>
      <c r="F127" s="3630"/>
      <c r="G127" s="3630"/>
      <c r="H127" s="3630"/>
      <c r="I127" s="3629"/>
      <c r="AA127" s="724"/>
    </row>
    <row r="128" spans="1:27" ht="21.75" customHeight="1">
      <c r="A128" s="3631" t="s">
        <v>1450</v>
      </c>
      <c r="B128" s="3631"/>
      <c r="C128" s="3631"/>
      <c r="D128" s="3631"/>
      <c r="E128" s="3631"/>
      <c r="F128" s="3631"/>
      <c r="G128" s="3631"/>
      <c r="H128" s="3631"/>
      <c r="I128" s="363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8" t="str">
        <f>项目基本情况!B1</f>
        <v>北京市房地产抵押价值预评估</v>
      </c>
      <c r="C37" s="3518"/>
      <c r="D37" s="3518"/>
      <c r="E37" s="3518"/>
      <c r="F37" s="3518"/>
      <c r="G37" s="3518"/>
      <c r="H37" s="3518"/>
      <c r="I37" s="3518"/>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项目基本情况!K4</f>
        <v>（注册号：0)、（注册号：0)</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154486</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30726</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87797</v>
      </c>
      <c r="D5" s="211" t="s">
        <v>1466</v>
      </c>
      <c r="E5" s="212" t="s">
        <v>1467</v>
      </c>
      <c r="F5" s="212" t="s">
        <v>1468</v>
      </c>
      <c r="G5" s="213"/>
    </row>
    <row r="6" spans="1:9" s="214" customFormat="1" ht="13.5" customHeight="1">
      <c r="A6" s="774" t="s">
        <v>1469</v>
      </c>
      <c r="B6" s="215" t="s">
        <v>1470</v>
      </c>
      <c r="C6" s="216">
        <f ca="1">'基准地价（汇总）'!B6+'基准地价（汇总）'!B7</f>
        <v>84222</v>
      </c>
      <c r="D6" s="217"/>
      <c r="E6" s="218"/>
      <c r="F6" s="218"/>
      <c r="G6" s="219"/>
    </row>
    <row r="7" spans="1:9" s="214" customFormat="1" ht="13.5" customHeight="1">
      <c r="A7" s="774" t="s">
        <v>1471</v>
      </c>
      <c r="B7" s="215" t="s">
        <v>1472</v>
      </c>
      <c r="C7" s="220">
        <f ca="1">ROUND(C6*F7,0)</f>
        <v>2569</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2634</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6253</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6162</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91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13565</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13565</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119446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27904</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1257</v>
      </c>
      <c r="D35" s="220"/>
      <c r="E35" s="220"/>
      <c r="F35" s="259">
        <f>'数据-取费表'!B33</f>
        <v>0.05</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837</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992</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963</v>
      </c>
      <c r="D42" s="238"/>
      <c r="E42" s="238"/>
      <c r="F42" s="239"/>
      <c r="G42" s="3701" t="s">
        <v>1541</v>
      </c>
    </row>
    <row r="43" spans="1:7" ht="13.5" customHeight="1">
      <c r="A43" s="776" t="s">
        <v>346</v>
      </c>
      <c r="B43" s="215" t="s">
        <v>1542</v>
      </c>
      <c r="C43" s="238">
        <f ca="1">ROUND(IF('数据-取费表'!B22&lt;=1,C39*F22*'数据-取费表'!B21/2,C39*(POWER((1+F22),'数据-取费表'!B21/2)-1)),0)</f>
        <v>29</v>
      </c>
      <c r="D43" s="238"/>
      <c r="E43" s="238"/>
      <c r="F43" s="239"/>
      <c r="G43" s="3702"/>
    </row>
    <row r="44" spans="1:7" ht="13.5" customHeight="1">
      <c r="A44" s="776" t="s">
        <v>347</v>
      </c>
      <c r="B44" s="215" t="s">
        <v>1543</v>
      </c>
      <c r="C44" s="238">
        <f ca="1">ROUND(IF('数据-取费表'!B22&lt;=1,C40*F22*'数据-取费表'!B21/2,C40*(POWER((1+F22),'数据-取费表'!B21/2)-1)),4)</f>
        <v>6.9999999999999999E-4</v>
      </c>
      <c r="D44" s="238"/>
      <c r="E44" s="238"/>
      <c r="F44" s="239"/>
      <c r="G44" s="3703"/>
    </row>
    <row r="45" spans="1:7" s="214" customFormat="1" ht="13.5" customHeight="1">
      <c r="A45" s="255" t="s">
        <v>1544</v>
      </c>
      <c r="B45" s="244" t="s">
        <v>1510</v>
      </c>
      <c r="C45" s="245">
        <f ca="1">C46</f>
        <v>4311</v>
      </c>
      <c r="D45" s="235">
        <f ca="1">C47</f>
        <v>3.0000000000000001E-3</v>
      </c>
      <c r="E45" s="236" t="s">
        <v>1536</v>
      </c>
      <c r="F45" s="246">
        <f ca="1">F27</f>
        <v>0.15</v>
      </c>
      <c r="G45" s="247" t="s">
        <v>1545</v>
      </c>
    </row>
    <row r="46" spans="1:7" s="214" customFormat="1" ht="13.5" customHeight="1">
      <c r="A46" s="776" t="s">
        <v>345</v>
      </c>
      <c r="B46" s="248" t="s">
        <v>1546</v>
      </c>
      <c r="C46" s="249">
        <f ca="1">ROUND((C33+C39)*F27,0)</f>
        <v>4311</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36884</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35040</v>
      </c>
      <c r="D51" s="232"/>
      <c r="E51" s="232"/>
      <c r="F51" s="264"/>
      <c r="G51" s="234" t="s">
        <v>1557</v>
      </c>
    </row>
    <row r="52" spans="1:7" s="208" customFormat="1" ht="16.5" thickBot="1">
      <c r="A52" s="265" t="s">
        <v>1558</v>
      </c>
      <c r="B52" s="266"/>
      <c r="C52" s="267">
        <f ca="1">C31+C51</f>
        <v>154486</v>
      </c>
      <c r="D52" s="266"/>
      <c r="E52" s="266"/>
      <c r="F52" s="266"/>
      <c r="G52" s="268"/>
    </row>
    <row r="55" spans="1:7" ht="15">
      <c r="B55" s="270" t="s">
        <v>1559</v>
      </c>
      <c r="C55" s="271"/>
    </row>
    <row r="56" spans="1:7">
      <c r="B56" s="273" t="s">
        <v>801</v>
      </c>
      <c r="C56" s="275">
        <f ca="1">1-C57</f>
        <v>0.77300000000000002</v>
      </c>
    </row>
    <row r="57" spans="1:7">
      <c r="B57" s="273" t="s">
        <v>802</v>
      </c>
      <c r="C57" s="274">
        <f ca="1">ROUND(C51/C52,3)</f>
        <v>0.22700000000000001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0.05</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0.03</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6" sqref="H6:H7"/>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109718</v>
      </c>
      <c r="C2" s="1868" t="s">
        <v>1648</v>
      </c>
      <c r="D2" s="1869" t="s">
        <v>1649</v>
      </c>
      <c r="E2" s="2603">
        <f>SUM(E6:E13)</f>
        <v>50278.100000000006</v>
      </c>
      <c r="F2" s="2703"/>
      <c r="G2" s="1485"/>
      <c r="H2" s="1485">
        <f ca="1">H6+H7+H8</f>
        <v>6573</v>
      </c>
      <c r="I2" s="1485">
        <f ca="1">I6+I7+I8</f>
        <v>5200</v>
      </c>
      <c r="J2" s="1485"/>
      <c r="K2" s="1485"/>
      <c r="L2" s="1485"/>
      <c r="M2" s="1485"/>
      <c r="N2" s="1485"/>
      <c r="O2" s="1485"/>
      <c r="P2" s="1485"/>
      <c r="Q2" s="1485"/>
      <c r="R2" s="1485"/>
      <c r="S2" s="1485"/>
    </row>
    <row r="3" spans="1:22" ht="15.75">
      <c r="A3" s="1866" t="s">
        <v>685</v>
      </c>
      <c r="B3" s="2597">
        <f ca="1">ROUND(B2*10000/E2,0)</f>
        <v>21822</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04" t="s">
        <v>1651</v>
      </c>
      <c r="C5" s="3705"/>
      <c r="D5" s="2704"/>
      <c r="E5" s="1870" t="s">
        <v>1652</v>
      </c>
      <c r="F5" s="1871" t="s">
        <v>1653</v>
      </c>
      <c r="G5" s="1485"/>
      <c r="H5" s="3861" t="s">
        <v>3510</v>
      </c>
      <c r="I5" s="3861" t="s">
        <v>3513</v>
      </c>
      <c r="J5" s="1485"/>
      <c r="K5" s="1485"/>
      <c r="L5" s="1485"/>
      <c r="M5" s="1485"/>
      <c r="N5" s="1485"/>
      <c r="O5" s="1485"/>
      <c r="P5" s="1485"/>
      <c r="Q5" s="1485"/>
      <c r="R5" s="1485"/>
      <c r="S5" s="1485"/>
    </row>
    <row r="6" spans="1:22">
      <c r="A6" s="2600" t="str">
        <f>'数据-取费表'!AN6</f>
        <v>收益法-办公</v>
      </c>
      <c r="B6" s="2598">
        <f ca="1">IF(F6="是",'数据-取费表'!AO6,0)</f>
        <v>65813</v>
      </c>
      <c r="C6" s="1868" t="s">
        <v>1648</v>
      </c>
      <c r="D6" s="2705"/>
      <c r="E6" s="2602">
        <f>IF(OR(A6=0,F6="否"),0,'数据-取费表'!K6+'数据-取费表'!S6)</f>
        <v>22654</v>
      </c>
      <c r="F6" s="1872" t="s">
        <v>1654</v>
      </c>
      <c r="G6" s="1485"/>
      <c r="H6" s="1485">
        <f ca="1">'收益法-办公'!C6</f>
        <v>3738</v>
      </c>
      <c r="I6" s="1485">
        <f ca="1">'收益法-办公'!C39</f>
        <v>2976</v>
      </c>
      <c r="J6" s="1485"/>
      <c r="K6" s="1485"/>
      <c r="L6" s="1485"/>
      <c r="M6" s="1485"/>
      <c r="N6" s="1485"/>
      <c r="O6" s="1485"/>
      <c r="P6" s="1485"/>
      <c r="Q6" s="1485"/>
      <c r="R6" s="1485"/>
      <c r="S6" s="1485"/>
    </row>
    <row r="7" spans="1:22">
      <c r="A7" s="2600" t="str">
        <f>'数据-取费表'!AN7</f>
        <v>收益法-商业</v>
      </c>
      <c r="B7" s="2598">
        <f ca="1">IF(F7="是",'数据-取费表'!AO7,0)</f>
        <v>40203</v>
      </c>
      <c r="C7" s="1868" t="s">
        <v>1648</v>
      </c>
      <c r="D7" s="2705"/>
      <c r="E7" s="2602">
        <f>IF(OR(A7=0,F7="否"),0,'数据-取费表'!K7+'数据-取费表'!S7)</f>
        <v>19233.689999999999</v>
      </c>
      <c r="F7" s="1872" t="s">
        <v>1654</v>
      </c>
      <c r="G7" s="1485"/>
      <c r="H7" s="1485">
        <f ca="1">'收益法-商业'!C6</f>
        <v>2597</v>
      </c>
      <c r="I7" s="1485">
        <f ca="1">'收益法-商业'!C39</f>
        <v>2047</v>
      </c>
      <c r="J7" s="1485"/>
      <c r="K7" s="1485"/>
      <c r="L7" s="1485"/>
      <c r="M7" s="1485"/>
      <c r="N7" s="1485"/>
      <c r="O7" s="1485"/>
      <c r="P7" s="1485"/>
      <c r="Q7" s="1485"/>
      <c r="R7" s="1485"/>
      <c r="S7" s="1485"/>
    </row>
    <row r="8" spans="1:22">
      <c r="A8" s="2600" t="str">
        <f>'数据-取费表'!AN8</f>
        <v>收益法-车库</v>
      </c>
      <c r="B8" s="2598">
        <f ca="1">IF(F8="是",'数据-取费表'!AO8,0)</f>
        <v>3702</v>
      </c>
      <c r="C8" s="1868" t="s">
        <v>1648</v>
      </c>
      <c r="D8" s="2705"/>
      <c r="E8" s="2602">
        <f>IF(OR(A8=0,F8="否"),0,'数据-取费表'!K8+'数据-取费表'!S8)</f>
        <v>8390.41</v>
      </c>
      <c r="F8" s="1872" t="s">
        <v>1654</v>
      </c>
      <c r="G8" s="1485"/>
      <c r="H8" s="1485">
        <f ca="1">'收益法-车库'!C6</f>
        <v>238</v>
      </c>
      <c r="I8" s="1485">
        <f ca="1">'收益法-车库'!C39</f>
        <v>177</v>
      </c>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C43" sqref="C43:C4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43.65</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65813</v>
      </c>
      <c r="C2" s="1383" t="s">
        <v>804</v>
      </c>
      <c r="D2" s="1383"/>
      <c r="E2" s="1384"/>
      <c r="F2" s="1385"/>
      <c r="G2" s="2702"/>
      <c r="H2" s="2691"/>
      <c r="I2" s="2691"/>
      <c r="J2" s="2691"/>
      <c r="K2" s="2692"/>
      <c r="L2" s="2691"/>
      <c r="M2" s="2691"/>
    </row>
    <row r="3" spans="1:37" ht="18" customHeight="1" thickBot="1">
      <c r="A3" s="1386" t="s">
        <v>805</v>
      </c>
      <c r="B3" s="1387">
        <f ca="1">IF(ISERROR(B2*10000/F43),0,ROUND(B2*10000/F43,0))</f>
        <v>31812</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3747</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3738</v>
      </c>
      <c r="D6" s="155" t="s">
        <v>2104</v>
      </c>
      <c r="E6" s="302" t="s">
        <v>695</v>
      </c>
      <c r="F6" s="303">
        <f ca="1">INDIRECT("'数据-取费表'!u"&amp;$G$1)</f>
        <v>5.5</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20688.28</v>
      </c>
      <c r="G7" s="1380"/>
      <c r="H7" s="304"/>
      <c r="I7" s="3707"/>
      <c r="J7" s="306"/>
      <c r="K7" s="307"/>
      <c r="L7" s="302" t="s">
        <v>696</v>
      </c>
      <c r="M7" s="303">
        <f ca="1">F7</f>
        <v>20688.28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3509</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15789</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16620</v>
      </c>
      <c r="K14" s="3488"/>
      <c r="L14" s="803"/>
      <c r="M14" s="804"/>
    </row>
    <row r="15" spans="1:37" s="1393" customFormat="1" ht="18" customHeight="1" thickBot="1">
      <c r="A15" s="978" t="s">
        <v>398</v>
      </c>
      <c r="B15" s="302" t="s">
        <v>709</v>
      </c>
      <c r="C15" s="21">
        <f ca="1">ROUND(C14*F15,0)</f>
        <v>566</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91</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377</v>
      </c>
      <c r="D20" s="2424" t="s">
        <v>728</v>
      </c>
      <c r="E20" s="302" t="s">
        <v>711</v>
      </c>
      <c r="F20" s="322">
        <f>'数据-取费表'!B37</f>
        <v>0.03</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83.1</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447</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-91</v>
      </c>
      <c r="K25" s="1091" t="s">
        <v>752</v>
      </c>
      <c r="L25" s="1092"/>
      <c r="M25" s="1093"/>
    </row>
    <row r="26" spans="1:37">
      <c r="A26" s="978" t="s">
        <v>396</v>
      </c>
      <c r="B26" s="302" t="s">
        <v>753</v>
      </c>
      <c r="C26" s="21">
        <f ca="1">ROUND((C19+C20)*F26,0)</f>
        <v>1943</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16620</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771</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634.92999999999995</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199.36</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f ca="1">C5+'收益法-商业'!C5</f>
        <v>6350</v>
      </c>
      <c r="K35" s="2697"/>
      <c r="L35" s="2696"/>
      <c r="M35" s="2696"/>
    </row>
    <row r="36" spans="1:18" ht="18" customHeight="1">
      <c r="A36" s="1098" t="s">
        <v>401</v>
      </c>
      <c r="B36" s="302" t="s">
        <v>737</v>
      </c>
      <c r="C36" s="21">
        <f ca="1">ROUND(C29*F36,2)</f>
        <v>83.1</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15.79</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37.47</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2976</v>
      </c>
      <c r="D39" s="1091" t="s">
        <v>772</v>
      </c>
      <c r="E39" s="1092"/>
      <c r="F39" s="1093"/>
      <c r="G39" s="1380"/>
      <c r="H39" s="2696"/>
      <c r="I39" s="1394">
        <f ca="1">C39/C6</f>
        <v>0.7961476725521669</v>
      </c>
      <c r="J39" s="1395"/>
      <c r="K39" s="2700"/>
      <c r="L39" s="2696"/>
      <c r="M39" s="2696"/>
    </row>
    <row r="40" spans="1:18" ht="18" customHeight="1">
      <c r="A40" s="299" t="s">
        <v>394</v>
      </c>
      <c r="B40" s="300" t="s">
        <v>773</v>
      </c>
      <c r="C40" s="301">
        <f ca="1">ROUND(C39*(1-((1+F42)/(1+F40))^F41)/(F40-F42),0)</f>
        <v>65530</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31675</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f ca="1">F6*365/0.05</f>
        <v>40150</v>
      </c>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-67288</v>
      </c>
      <c r="D46" s="1402" t="str">
        <f>C2</f>
        <v>万元</v>
      </c>
      <c r="E46" s="1396"/>
      <c r="F46" s="1396"/>
      <c r="I46" s="1403" t="s">
        <v>809</v>
      </c>
      <c r="J46" s="1404"/>
      <c r="K46" s="1405"/>
      <c r="L46" s="1406">
        <f ca="1">IF(M47="住宅",0,IF(L48&gt;J51,L60,J60))</f>
        <v>283</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65530</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283</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16620</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35097</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9" t="s">
        <v>836</v>
      </c>
      <c r="L53" s="3710"/>
      <c r="O53" s="1414" t="s">
        <v>408</v>
      </c>
      <c r="P53" s="1415" t="s">
        <v>837</v>
      </c>
      <c r="Q53" s="1416">
        <f ca="1">Q47+Q48</f>
        <v>65813</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15789</v>
      </c>
      <c r="D56" s="1443"/>
      <c r="E56" s="1444"/>
      <c r="F56" s="1436"/>
      <c r="I56" s="1445" t="s">
        <v>841</v>
      </c>
      <c r="J56" s="1446" t="s">
        <v>3380</v>
      </c>
      <c r="K56" s="1417" t="s">
        <v>842</v>
      </c>
      <c r="L56" s="1420" t="str">
        <f ca="1">IF(L48&lt;J51,"——",L48-J53)</f>
        <v>——</v>
      </c>
      <c r="O56" s="1414" t="s">
        <v>402</v>
      </c>
      <c r="P56" s="1415" t="s">
        <v>816</v>
      </c>
      <c r="Q56" s="1416">
        <f ca="1">C40+J29</f>
        <v>65530</v>
      </c>
      <c r="R56" s="1416" t="s">
        <v>817</v>
      </c>
    </row>
    <row r="57" spans="1:18" s="1380" customFormat="1" ht="24.75" thickBot="1">
      <c r="A57" s="1447"/>
      <c r="B57" s="946" t="s">
        <v>766</v>
      </c>
      <c r="C57" s="238">
        <f ca="1">C29</f>
        <v>16620</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107</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6648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283</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65530</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83.1</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15.79</v>
      </c>
      <c r="D65" s="960" t="s">
        <v>742</v>
      </c>
      <c r="E65" s="946" t="s">
        <v>743</v>
      </c>
      <c r="F65" s="330">
        <f t="shared" ca="1" si="0"/>
        <v>1E-3</v>
      </c>
      <c r="I65" s="1458" t="s">
        <v>866</v>
      </c>
      <c r="J65" s="1459">
        <v>40</v>
      </c>
      <c r="K65" s="1459">
        <v>30</v>
      </c>
      <c r="L65" s="1459">
        <v>50</v>
      </c>
      <c r="M65" s="1461">
        <v>0.02</v>
      </c>
      <c r="O65" s="1414" t="s">
        <v>402</v>
      </c>
      <c r="P65" s="1415" t="s">
        <v>867</v>
      </c>
      <c r="Q65" s="1416">
        <f ca="1">C40+J29</f>
        <v>65530</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-107</v>
      </c>
      <c r="D67" s="959" t="s">
        <v>752</v>
      </c>
      <c r="E67" s="964"/>
      <c r="F67" s="965"/>
      <c r="O67" s="1424" t="s">
        <v>404</v>
      </c>
      <c r="P67" s="1415" t="s">
        <v>849</v>
      </c>
      <c r="Q67" s="1462">
        <f ca="1">L51</f>
        <v>35097</v>
      </c>
      <c r="R67" s="1416" t="s">
        <v>869</v>
      </c>
    </row>
    <row r="68" spans="1:18" s="1380" customFormat="1" ht="16.5" thickBot="1">
      <c r="A68" s="943" t="s">
        <v>394</v>
      </c>
      <c r="B68" s="944" t="s">
        <v>773</v>
      </c>
      <c r="C68" s="301">
        <f ca="1">ROUND(C67*(1-((1+F70)/(1+F68))^F69)/(F68-F70),0)</f>
        <v>-1758</v>
      </c>
      <c r="D68" s="961" t="s">
        <v>757</v>
      </c>
      <c r="E68" s="946" t="s">
        <v>758</v>
      </c>
      <c r="F68" s="312">
        <f ca="1">F40</f>
        <v>5.5E-2</v>
      </c>
      <c r="O68" s="1424" t="s">
        <v>405</v>
      </c>
      <c r="P68" s="1463" t="s">
        <v>870</v>
      </c>
      <c r="Q68" s="1416">
        <f ca="1">ROUND(Q69-Q70*Q71,0)</f>
        <v>1871</v>
      </c>
      <c r="R68" s="1416" t="s">
        <v>413</v>
      </c>
    </row>
    <row r="69" spans="1:18" s="1380" customFormat="1" ht="13.5" thickBot="1">
      <c r="A69" s="947"/>
      <c r="B69" s="948"/>
      <c r="C69" s="306"/>
      <c r="D69" s="966" t="s">
        <v>761</v>
      </c>
      <c r="E69" s="946" t="s">
        <v>762</v>
      </c>
      <c r="F69" s="333">
        <f ca="1">F41</f>
        <v>43.65</v>
      </c>
      <c r="O69" s="1424" t="s">
        <v>410</v>
      </c>
      <c r="P69" s="1463" t="s">
        <v>871</v>
      </c>
      <c r="Q69" s="1416">
        <f ca="1">C39</f>
        <v>2976</v>
      </c>
      <c r="R69" s="1416" t="s">
        <v>817</v>
      </c>
    </row>
    <row r="70" spans="1:18" s="1380" customFormat="1" ht="13.5" thickBot="1">
      <c r="A70" s="950"/>
      <c r="B70" s="951"/>
      <c r="C70" s="310"/>
      <c r="D70" s="962"/>
      <c r="E70" s="946" t="s">
        <v>765</v>
      </c>
      <c r="F70" s="1050"/>
      <c r="O70" s="1424" t="s">
        <v>411</v>
      </c>
      <c r="P70" s="1463" t="s">
        <v>872</v>
      </c>
      <c r="Q70" s="1416">
        <f ca="1">C13</f>
        <v>15789</v>
      </c>
      <c r="R70" s="1416" t="s">
        <v>817</v>
      </c>
    </row>
    <row r="71" spans="1:18" s="1380" customFormat="1" ht="13.5" thickBot="1">
      <c r="A71" s="967" t="s">
        <v>395</v>
      </c>
      <c r="B71" s="968" t="s">
        <v>775</v>
      </c>
      <c r="C71" s="336">
        <f ca="1">ROUND(C68*10000/F71,0)</f>
        <v>-850</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1105</v>
      </c>
      <c r="D75" s="1380"/>
      <c r="E75" s="1380"/>
      <c r="F75" s="1380"/>
      <c r="K75" s="1398"/>
      <c r="L75" s="1380"/>
      <c r="O75" s="1414" t="s">
        <v>408</v>
      </c>
      <c r="P75" s="1415" t="s">
        <v>837</v>
      </c>
      <c r="Q75" s="1416">
        <f ca="1">Q65+Q66</f>
        <v>65530</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0.629</v>
      </c>
    </row>
    <row r="80" spans="1:18">
      <c r="B80" s="340" t="s">
        <v>799</v>
      </c>
      <c r="C80" s="274">
        <f ca="1">ROUND(C75/C39,3)</f>
        <v>0.371</v>
      </c>
    </row>
    <row r="81" spans="2:3">
      <c r="B81" s="270" t="s">
        <v>800</v>
      </c>
      <c r="C81" s="238"/>
    </row>
    <row r="82" spans="2:3">
      <c r="B82" s="273" t="s">
        <v>801</v>
      </c>
      <c r="C82" s="275">
        <f ca="1">1-C83</f>
        <v>0.75900000000000001</v>
      </c>
    </row>
    <row r="83" spans="2:3">
      <c r="B83" s="273" t="s">
        <v>802</v>
      </c>
      <c r="C83" s="274">
        <f ca="1">ROUND(C13/C40,3)</f>
        <v>0.24099999999999999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3" sqref="C43:C4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40203</v>
      </c>
      <c r="C2" s="1383" t="s">
        <v>804</v>
      </c>
      <c r="D2" s="1383"/>
      <c r="E2" s="1384"/>
      <c r="F2" s="1385"/>
      <c r="G2" s="2702"/>
      <c r="H2" s="2691"/>
      <c r="I2" s="2691"/>
      <c r="J2" s="2691"/>
      <c r="K2" s="2692"/>
      <c r="L2" s="2691"/>
      <c r="M2" s="2691"/>
    </row>
    <row r="3" spans="1:37" ht="18" customHeight="1" thickBot="1">
      <c r="A3" s="1386" t="s">
        <v>805</v>
      </c>
      <c r="B3" s="1387">
        <f ca="1">IF(ISERROR(B2*10000/F43),0,ROUND(B2*10000/F43,0))</f>
        <v>22888</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2603</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2597</v>
      </c>
      <c r="D6" s="155" t="s">
        <v>2104</v>
      </c>
      <c r="E6" s="302" t="s">
        <v>695</v>
      </c>
      <c r="F6" s="303">
        <f ca="1">INDIRECT("'数据-取费表'!u"&amp;$G$1)</f>
        <v>4.5</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6</v>
      </c>
      <c r="D10" s="1362" t="s">
        <v>2112</v>
      </c>
      <c r="E10" s="313" t="s">
        <v>700</v>
      </c>
      <c r="F10" s="1112" t="s">
        <v>3509</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13984</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14720</v>
      </c>
      <c r="K14" s="12"/>
      <c r="L14" s="803"/>
      <c r="M14" s="804"/>
    </row>
    <row r="15" spans="1:37" s="1393" customFormat="1" ht="18" customHeight="1" thickBot="1">
      <c r="A15" s="978" t="s">
        <v>398</v>
      </c>
      <c r="B15" s="302" t="s">
        <v>709</v>
      </c>
      <c r="C15" s="21">
        <f ca="1">ROUND(C14*F15,0)</f>
        <v>481</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81</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v>
      </c>
      <c r="D20" s="323" t="s">
        <v>728</v>
      </c>
      <c r="E20" s="302" t="s">
        <v>711</v>
      </c>
      <c r="F20" s="322">
        <f>'数据-取费表'!B37</f>
        <v>0.03</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73.599999999999994</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-81</v>
      </c>
      <c r="K25" s="1091" t="s">
        <v>752</v>
      </c>
      <c r="L25" s="1092"/>
      <c r="M25" s="1093"/>
    </row>
    <row r="26" spans="1:37">
      <c r="A26" s="978" t="s">
        <v>396</v>
      </c>
      <c r="B26" s="302" t="s">
        <v>753</v>
      </c>
      <c r="C26" s="21">
        <f ca="1">ROUND((C19+C20)*F26,0)</f>
        <v>2199</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14720</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556</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442.42</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138.51</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296.8</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73.599999999999994</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13.98</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26.03</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2047</v>
      </c>
      <c r="D39" s="1091" t="s">
        <v>772</v>
      </c>
      <c r="E39" s="1092"/>
      <c r="F39" s="1093"/>
      <c r="G39" s="1380"/>
      <c r="H39" s="2696"/>
      <c r="I39" s="1394">
        <f ca="1">C39/C6</f>
        <v>0.78821717366191757</v>
      </c>
      <c r="J39" s="1395"/>
      <c r="K39" s="2700"/>
      <c r="L39" s="2696"/>
      <c r="M39" s="2696"/>
    </row>
    <row r="40" spans="1:18" ht="18" customHeight="1">
      <c r="A40" s="299" t="s">
        <v>394</v>
      </c>
      <c r="B40" s="300" t="s">
        <v>773</v>
      </c>
      <c r="C40" s="301">
        <f ca="1">ROUND(C39*(1-((1+F42)/(1+F40))^F41)/(F40-F42),0)</f>
        <v>39686</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22594</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f ca="1">F6*365/0.05</f>
        <v>32850</v>
      </c>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-41128</v>
      </c>
      <c r="D46" s="1402" t="str">
        <f>C2</f>
        <v>万元</v>
      </c>
      <c r="E46" s="1396"/>
      <c r="F46" s="1396"/>
      <c r="I46" s="1403" t="s">
        <v>809</v>
      </c>
      <c r="J46" s="1404"/>
      <c r="K46" s="1405"/>
      <c r="L46" s="1406">
        <f ca="1">IF(M47="住宅",0,IF(L48&gt;J51,L60,J60))</f>
        <v>517</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39686</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517</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14720</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20038</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33.64</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33.64</v>
      </c>
      <c r="K53" s="3709" t="s">
        <v>836</v>
      </c>
      <c r="L53" s="3710"/>
      <c r="O53" s="1414" t="s">
        <v>408</v>
      </c>
      <c r="P53" s="1415" t="s">
        <v>837</v>
      </c>
      <c r="Q53" s="1416">
        <f ca="1">Q47+Q48</f>
        <v>40203</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25.5" thickTop="1" thickBot="1">
      <c r="A56" s="953">
        <v>2</v>
      </c>
      <c r="B56" s="954" t="s">
        <v>703</v>
      </c>
      <c r="C56" s="232">
        <f ca="1">C13</f>
        <v>13984</v>
      </c>
      <c r="D56" s="1443"/>
      <c r="E56" s="1444"/>
      <c r="F56" s="1436"/>
      <c r="I56" s="1445" t="s">
        <v>841</v>
      </c>
      <c r="J56" s="1446" t="s">
        <v>3380</v>
      </c>
      <c r="K56" s="1417" t="s">
        <v>842</v>
      </c>
      <c r="L56" s="1420" t="str">
        <f ca="1">IF(L48&lt;J51,"——",L48-J53)</f>
        <v>——</v>
      </c>
      <c r="O56" s="1414" t="s">
        <v>402</v>
      </c>
      <c r="P56" s="1415" t="s">
        <v>816</v>
      </c>
      <c r="Q56" s="1416">
        <f ca="1">C40+J29</f>
        <v>39686</v>
      </c>
      <c r="R56" s="1416" t="s">
        <v>817</v>
      </c>
    </row>
    <row r="57" spans="1:18" s="1380" customFormat="1" ht="24.75" thickBot="1">
      <c r="A57" s="1447"/>
      <c r="B57" s="946" t="s">
        <v>766</v>
      </c>
      <c r="C57" s="238">
        <f ca="1">C29</f>
        <v>14720</v>
      </c>
      <c r="D57" s="1448"/>
      <c r="E57" s="1449"/>
      <c r="F57" s="1450"/>
      <c r="I57" s="1451" t="s">
        <v>843</v>
      </c>
      <c r="J57" s="1452">
        <f ca="1">IF(OR(M47="住宅",J51&lt;L48,J56="是"),"——",J51-L48)</f>
        <v>23.36</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95</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517</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39686</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73.599999999999994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13.98</v>
      </c>
      <c r="D65" s="960" t="s">
        <v>742</v>
      </c>
      <c r="E65" s="946" t="s">
        <v>743</v>
      </c>
      <c r="F65" s="330">
        <f t="shared" ca="1" si="0"/>
        <v>1E-3</v>
      </c>
      <c r="I65" s="1458" t="s">
        <v>866</v>
      </c>
      <c r="J65" s="1459">
        <v>40</v>
      </c>
      <c r="K65" s="1459">
        <v>30</v>
      </c>
      <c r="L65" s="1459">
        <v>50</v>
      </c>
      <c r="M65" s="1461">
        <v>0.02</v>
      </c>
      <c r="O65" s="1414" t="s">
        <v>402</v>
      </c>
      <c r="P65" s="1415" t="s">
        <v>867</v>
      </c>
      <c r="Q65" s="1416">
        <f ca="1">C40+J29</f>
        <v>39686</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-95</v>
      </c>
      <c r="D67" s="959" t="s">
        <v>752</v>
      </c>
      <c r="E67" s="964"/>
      <c r="F67" s="965"/>
      <c r="O67" s="1424" t="s">
        <v>404</v>
      </c>
      <c r="P67" s="1415" t="s">
        <v>849</v>
      </c>
      <c r="Q67" s="1462">
        <f ca="1">L51</f>
        <v>20038</v>
      </c>
      <c r="R67" s="1416" t="s">
        <v>869</v>
      </c>
    </row>
    <row r="68" spans="1:18" s="1380" customFormat="1" ht="16.5" thickBot="1">
      <c r="A68" s="943" t="s">
        <v>394</v>
      </c>
      <c r="B68" s="944" t="s">
        <v>773</v>
      </c>
      <c r="C68" s="301">
        <f ca="1">ROUND(C67*(1-((1+F70)/(1+F68))^F69)/(F68-F70),0)</f>
        <v>-1442</v>
      </c>
      <c r="D68" s="961" t="s">
        <v>757</v>
      </c>
      <c r="E68" s="946" t="s">
        <v>758</v>
      </c>
      <c r="F68" s="312">
        <f ca="1">F40</f>
        <v>5.5E-2</v>
      </c>
      <c r="O68" s="1424" t="s">
        <v>405</v>
      </c>
      <c r="P68" s="1463" t="s">
        <v>870</v>
      </c>
      <c r="Q68" s="1416">
        <f ca="1">ROUND(Q69-Q70*Q71,0)</f>
        <v>1068</v>
      </c>
      <c r="R68" s="1416" t="s">
        <v>413</v>
      </c>
    </row>
    <row r="69" spans="1:18" s="1380" customFormat="1" ht="13.5" thickBot="1">
      <c r="A69" s="947"/>
      <c r="B69" s="948"/>
      <c r="C69" s="306"/>
      <c r="D69" s="966" t="s">
        <v>761</v>
      </c>
      <c r="E69" s="946" t="s">
        <v>762</v>
      </c>
      <c r="F69" s="333">
        <f ca="1">F41</f>
        <v>33.64</v>
      </c>
      <c r="O69" s="1424" t="s">
        <v>410</v>
      </c>
      <c r="P69" s="1463" t="s">
        <v>871</v>
      </c>
      <c r="Q69" s="1416">
        <f ca="1">C39</f>
        <v>2047</v>
      </c>
      <c r="R69" s="1416" t="s">
        <v>817</v>
      </c>
    </row>
    <row r="70" spans="1:18" s="1380" customFormat="1" ht="13.5" thickBot="1">
      <c r="A70" s="950"/>
      <c r="B70" s="951"/>
      <c r="C70" s="310"/>
      <c r="D70" s="962"/>
      <c r="E70" s="946" t="s">
        <v>765</v>
      </c>
      <c r="F70" s="1050"/>
      <c r="O70" s="1424" t="s">
        <v>411</v>
      </c>
      <c r="P70" s="1463" t="s">
        <v>872</v>
      </c>
      <c r="Q70" s="1416">
        <f ca="1">C13</f>
        <v>13984</v>
      </c>
      <c r="R70" s="1416" t="s">
        <v>817</v>
      </c>
    </row>
    <row r="71" spans="1:18" s="1380" customFormat="1" ht="13.5" thickBot="1">
      <c r="A71" s="967" t="s">
        <v>395</v>
      </c>
      <c r="B71" s="968" t="s">
        <v>775</v>
      </c>
      <c r="C71" s="336">
        <f ca="1">ROUND(C68*10000/F71,0)</f>
        <v>-821</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979</v>
      </c>
      <c r="D75" s="1380"/>
      <c r="E75" s="1380"/>
      <c r="F75" s="1380"/>
      <c r="K75" s="1398"/>
      <c r="L75" s="1380"/>
      <c r="O75" s="1414" t="s">
        <v>408</v>
      </c>
      <c r="P75" s="1415" t="s">
        <v>837</v>
      </c>
      <c r="Q75" s="1416">
        <f ca="1">Q65+Q66</f>
        <v>39686</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0.52200000000000002</v>
      </c>
    </row>
    <row r="80" spans="1:18">
      <c r="B80" s="340" t="s">
        <v>799</v>
      </c>
      <c r="C80" s="274">
        <f ca="1">ROUND(C75/C39,3)</f>
        <v>0.47799999999999998</v>
      </c>
    </row>
    <row r="81" spans="2:3">
      <c r="B81" s="270" t="s">
        <v>800</v>
      </c>
      <c r="C81" s="238"/>
    </row>
    <row r="82" spans="2:3">
      <c r="B82" s="273" t="s">
        <v>801</v>
      </c>
      <c r="C82" s="275">
        <f ca="1">1-C83</f>
        <v>0.64800000000000002</v>
      </c>
    </row>
    <row r="83" spans="2:3">
      <c r="B83" s="273" t="s">
        <v>802</v>
      </c>
      <c r="C83" s="274">
        <f ca="1">ROUND(C13/C40,3)</f>
        <v>0.35199999999999998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4"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4"/>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4"/>
      <c r="AC6" s="3713"/>
    </row>
    <row r="7" spans="1:29" s="108" customFormat="1" ht="15.75" thickBot="1">
      <c r="A7" s="362" t="s">
        <v>1676</v>
      </c>
      <c r="B7" s="363"/>
      <c r="C7" s="364">
        <f>'数据-取费表'!B2</f>
        <v>45457</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15" t="s">
        <v>1677</v>
      </c>
      <c r="Q7" s="3742"/>
      <c r="R7" s="700" t="s">
        <v>14</v>
      </c>
      <c r="S7" s="701">
        <f t="shared" ref="S7:S15" si="0">F7</f>
        <v>100</v>
      </c>
      <c r="T7" s="700" t="s">
        <v>14</v>
      </c>
      <c r="U7" s="701">
        <f t="shared" ref="U7:U15" si="1">H7</f>
        <v>100</v>
      </c>
      <c r="V7" s="700" t="s">
        <v>14</v>
      </c>
      <c r="W7" s="701">
        <f t="shared" ref="W7:W15" si="2">J7</f>
        <v>100</v>
      </c>
      <c r="X7" s="702"/>
      <c r="Y7" s="3715" t="s">
        <v>1677</v>
      </c>
      <c r="Z7" s="3716"/>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9"/>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9"/>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9"/>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9"/>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43" t="s">
        <v>1688</v>
      </c>
      <c r="Q15" s="1348" t="str">
        <f t="shared" si="6"/>
        <v>商业繁华度</v>
      </c>
      <c r="R15" s="704" t="s">
        <v>14</v>
      </c>
      <c r="S15" s="705">
        <f t="shared" si="0"/>
        <v>100</v>
      </c>
      <c r="T15" s="704" t="s">
        <v>14</v>
      </c>
      <c r="U15" s="705">
        <f t="shared" si="1"/>
        <v>100</v>
      </c>
      <c r="V15" s="704" t="s">
        <v>14</v>
      </c>
      <c r="W15" s="705">
        <f t="shared" si="2"/>
        <v>100</v>
      </c>
      <c r="X15" s="1351"/>
      <c r="Y15" s="3745"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44"/>
      <c r="Q16" s="1348"/>
      <c r="R16" s="704"/>
      <c r="S16" s="705"/>
      <c r="T16" s="704"/>
      <c r="U16" s="705"/>
      <c r="V16" s="704"/>
      <c r="W16" s="705"/>
      <c r="X16" s="1351"/>
      <c r="Y16" s="3746"/>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44"/>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44"/>
      <c r="Q18" s="1348"/>
      <c r="R18" s="704"/>
      <c r="S18" s="705"/>
      <c r="T18" s="704"/>
      <c r="U18" s="705"/>
      <c r="V18" s="704"/>
      <c r="W18" s="705"/>
      <c r="X18" s="1351"/>
      <c r="Y18" s="3746"/>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44"/>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44"/>
      <c r="Q20" s="1348"/>
      <c r="R20" s="704"/>
      <c r="S20" s="705"/>
      <c r="T20" s="704"/>
      <c r="U20" s="705"/>
      <c r="V20" s="704"/>
      <c r="W20" s="705"/>
      <c r="X20" s="1351"/>
      <c r="Y20" s="3746"/>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44"/>
      <c r="Q22" s="1348"/>
      <c r="R22" s="704"/>
      <c r="S22" s="705"/>
      <c r="T22" s="704"/>
      <c r="U22" s="705"/>
      <c r="V22" s="704"/>
      <c r="W22" s="705"/>
      <c r="X22" s="1351"/>
      <c r="Y22" s="3746"/>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44"/>
      <c r="Q23" s="1348" t="str">
        <f>B23</f>
        <v>自然及人文环境</v>
      </c>
      <c r="R23" s="704" t="s">
        <v>14</v>
      </c>
      <c r="S23" s="705">
        <f>F23</f>
        <v>100</v>
      </c>
      <c r="T23" s="704" t="s">
        <v>14</v>
      </c>
      <c r="U23" s="705">
        <f>H23</f>
        <v>100</v>
      </c>
      <c r="V23" s="704" t="s">
        <v>14</v>
      </c>
      <c r="W23" s="705">
        <f>J23</f>
        <v>100</v>
      </c>
      <c r="X23" s="1351"/>
      <c r="Y23" s="3746"/>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44"/>
      <c r="Q24" s="1348"/>
      <c r="R24" s="704"/>
      <c r="S24" s="705"/>
      <c r="T24" s="704"/>
      <c r="U24" s="705"/>
      <c r="V24" s="704"/>
      <c r="W24" s="705"/>
      <c r="X24" s="1351"/>
      <c r="Y24" s="3746"/>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44"/>
      <c r="Q25" s="1348" t="str">
        <f t="shared" ref="Q25:Q46" si="11">B25</f>
        <v>临街状况</v>
      </c>
      <c r="R25" s="704" t="s">
        <v>14</v>
      </c>
      <c r="S25" s="705">
        <f>F25</f>
        <v>100</v>
      </c>
      <c r="T25" s="704" t="s">
        <v>14</v>
      </c>
      <c r="U25" s="705">
        <f>H25</f>
        <v>100</v>
      </c>
      <c r="V25" s="704" t="s">
        <v>14</v>
      </c>
      <c r="W25" s="705">
        <f>J25</f>
        <v>100</v>
      </c>
      <c r="X25" s="1351"/>
      <c r="Y25" s="3746"/>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4"/>
      <c r="Q26" s="1348" t="str">
        <f t="shared" si="11"/>
        <v>平面位置/可视性</v>
      </c>
      <c r="R26" s="704" t="s">
        <v>14</v>
      </c>
      <c r="S26" s="705">
        <f>F26</f>
        <v>100</v>
      </c>
      <c r="T26" s="704" t="s">
        <v>14</v>
      </c>
      <c r="U26" s="705">
        <f>H26</f>
        <v>100</v>
      </c>
      <c r="V26" s="704" t="s">
        <v>14</v>
      </c>
      <c r="W26" s="705">
        <f>J26</f>
        <v>100</v>
      </c>
      <c r="X26" s="1351"/>
      <c r="Y26" s="3746"/>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44"/>
      <c r="Q27" s="1339" t="str">
        <f t="shared" si="11"/>
        <v>人流量</v>
      </c>
      <c r="R27" s="700" t="s">
        <v>14</v>
      </c>
      <c r="S27" s="701">
        <f>F27</f>
        <v>100</v>
      </c>
      <c r="T27" s="700" t="s">
        <v>14</v>
      </c>
      <c r="U27" s="701">
        <f>H27</f>
        <v>100</v>
      </c>
      <c r="V27" s="700" t="s">
        <v>14</v>
      </c>
      <c r="W27" s="701">
        <f>J27</f>
        <v>100</v>
      </c>
      <c r="X27" s="702"/>
      <c r="Y27" s="3746"/>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44"/>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46"/>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4"/>
      <c r="Q29" s="1348">
        <f t="shared" si="11"/>
        <v>111</v>
      </c>
      <c r="R29" s="704" t="s">
        <v>14</v>
      </c>
      <c r="S29" s="705">
        <f t="shared" si="12"/>
        <v>100</v>
      </c>
      <c r="T29" s="704" t="s">
        <v>14</v>
      </c>
      <c r="U29" s="705">
        <f t="shared" si="13"/>
        <v>100</v>
      </c>
      <c r="V29" s="704" t="s">
        <v>14</v>
      </c>
      <c r="W29" s="705">
        <f t="shared" si="14"/>
        <v>100</v>
      </c>
      <c r="X29" s="1351"/>
      <c r="Y29" s="3746"/>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4"/>
      <c r="Q30" s="1348">
        <f t="shared" si="11"/>
        <v>111</v>
      </c>
      <c r="R30" s="704" t="s">
        <v>14</v>
      </c>
      <c r="S30" s="705">
        <f t="shared" si="12"/>
        <v>100</v>
      </c>
      <c r="T30" s="704" t="s">
        <v>14</v>
      </c>
      <c r="U30" s="705">
        <f t="shared" si="13"/>
        <v>100</v>
      </c>
      <c r="V30" s="704" t="s">
        <v>14</v>
      </c>
      <c r="W30" s="705">
        <f t="shared" si="14"/>
        <v>100</v>
      </c>
      <c r="X30" s="1351"/>
      <c r="Y30" s="3746"/>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4"/>
      <c r="Q31" s="1348">
        <f t="shared" si="11"/>
        <v>111</v>
      </c>
      <c r="R31" s="704" t="s">
        <v>14</v>
      </c>
      <c r="S31" s="705">
        <f t="shared" si="12"/>
        <v>100</v>
      </c>
      <c r="T31" s="704" t="s">
        <v>14</v>
      </c>
      <c r="U31" s="705">
        <f t="shared" si="13"/>
        <v>100</v>
      </c>
      <c r="V31" s="704" t="s">
        <v>14</v>
      </c>
      <c r="W31" s="705">
        <f t="shared" si="14"/>
        <v>100</v>
      </c>
      <c r="X31" s="1351"/>
      <c r="Y31" s="3746"/>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47" t="s">
        <v>1693</v>
      </c>
      <c r="Q32" s="1348" t="str">
        <f t="shared" si="11"/>
        <v>商业类型</v>
      </c>
      <c r="R32" s="704" t="s">
        <v>14</v>
      </c>
      <c r="S32" s="705">
        <f t="shared" si="12"/>
        <v>100</v>
      </c>
      <c r="T32" s="704" t="s">
        <v>14</v>
      </c>
      <c r="U32" s="705">
        <f t="shared" si="13"/>
        <v>100</v>
      </c>
      <c r="V32" s="704" t="s">
        <v>14</v>
      </c>
      <c r="W32" s="705">
        <f t="shared" si="14"/>
        <v>100</v>
      </c>
      <c r="X32" s="1351"/>
      <c r="Y32" s="3750"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48"/>
      <c r="Q33" s="706" t="str">
        <f t="shared" si="11"/>
        <v>项目建筑规模</v>
      </c>
      <c r="R33" s="707" t="s">
        <v>14</v>
      </c>
      <c r="S33" s="708">
        <f t="shared" si="12"/>
        <v>103</v>
      </c>
      <c r="T33" s="707" t="s">
        <v>14</v>
      </c>
      <c r="U33" s="708">
        <f t="shared" si="13"/>
        <v>103</v>
      </c>
      <c r="V33" s="707" t="s">
        <v>14</v>
      </c>
      <c r="W33" s="708">
        <f t="shared" si="14"/>
        <v>104</v>
      </c>
      <c r="X33" s="709"/>
      <c r="Y33" s="3750"/>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48"/>
      <c r="Q34" s="1348" t="str">
        <f t="shared" si="11"/>
        <v>建筑结构</v>
      </c>
      <c r="R34" s="704" t="s">
        <v>14</v>
      </c>
      <c r="S34" s="705">
        <f t="shared" si="12"/>
        <v>100</v>
      </c>
      <c r="T34" s="704" t="s">
        <v>14</v>
      </c>
      <c r="U34" s="705">
        <f t="shared" si="13"/>
        <v>100</v>
      </c>
      <c r="V34" s="704" t="s">
        <v>14</v>
      </c>
      <c r="W34" s="705">
        <f t="shared" si="14"/>
        <v>100</v>
      </c>
      <c r="X34" s="1351"/>
      <c r="Y34" s="3750"/>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8"/>
      <c r="Q35" s="1348" t="str">
        <f t="shared" si="11"/>
        <v>公共部分装修</v>
      </c>
      <c r="R35" s="704" t="s">
        <v>14</v>
      </c>
      <c r="S35" s="705">
        <f t="shared" si="12"/>
        <v>100</v>
      </c>
      <c r="T35" s="704" t="s">
        <v>14</v>
      </c>
      <c r="U35" s="705">
        <f t="shared" si="13"/>
        <v>100</v>
      </c>
      <c r="V35" s="704" t="s">
        <v>14</v>
      </c>
      <c r="W35" s="705">
        <f t="shared" si="14"/>
        <v>100</v>
      </c>
      <c r="X35" s="1351"/>
      <c r="Y35" s="3750"/>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48"/>
      <c r="Q36" s="1348" t="str">
        <f t="shared" si="11"/>
        <v>成新度</v>
      </c>
      <c r="R36" s="704" t="s">
        <v>14</v>
      </c>
      <c r="S36" s="705">
        <f t="shared" si="12"/>
        <v>100</v>
      </c>
      <c r="T36" s="704" t="s">
        <v>14</v>
      </c>
      <c r="U36" s="705">
        <f t="shared" si="13"/>
        <v>100</v>
      </c>
      <c r="V36" s="704" t="s">
        <v>14</v>
      </c>
      <c r="W36" s="705">
        <f t="shared" si="14"/>
        <v>100</v>
      </c>
      <c r="X36" s="1351"/>
      <c r="Y36" s="3750"/>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48"/>
      <c r="Q37" s="1339" t="str">
        <f t="shared" si="11"/>
        <v>市政基础设施</v>
      </c>
      <c r="R37" s="700" t="s">
        <v>14</v>
      </c>
      <c r="S37" s="701">
        <f t="shared" si="12"/>
        <v>100</v>
      </c>
      <c r="T37" s="700" t="s">
        <v>14</v>
      </c>
      <c r="U37" s="701">
        <f t="shared" si="13"/>
        <v>100</v>
      </c>
      <c r="V37" s="700" t="s">
        <v>14</v>
      </c>
      <c r="W37" s="701">
        <f t="shared" si="14"/>
        <v>100</v>
      </c>
      <c r="X37" s="702"/>
      <c r="Y37" s="3750"/>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48" t="s">
        <v>1693</v>
      </c>
      <c r="Q38" s="1348" t="str">
        <f t="shared" si="11"/>
        <v>业态</v>
      </c>
      <c r="R38" s="704" t="s">
        <v>14</v>
      </c>
      <c r="S38" s="705">
        <f t="shared" si="12"/>
        <v>105</v>
      </c>
      <c r="T38" s="704" t="s">
        <v>14</v>
      </c>
      <c r="U38" s="705">
        <f t="shared" si="13"/>
        <v>100</v>
      </c>
      <c r="V38" s="704" t="s">
        <v>14</v>
      </c>
      <c r="W38" s="705">
        <f t="shared" si="14"/>
        <v>105</v>
      </c>
      <c r="X38" s="1351"/>
      <c r="Y38" s="3750"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48"/>
      <c r="Q39" s="1348" t="str">
        <f t="shared" si="11"/>
        <v>层高</v>
      </c>
      <c r="R39" s="704" t="s">
        <v>14</v>
      </c>
      <c r="S39" s="705">
        <f t="shared" si="12"/>
        <v>100</v>
      </c>
      <c r="T39" s="704" t="s">
        <v>14</v>
      </c>
      <c r="U39" s="705">
        <f t="shared" si="13"/>
        <v>100</v>
      </c>
      <c r="V39" s="704" t="s">
        <v>14</v>
      </c>
      <c r="W39" s="705">
        <f t="shared" si="14"/>
        <v>100</v>
      </c>
      <c r="X39" s="1351"/>
      <c r="Y39" s="3750"/>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48"/>
      <c r="Q40" s="1348" t="str">
        <f t="shared" si="11"/>
        <v>单套建筑面积</v>
      </c>
      <c r="R40" s="704" t="s">
        <v>14</v>
      </c>
      <c r="S40" s="705">
        <f t="shared" si="12"/>
        <v>100</v>
      </c>
      <c r="T40" s="704" t="s">
        <v>14</v>
      </c>
      <c r="U40" s="705">
        <f t="shared" si="13"/>
        <v>100</v>
      </c>
      <c r="V40" s="704" t="s">
        <v>14</v>
      </c>
      <c r="W40" s="705">
        <f t="shared" si="14"/>
        <v>100</v>
      </c>
      <c r="X40" s="1351"/>
      <c r="Y40" s="3750"/>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8"/>
      <c r="Q41" s="706" t="str">
        <f t="shared" si="11"/>
        <v>进深比</v>
      </c>
      <c r="R41" s="707" t="s">
        <v>14</v>
      </c>
      <c r="S41" s="708">
        <f t="shared" si="12"/>
        <v>100</v>
      </c>
      <c r="T41" s="707" t="s">
        <v>14</v>
      </c>
      <c r="U41" s="708">
        <f t="shared" si="13"/>
        <v>100</v>
      </c>
      <c r="V41" s="707" t="s">
        <v>14</v>
      </c>
      <c r="W41" s="708">
        <f t="shared" si="14"/>
        <v>100</v>
      </c>
      <c r="X41" s="709"/>
      <c r="Y41" s="3750"/>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48"/>
      <c r="Q42" s="1348" t="str">
        <f t="shared" si="11"/>
        <v>内部装修</v>
      </c>
      <c r="R42" s="704" t="s">
        <v>14</v>
      </c>
      <c r="S42" s="705">
        <f t="shared" si="12"/>
        <v>100</v>
      </c>
      <c r="T42" s="704" t="s">
        <v>14</v>
      </c>
      <c r="U42" s="705">
        <f t="shared" si="13"/>
        <v>100</v>
      </c>
      <c r="V42" s="704" t="s">
        <v>14</v>
      </c>
      <c r="W42" s="705">
        <f t="shared" si="14"/>
        <v>100</v>
      </c>
      <c r="X42" s="1351"/>
      <c r="Y42" s="3750"/>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48"/>
      <c r="Q43" s="1348" t="str">
        <f t="shared" si="11"/>
        <v>内部装修维护情况</v>
      </c>
      <c r="R43" s="704" t="s">
        <v>14</v>
      </c>
      <c r="S43" s="705">
        <f t="shared" si="12"/>
        <v>100</v>
      </c>
      <c r="T43" s="704" t="s">
        <v>14</v>
      </c>
      <c r="U43" s="705">
        <f t="shared" si="13"/>
        <v>100</v>
      </c>
      <c r="V43" s="704" t="s">
        <v>14</v>
      </c>
      <c r="W43" s="705">
        <f t="shared" si="14"/>
        <v>100</v>
      </c>
      <c r="X43" s="1351"/>
      <c r="Y43" s="3750"/>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8"/>
      <c r="Q44" s="1339">
        <f t="shared" si="11"/>
        <v>111</v>
      </c>
      <c r="R44" s="700" t="s">
        <v>14</v>
      </c>
      <c r="S44" s="701">
        <f t="shared" si="12"/>
        <v>100</v>
      </c>
      <c r="T44" s="700" t="s">
        <v>14</v>
      </c>
      <c r="U44" s="701">
        <f t="shared" si="13"/>
        <v>100</v>
      </c>
      <c r="V44" s="700" t="s">
        <v>14</v>
      </c>
      <c r="W44" s="701">
        <f t="shared" si="14"/>
        <v>100</v>
      </c>
      <c r="X44" s="702"/>
      <c r="Y44" s="3750"/>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8"/>
      <c r="Q45" s="1348">
        <f t="shared" si="11"/>
        <v>111</v>
      </c>
      <c r="R45" s="704" t="s">
        <v>14</v>
      </c>
      <c r="S45" s="705">
        <f t="shared" si="12"/>
        <v>100</v>
      </c>
      <c r="T45" s="704" t="s">
        <v>14</v>
      </c>
      <c r="U45" s="705">
        <f t="shared" si="13"/>
        <v>100</v>
      </c>
      <c r="V45" s="704" t="s">
        <v>14</v>
      </c>
      <c r="W45" s="705">
        <f t="shared" si="14"/>
        <v>100</v>
      </c>
      <c r="X45" s="1351"/>
      <c r="Y45" s="3750"/>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9"/>
      <c r="Q46" s="1348">
        <f t="shared" si="11"/>
        <v>111</v>
      </c>
      <c r="R46" s="704" t="s">
        <v>14</v>
      </c>
      <c r="S46" s="705">
        <f t="shared" si="12"/>
        <v>100</v>
      </c>
      <c r="T46" s="704" t="s">
        <v>14</v>
      </c>
      <c r="U46" s="705">
        <f t="shared" si="13"/>
        <v>100</v>
      </c>
      <c r="V46" s="704" t="s">
        <v>14</v>
      </c>
      <c r="W46" s="705">
        <f t="shared" si="14"/>
        <v>100</v>
      </c>
      <c r="X46" s="1351"/>
      <c r="Y46" s="3751"/>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52" t="str">
        <f>A47</f>
        <v>成交单价（元/平方米）</v>
      </c>
      <c r="Q47" s="3752"/>
      <c r="R47" s="3714">
        <f>E47</f>
        <v>48625</v>
      </c>
      <c r="S47" s="3714"/>
      <c r="T47" s="3714">
        <f>G47</f>
        <v>51160</v>
      </c>
      <c r="U47" s="3714"/>
      <c r="V47" s="3714">
        <f>I47</f>
        <v>56603</v>
      </c>
      <c r="W47" s="3714"/>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52" t="str">
        <f>A48</f>
        <v>比较价值（元/平方米）</v>
      </c>
      <c r="Q48" s="3752"/>
      <c r="R48" s="3753">
        <f>IF(F1="售价",ROUND(PRODUCT(R47,AA7:AA46),0),ROUND(PRODUCT(R47,AA7:AA46),1))</f>
        <v>44961</v>
      </c>
      <c r="S48" s="3753"/>
      <c r="T48" s="3753">
        <f>IF(F1="售价",ROUND(PRODUCT(T47,AB7:AB46),0),ROUND(PRODUCT(T47,AB7:AB46),1))</f>
        <v>49670</v>
      </c>
      <c r="U48" s="3753"/>
      <c r="V48" s="3753">
        <f>IF(F1="售价",ROUND(PRODUCT(V47,AC7:AC46),0),ROUND(PRODUCT(V47,AC7:AC46),1))</f>
        <v>51834</v>
      </c>
      <c r="W48" s="3753"/>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54" t="str">
        <f>A49</f>
        <v>估价对象XX用房的比较价值（楼面单价，元/平方米）</v>
      </c>
      <c r="Q49" s="3755"/>
      <c r="R49" s="3756">
        <f>IF(F1="售价",ROUND(IF(D48="简单平均",AVERAGE(R48:V48),R48*F48+T48*H48+V48*J48),0),ROUND(IF(D48="简单平均",AVERAGE(R48:V48),R48*F48+T48*H48+V48*J48),1))</f>
        <v>48822</v>
      </c>
      <c r="S49" s="3756"/>
      <c r="T49" s="3756"/>
      <c r="U49" s="3756"/>
      <c r="V49" s="3756"/>
      <c r="W49" s="375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99205.837799999994</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19731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471639189</v>
      </c>
      <c r="D5" s="211" t="s">
        <v>1466</v>
      </c>
      <c r="E5" s="212" t="s">
        <v>1467</v>
      </c>
      <c r="F5" s="212" t="s">
        <v>1468</v>
      </c>
      <c r="G5" s="213"/>
    </row>
    <row r="6" spans="1:8" s="214" customFormat="1" ht="13.5" customHeight="1">
      <c r="A6" s="774" t="s">
        <v>1469</v>
      </c>
      <c r="B6" s="215" t="s">
        <v>1470</v>
      </c>
      <c r="C6" s="216">
        <f>ROUND('基准地价修正-办公'!C33*'基准地价修正-办公'!D33,0)</f>
        <v>447921950</v>
      </c>
      <c r="D6" s="217"/>
      <c r="E6" s="218"/>
      <c r="F6" s="218"/>
      <c r="G6" s="219"/>
    </row>
    <row r="7" spans="1:8" s="214" customFormat="1" ht="13.5" customHeight="1">
      <c r="A7" s="774" t="s">
        <v>1471</v>
      </c>
      <c r="B7" s="215" t="s">
        <v>1472</v>
      </c>
      <c r="C7" s="220">
        <f>ROUND(C6*F7,0)</f>
        <v>13661619</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14149176</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33592620</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33104473</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488147</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72868255</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72868255</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641656815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279043455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12569525</v>
      </c>
      <c r="D35" s="220"/>
      <c r="E35" s="220"/>
      <c r="F35" s="259">
        <f>'数据-取费表'!B33</f>
        <v>0.05</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8371304</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9915809</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9626999</v>
      </c>
      <c r="D42" s="238"/>
      <c r="E42" s="238"/>
      <c r="F42" s="239"/>
      <c r="G42" s="3701" t="s">
        <v>1588</v>
      </c>
    </row>
    <row r="43" spans="1:7" ht="13.5" customHeight="1">
      <c r="A43" s="776" t="s">
        <v>346</v>
      </c>
      <c r="B43" s="215" t="s">
        <v>1542</v>
      </c>
      <c r="C43" s="238">
        <f ca="1">ROUND(IF('数据-取费表'!B22&lt;=1,C39*F22*'数据-取费表'!B20/2,C39*(POWER((1+F22),'数据-取费表'!B20/2)-1)),0)</f>
        <v>288810</v>
      </c>
      <c r="D43" s="238"/>
      <c r="E43" s="238"/>
      <c r="F43" s="239"/>
      <c r="G43" s="3702"/>
    </row>
    <row r="44" spans="1:7" ht="13.5" customHeight="1">
      <c r="A44" s="776" t="s">
        <v>347</v>
      </c>
      <c r="B44" s="215" t="s">
        <v>1543</v>
      </c>
      <c r="C44" s="238">
        <f ca="1">ROUND(IF('数据-取费表'!B22&lt;=1,C40*F22*'数据-取费表'!B20/2,C40*(POWER((1+F22),'数据-取费表'!B20/2)-1)),4)</f>
        <v>6.9999999999999999E-4</v>
      </c>
      <c r="D44" s="238"/>
      <c r="E44" s="238"/>
      <c r="F44" s="239"/>
      <c r="G44" s="3703"/>
    </row>
    <row r="45" spans="1:7" s="214" customFormat="1" ht="13.5" customHeight="1">
      <c r="A45" s="255" t="s">
        <v>1544</v>
      </c>
      <c r="B45" s="244" t="s">
        <v>1510</v>
      </c>
      <c r="C45" s="245">
        <f ca="1">C46</f>
        <v>43112214</v>
      </c>
      <c r="D45" s="235">
        <f ca="1">C47</f>
        <v>3.0000000000000001E-3</v>
      </c>
      <c r="E45" s="236" t="s">
        <v>1536</v>
      </c>
      <c r="F45" s="246">
        <f ca="1">F27</f>
        <v>0.15</v>
      </c>
      <c r="G45" s="247" t="s">
        <v>1545</v>
      </c>
    </row>
    <row r="46" spans="1:7" s="214" customFormat="1" ht="13.5" customHeight="1">
      <c r="A46" s="776" t="s">
        <v>345</v>
      </c>
      <c r="B46" s="248" t="s">
        <v>1546</v>
      </c>
      <c r="C46" s="249">
        <f ca="1">ROUND((C33+C39)*F27,0)</f>
        <v>43112214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368843751</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350401563</v>
      </c>
      <c r="D51" s="232"/>
      <c r="E51" s="232"/>
      <c r="F51" s="264"/>
      <c r="G51" s="234" t="s">
        <v>1557</v>
      </c>
    </row>
    <row r="52" spans="1:7" s="208" customFormat="1" ht="16.5" thickBot="1">
      <c r="A52" s="265" t="s">
        <v>1558</v>
      </c>
      <c r="B52" s="266"/>
      <c r="C52" s="267">
        <f ca="1">C31+C51</f>
        <v>992058378</v>
      </c>
      <c r="D52" s="266"/>
      <c r="E52" s="266"/>
      <c r="F52" s="266"/>
      <c r="G52" s="268"/>
    </row>
    <row r="55" spans="1:7" ht="15">
      <c r="B55" s="270" t="s">
        <v>1559</v>
      </c>
      <c r="C55" s="271"/>
    </row>
    <row r="56" spans="1:7">
      <c r="B56" s="273" t="s">
        <v>801</v>
      </c>
      <c r="C56" s="275">
        <f ca="1">1-C57</f>
        <v>0.64700000000000002</v>
      </c>
    </row>
    <row r="57" spans="1:7">
      <c r="B57" s="273" t="s">
        <v>802</v>
      </c>
      <c r="C57" s="274">
        <f ca="1">ROUND(C51/C52,3)</f>
        <v>0.35299999999999998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40141.667200000004</v>
      </c>
      <c r="C2" s="1383" t="s">
        <v>878</v>
      </c>
      <c r="D2" s="1467">
        <f ca="1">C40+J29+L46</f>
        <v>401416672</v>
      </c>
      <c r="E2" s="1384" t="s">
        <v>879</v>
      </c>
      <c r="F2" s="1385"/>
      <c r="G2" s="2702"/>
      <c r="H2" s="2691"/>
      <c r="I2" s="2691"/>
      <c r="J2" s="2691"/>
      <c r="K2" s="2692"/>
      <c r="L2" s="2691"/>
      <c r="M2" s="2691"/>
    </row>
    <row r="3" spans="1:37" ht="18" customHeight="1" thickBot="1">
      <c r="A3" s="1386" t="s">
        <v>880</v>
      </c>
      <c r="B3" s="1387">
        <f ca="1">IF(ISERROR(D2/F43),0,ROUND(D2/F43,0))</f>
        <v>22854</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25997562</v>
      </c>
      <c r="D5" s="1360" t="s">
        <v>888</v>
      </c>
      <c r="E5" s="1067"/>
      <c r="F5" s="1068"/>
      <c r="G5" s="1380"/>
      <c r="H5" s="299">
        <v>1</v>
      </c>
      <c r="I5" s="300" t="s">
        <v>887</v>
      </c>
      <c r="J5" s="1066">
        <f ca="1">J6+J10+J12</f>
        <v>0</v>
      </c>
      <c r="K5" s="1360" t="s">
        <v>888</v>
      </c>
      <c r="L5" s="1067"/>
      <c r="M5" s="1068"/>
    </row>
    <row r="6" spans="1:37" ht="18" customHeight="1">
      <c r="A6" s="1065" t="s">
        <v>397</v>
      </c>
      <c r="B6" s="3706" t="s">
        <v>693</v>
      </c>
      <c r="C6" s="1070">
        <f ca="1">ROUND(F6*F8*F7*(1-F9),0)</f>
        <v>25965106</v>
      </c>
      <c r="D6" s="155" t="s">
        <v>2101</v>
      </c>
      <c r="E6" s="302" t="s">
        <v>695</v>
      </c>
      <c r="F6" s="303">
        <f ca="1">INDIRECT("'数据-取费表'!u"&amp;$G$1)</f>
        <v>4.5</v>
      </c>
      <c r="G6" s="1380"/>
      <c r="H6" s="1065" t="s">
        <v>397</v>
      </c>
      <c r="I6" s="3706" t="s">
        <v>693</v>
      </c>
      <c r="J6" s="301">
        <f ca="1">ROUND(M6*M8*M7*(1-M9),0)</f>
        <v>0</v>
      </c>
      <c r="K6" s="1372" t="s">
        <v>2102</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32456</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139854550</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147215316</v>
      </c>
      <c r="K14" s="12"/>
      <c r="L14" s="803"/>
      <c r="M14" s="804"/>
    </row>
    <row r="15" spans="1:37" s="1393" customFormat="1" ht="18" customHeight="1" thickBot="1">
      <c r="A15" s="978" t="s">
        <v>398</v>
      </c>
      <c r="B15" s="302" t="s">
        <v>709</v>
      </c>
      <c r="C15" s="21">
        <f ca="1">ROUND(C14*F15,0)</f>
        <v>4808423</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807182</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106746980</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3202409</v>
      </c>
      <c r="D20" s="323" t="s">
        <v>728</v>
      </c>
      <c r="E20" s="302" t="s">
        <v>711</v>
      </c>
      <c r="F20" s="322">
        <f>'数据-取费表'!B37</f>
        <v>0.03</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736077</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3793254</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-807182</v>
      </c>
      <c r="K25" s="1091" t="s">
        <v>752</v>
      </c>
      <c r="L25" s="1092"/>
      <c r="M25" s="1093"/>
    </row>
    <row r="26" spans="1:37" ht="18" customHeight="1">
      <c r="A26" s="978" t="s">
        <v>396</v>
      </c>
      <c r="B26" s="302" t="s">
        <v>753</v>
      </c>
      <c r="C26" s="21">
        <f ca="1">ROUND((C19+C20)*F26,0)</f>
        <v>21989878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147215316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5559260</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4423352</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1384806</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2967441</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736077</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139855</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ROUND(C5*F38,0)</f>
        <v>259976</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20438302</v>
      </c>
      <c r="D39" s="1091" t="s">
        <v>772</v>
      </c>
      <c r="E39" s="1092"/>
      <c r="F39" s="1093"/>
      <c r="G39" s="1380"/>
      <c r="H39" s="2696"/>
      <c r="I39" s="1394"/>
      <c r="J39" s="1395"/>
      <c r="K39" s="2700"/>
      <c r="L39" s="2696"/>
      <c r="M39" s="2696"/>
    </row>
    <row r="40" spans="1:18" ht="18" customHeight="1">
      <c r="A40" s="299" t="s">
        <v>394</v>
      </c>
      <c r="B40" s="300" t="s">
        <v>773</v>
      </c>
      <c r="C40" s="301">
        <f ca="1">ROUND(C39*(1-((1+F42)/(1+F40))^F41)/(F40-F42),0)</f>
        <v>396247366</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ROUND(C40/F43,0)</f>
        <v>22559</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-41062.3125</v>
      </c>
      <c r="D45" s="3427" t="s">
        <v>3350</v>
      </c>
      <c r="E45" s="1396"/>
      <c r="F45" s="1396"/>
      <c r="O45" s="1399" t="s">
        <v>807</v>
      </c>
      <c r="P45" s="1457"/>
      <c r="Q45" s="1457"/>
      <c r="R45" s="1457"/>
    </row>
    <row r="46" spans="1:18" s="1380" customFormat="1" ht="13.5" thickBot="1">
      <c r="A46" s="1400" t="s">
        <v>808</v>
      </c>
      <c r="C46" s="1401">
        <f ca="1">ROUND(C45,0)</f>
        <v>-41062</v>
      </c>
      <c r="D46" s="1402" t="str">
        <f>C2</f>
        <v>万元</v>
      </c>
      <c r="I46" s="1403" t="s">
        <v>809</v>
      </c>
      <c r="J46" s="1404"/>
      <c r="K46" s="1405"/>
      <c r="L46" s="1406">
        <f ca="1">IF(M47="住宅",0,IF(L48&gt;J51,L60,J60))</f>
        <v>5169306</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396247366</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5169306</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147215316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199771075</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33.64</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33.64</v>
      </c>
      <c r="K53" s="3709" t="s">
        <v>836</v>
      </c>
      <c r="L53" s="3710"/>
      <c r="O53" s="1414" t="s">
        <v>408</v>
      </c>
      <c r="P53" s="1415" t="s">
        <v>837</v>
      </c>
      <c r="Q53" s="1416">
        <f ca="1">Q47+Q48</f>
        <v>401416672</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139854550</v>
      </c>
      <c r="D56" s="1443"/>
      <c r="E56" s="1444"/>
      <c r="F56" s="1436"/>
      <c r="I56" s="1445" t="s">
        <v>841</v>
      </c>
      <c r="J56" s="1446" t="s">
        <v>3380</v>
      </c>
      <c r="K56" s="1417" t="s">
        <v>842</v>
      </c>
      <c r="L56" s="1420" t="str">
        <f ca="1">IF(L48&lt;J51,"——",L48-J51)</f>
        <v>——</v>
      </c>
      <c r="O56" s="1414" t="s">
        <v>402</v>
      </c>
      <c r="P56" s="1415" t="s">
        <v>816</v>
      </c>
      <c r="Q56" s="1416">
        <f ca="1">C40+J29</f>
        <v>396247366</v>
      </c>
      <c r="R56" s="1416" t="s">
        <v>817</v>
      </c>
    </row>
    <row r="57" spans="1:18" s="1380" customFormat="1" ht="24.75" thickBot="1">
      <c r="A57" s="1447"/>
      <c r="B57" s="946" t="s">
        <v>766</v>
      </c>
      <c r="C57" s="238">
        <f ca="1">C29</f>
        <v>147215316</v>
      </c>
      <c r="D57" s="1448"/>
      <c r="E57" s="1449"/>
      <c r="F57" s="1450"/>
      <c r="I57" s="1451" t="s">
        <v>843</v>
      </c>
      <c r="J57" s="1452">
        <f ca="1">IF(OR(M47="住宅",J51&lt;L48,J56="是"),"——",J51-L48)</f>
        <v>23.36</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947037</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58886126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5169306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396247366</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736077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139855</v>
      </c>
      <c r="D65" s="960" t="s">
        <v>742</v>
      </c>
      <c r="E65" s="946" t="s">
        <v>743</v>
      </c>
      <c r="F65" s="330">
        <f t="shared" ca="1" si="0"/>
        <v>1E-3</v>
      </c>
      <c r="I65" s="1458" t="s">
        <v>866</v>
      </c>
      <c r="J65" s="1459">
        <v>40</v>
      </c>
      <c r="K65" s="1459">
        <v>30</v>
      </c>
      <c r="L65" s="1459">
        <v>50</v>
      </c>
      <c r="M65" s="1461">
        <v>0.02</v>
      </c>
      <c r="O65" s="1414" t="s">
        <v>402</v>
      </c>
      <c r="P65" s="1415" t="s">
        <v>867</v>
      </c>
      <c r="Q65" s="1416">
        <f ca="1">C40+J29</f>
        <v>396247366</v>
      </c>
      <c r="R65" s="1416" t="s">
        <v>817</v>
      </c>
    </row>
    <row r="66" spans="1:18" s="1380" customFormat="1" ht="16.5" thickBot="1">
      <c r="A66" s="978" t="s">
        <v>792</v>
      </c>
      <c r="B66" s="946" t="s">
        <v>727</v>
      </c>
      <c r="C66" s="21">
        <f ca="1">ROUND(C48*F66,0)</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-947037</v>
      </c>
      <c r="D67" s="959" t="s">
        <v>752</v>
      </c>
      <c r="E67" s="964"/>
      <c r="F67" s="965"/>
      <c r="O67" s="1424" t="s">
        <v>404</v>
      </c>
      <c r="P67" s="1415" t="s">
        <v>849</v>
      </c>
      <c r="Q67" s="1462">
        <f ca="1">L51</f>
        <v>199771075</v>
      </c>
      <c r="R67" s="1416" t="s">
        <v>869</v>
      </c>
    </row>
    <row r="68" spans="1:18" s="1380" customFormat="1" ht="16.5" thickBot="1">
      <c r="A68" s="943" t="s">
        <v>394</v>
      </c>
      <c r="B68" s="944" t="s">
        <v>773</v>
      </c>
      <c r="C68" s="301">
        <f ca="1">ROUND(C67*(1-((1+F70)/(1+F68))^F69)/(F68-F70),0)</f>
        <v>-14375759</v>
      </c>
      <c r="D68" s="961" t="s">
        <v>757</v>
      </c>
      <c r="E68" s="946" t="s">
        <v>758</v>
      </c>
      <c r="F68" s="312">
        <f ca="1">F40</f>
        <v>5.5E-2</v>
      </c>
      <c r="O68" s="1424" t="s">
        <v>405</v>
      </c>
      <c r="P68" s="1463" t="s">
        <v>870</v>
      </c>
      <c r="Q68" s="1416">
        <f ca="1">ROUND(Q69-Q70*Q71,0)</f>
        <v>10648484</v>
      </c>
      <c r="R68" s="1416" t="s">
        <v>413</v>
      </c>
    </row>
    <row r="69" spans="1:18" s="1380" customFormat="1" ht="13.5" thickBot="1">
      <c r="A69" s="947"/>
      <c r="B69" s="948"/>
      <c r="C69" s="306"/>
      <c r="D69" s="966" t="s">
        <v>761</v>
      </c>
      <c r="E69" s="946" t="s">
        <v>762</v>
      </c>
      <c r="F69" s="333">
        <f ca="1">F41</f>
        <v>33.64</v>
      </c>
      <c r="O69" s="1424" t="s">
        <v>410</v>
      </c>
      <c r="P69" s="1463" t="s">
        <v>871</v>
      </c>
      <c r="Q69" s="1416">
        <f ca="1">C39</f>
        <v>20438302</v>
      </c>
      <c r="R69" s="1416" t="s">
        <v>817</v>
      </c>
    </row>
    <row r="70" spans="1:18" s="1380" customFormat="1" ht="13.5" thickBot="1">
      <c r="A70" s="950"/>
      <c r="B70" s="951"/>
      <c r="C70" s="310"/>
      <c r="D70" s="962"/>
      <c r="E70" s="946" t="s">
        <v>765</v>
      </c>
      <c r="F70" s="1050"/>
      <c r="O70" s="1424" t="s">
        <v>411</v>
      </c>
      <c r="P70" s="1463" t="s">
        <v>872</v>
      </c>
      <c r="Q70" s="1416">
        <f ca="1">C13</f>
        <v>139854550</v>
      </c>
      <c r="R70" s="1416" t="s">
        <v>817</v>
      </c>
    </row>
    <row r="71" spans="1:18" s="1380" customFormat="1" ht="13.5" thickBot="1">
      <c r="A71" s="967" t="s">
        <v>395</v>
      </c>
      <c r="B71" s="968" t="s">
        <v>775</v>
      </c>
      <c r="C71" s="336">
        <f ca="1">ROUND(C68/F71,0)</f>
        <v>-818</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9789819</v>
      </c>
      <c r="D75" s="1380"/>
      <c r="E75" s="1380"/>
      <c r="F75" s="1380"/>
      <c r="K75" s="1398"/>
      <c r="L75" s="1380"/>
      <c r="O75" s="1414" t="s">
        <v>408</v>
      </c>
      <c r="P75" s="1415" t="s">
        <v>837</v>
      </c>
      <c r="Q75" s="1416">
        <f ca="1">Q65+Q66</f>
        <v>396247366</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0.52100000000000002</v>
      </c>
    </row>
    <row r="80" spans="1:18">
      <c r="B80" s="340" t="s">
        <v>799</v>
      </c>
      <c r="C80" s="274">
        <f ca="1">ROUND(C75/C39,3)</f>
        <v>0.47899999999999998</v>
      </c>
    </row>
    <row r="81" spans="2:3">
      <c r="B81" s="270" t="s">
        <v>800</v>
      </c>
      <c r="C81" s="238"/>
    </row>
    <row r="82" spans="2:3">
      <c r="B82" s="273" t="s">
        <v>801</v>
      </c>
      <c r="C82" s="275">
        <f ca="1">1-C83</f>
        <v>0.64700000000000002</v>
      </c>
    </row>
    <row r="83" spans="2:3">
      <c r="B83" s="273" t="s">
        <v>802</v>
      </c>
      <c r="C83" s="274">
        <f ca="1">ROUND(C13/C40,3)</f>
        <v>0.35299999999999998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57" t="s">
        <v>2316</v>
      </c>
      <c r="K2" s="3758"/>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9" t="s">
        <v>2326</v>
      </c>
      <c r="K3" s="3760"/>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9" t="s">
        <v>2328</v>
      </c>
      <c r="K4" s="3760"/>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61" t="s">
        <v>2332</v>
      </c>
      <c r="B6" s="3762"/>
      <c r="C6" s="3763"/>
      <c r="D6" s="2866"/>
      <c r="E6" s="2867"/>
      <c r="F6" s="2868"/>
      <c r="G6" s="2869"/>
      <c r="H6" s="2844"/>
      <c r="I6" s="2845"/>
      <c r="J6" s="3764">
        <v>1</v>
      </c>
      <c r="K6" s="3765"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64"/>
      <c r="K7" s="3766"/>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8" t="s">
        <v>2346</v>
      </c>
      <c r="C8" s="3769"/>
      <c r="D8" s="2885" t="s">
        <v>2347</v>
      </c>
      <c r="E8" s="2886" t="s">
        <v>2348</v>
      </c>
      <c r="F8" s="2887" t="s">
        <v>2349</v>
      </c>
      <c r="G8" s="2888"/>
      <c r="H8" s="2844"/>
      <c r="I8" s="2845"/>
      <c r="J8" s="3764"/>
      <c r="K8" s="3766"/>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8" t="s">
        <v>2352</v>
      </c>
      <c r="C9" s="3769"/>
      <c r="D9" s="2885">
        <f>ROUND(D6*E9,0)</f>
        <v>0</v>
      </c>
      <c r="E9" s="2889"/>
      <c r="F9" s="2890" t="s">
        <v>2353</v>
      </c>
      <c r="G9" s="2869"/>
      <c r="H9" s="2844"/>
      <c r="I9" s="2845"/>
      <c r="J9" s="3764"/>
      <c r="K9" s="3766"/>
      <c r="L9" s="2879" t="s">
        <v>2354</v>
      </c>
      <c r="M9" s="2880"/>
      <c r="N9" s="2856"/>
      <c r="O9" s="2881"/>
      <c r="P9" s="2881"/>
      <c r="Q9" s="2882">
        <v>365</v>
      </c>
      <c r="R9" s="2883">
        <f t="shared" si="0"/>
        <v>0</v>
      </c>
      <c r="S9" s="2837"/>
      <c r="T9" s="2837"/>
      <c r="U9" s="2837"/>
      <c r="V9" s="2845"/>
    </row>
    <row r="10" spans="1:22" s="2849" customFormat="1" ht="13.15" customHeight="1">
      <c r="A10" s="2884">
        <v>2</v>
      </c>
      <c r="B10" s="3768" t="s">
        <v>2355</v>
      </c>
      <c r="C10" s="3769"/>
      <c r="D10" s="2885">
        <f>ROUND(D6*E10,0)</f>
        <v>0</v>
      </c>
      <c r="E10" s="2889"/>
      <c r="F10" s="2890" t="s">
        <v>2356</v>
      </c>
      <c r="G10" s="2869"/>
      <c r="H10" s="2844"/>
      <c r="I10" s="2845"/>
      <c r="J10" s="3764"/>
      <c r="K10" s="3766"/>
      <c r="L10" s="2879" t="s">
        <v>2357</v>
      </c>
      <c r="M10" s="2880"/>
      <c r="N10" s="2856"/>
      <c r="O10" s="2881"/>
      <c r="P10" s="2881"/>
      <c r="Q10" s="2882">
        <v>365</v>
      </c>
      <c r="R10" s="2883">
        <f t="shared" si="0"/>
        <v>0</v>
      </c>
      <c r="S10" s="2837"/>
      <c r="T10" s="2837"/>
      <c r="U10" s="2837"/>
      <c r="V10" s="2845"/>
    </row>
    <row r="11" spans="1:22" s="2849" customFormat="1" ht="13.15" customHeight="1">
      <c r="A11" s="2884">
        <v>3</v>
      </c>
      <c r="B11" s="3768" t="s">
        <v>2358</v>
      </c>
      <c r="C11" s="3769"/>
      <c r="D11" s="2885">
        <f>D12+D14+D15+D16</f>
        <v>0</v>
      </c>
      <c r="E11" s="2891" t="e">
        <f>D11/D6</f>
        <v>#DIV/0!</v>
      </c>
      <c r="F11" s="2887"/>
      <c r="G11" s="2888"/>
      <c r="H11" s="2844"/>
      <c r="I11" s="2845"/>
      <c r="J11" s="3764"/>
      <c r="K11" s="3766"/>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70" t="s">
        <v>2361</v>
      </c>
      <c r="C12" s="3771"/>
      <c r="D12" s="2893">
        <f>ROUND(D13*1.2%*(1-30%),0)</f>
        <v>0</v>
      </c>
      <c r="E12" s="2894">
        <v>1.2E-2</v>
      </c>
      <c r="F12" s="2887" t="s">
        <v>2362</v>
      </c>
      <c r="G12" s="2888"/>
      <c r="H12" s="2844"/>
      <c r="I12" s="2845"/>
      <c r="J12" s="3764"/>
      <c r="K12" s="3766"/>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64"/>
      <c r="K13" s="3766"/>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70" t="s">
        <v>2367</v>
      </c>
      <c r="C14" s="3771"/>
      <c r="D14" s="2893">
        <f>ROUND(E14*B5/10000,0)</f>
        <v>0</v>
      </c>
      <c r="E14" s="2882"/>
      <c r="F14" s="2887" t="s">
        <v>2368</v>
      </c>
      <c r="G14" s="2888"/>
      <c r="H14" s="2844"/>
      <c r="I14" s="2845"/>
      <c r="J14" s="3764"/>
      <c r="K14" s="3767"/>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70" t="s">
        <v>2371</v>
      </c>
      <c r="C15" s="3771"/>
      <c r="D15" s="2893">
        <f>ROUND(D6*E15,0)</f>
        <v>0</v>
      </c>
      <c r="E15" s="2894">
        <v>5.5E-2</v>
      </c>
      <c r="F15" s="2887" t="s">
        <v>2372</v>
      </c>
      <c r="G15" s="2869"/>
      <c r="H15" s="2844"/>
      <c r="I15" s="2845"/>
      <c r="J15" s="3764">
        <v>2</v>
      </c>
      <c r="K15" s="3765"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70" t="s">
        <v>2380</v>
      </c>
      <c r="C16" s="3771"/>
      <c r="D16" s="2904">
        <f>D6*E16</f>
        <v>0</v>
      </c>
      <c r="E16" s="2905"/>
      <c r="F16" s="2890" t="s">
        <v>2381</v>
      </c>
      <c r="G16" s="2869"/>
      <c r="H16" s="2844"/>
      <c r="I16" s="2845"/>
      <c r="J16" s="3764"/>
      <c r="K16" s="3766"/>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72" t="s">
        <v>2383</v>
      </c>
      <c r="C17" s="3773"/>
      <c r="D17" s="2907">
        <f>ROUND(D6*E17,0)</f>
        <v>0</v>
      </c>
      <c r="E17" s="2908"/>
      <c r="F17" s="2909" t="s">
        <v>2384</v>
      </c>
      <c r="G17" s="2869"/>
      <c r="H17" s="2844"/>
      <c r="I17" s="2845"/>
      <c r="J17" s="3764"/>
      <c r="K17" s="3766"/>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64"/>
      <c r="K18" s="3766"/>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64"/>
      <c r="K19" s="3767"/>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4">
        <v>3</v>
      </c>
      <c r="K20" s="3765"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64"/>
      <c r="K21" s="3766"/>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64"/>
      <c r="K22" s="3766"/>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64"/>
      <c r="K23" s="3766"/>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64"/>
      <c r="K24" s="3767"/>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74">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7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7" t="s">
        <v>2316</v>
      </c>
      <c r="K32" s="3758"/>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9" t="s">
        <v>2326</v>
      </c>
      <c r="K33" s="3760"/>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9" t="s">
        <v>2328</v>
      </c>
      <c r="K34" s="376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64">
        <v>1</v>
      </c>
      <c r="K36" s="3765"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64"/>
      <c r="K37" s="3766"/>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4"/>
      <c r="K38" s="3766"/>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64"/>
      <c r="K39" s="3766"/>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64"/>
      <c r="K40" s="3767"/>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4">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7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30" t="s">
        <v>1664</v>
      </c>
      <c r="D4" s="3731"/>
      <c r="E4" s="3732" t="s">
        <v>1665</v>
      </c>
      <c r="F4" s="3733"/>
      <c r="G4" s="3730" t="s">
        <v>1666</v>
      </c>
      <c r="H4" s="3731"/>
      <c r="I4" s="3730" t="s">
        <v>1667</v>
      </c>
      <c r="J4" s="3731"/>
      <c r="K4" s="1885" t="s">
        <v>1668</v>
      </c>
      <c r="L4" s="2711"/>
      <c r="M4" s="2712"/>
      <c r="N4" s="2712"/>
      <c r="O4" s="2712"/>
      <c r="P4" s="3734" t="s">
        <v>1669</v>
      </c>
      <c r="Q4" s="3735"/>
      <c r="R4" s="3717" t="s">
        <v>1665</v>
      </c>
      <c r="S4" s="3718"/>
      <c r="T4" s="3717" t="s">
        <v>1666</v>
      </c>
      <c r="U4" s="3718"/>
      <c r="V4" s="3714" t="s">
        <v>1667</v>
      </c>
      <c r="W4" s="3714"/>
      <c r="X4" s="1351"/>
      <c r="Y4" s="3717" t="s">
        <v>1669</v>
      </c>
      <c r="Z4" s="3718"/>
      <c r="AA4" s="3711" t="s">
        <v>1665</v>
      </c>
      <c r="AB4" s="3711" t="s">
        <v>1666</v>
      </c>
      <c r="AC4" s="3711" t="s">
        <v>1667</v>
      </c>
    </row>
    <row r="5" spans="1:29" ht="15">
      <c r="A5" s="358"/>
      <c r="B5" s="359"/>
      <c r="C5" s="3723" t="s">
        <v>1670</v>
      </c>
      <c r="D5" s="3724"/>
      <c r="E5" s="3721" t="s">
        <v>1671</v>
      </c>
      <c r="F5" s="3722"/>
      <c r="G5" s="3723" t="s">
        <v>1672</v>
      </c>
      <c r="H5" s="3724"/>
      <c r="I5" s="3723" t="s">
        <v>1673</v>
      </c>
      <c r="J5" s="3724"/>
      <c r="K5" s="1886"/>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1886"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45457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15" t="s">
        <v>1677</v>
      </c>
      <c r="Q7" s="3742"/>
      <c r="R7" s="700" t="s">
        <v>20</v>
      </c>
      <c r="S7" s="701">
        <f t="shared" ref="S7:S15" si="0">F7</f>
        <v>0</v>
      </c>
      <c r="T7" s="700" t="s">
        <v>20</v>
      </c>
      <c r="U7" s="701">
        <f t="shared" ref="U7:U15" si="1">H7</f>
        <v>0</v>
      </c>
      <c r="V7" s="700" t="s">
        <v>20</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15" t="s">
        <v>1680</v>
      </c>
      <c r="Q8" s="3716"/>
      <c r="R8" s="700" t="s">
        <v>20</v>
      </c>
      <c r="S8" s="701">
        <f t="shared" si="0"/>
        <v>100</v>
      </c>
      <c r="T8" s="700" t="s">
        <v>20</v>
      </c>
      <c r="U8" s="701">
        <f t="shared" si="1"/>
        <v>100</v>
      </c>
      <c r="V8" s="700" t="s">
        <v>20</v>
      </c>
      <c r="W8" s="701">
        <f t="shared" si="2"/>
        <v>100</v>
      </c>
      <c r="X8" s="702"/>
      <c r="Y8" s="3715" t="s">
        <v>1680</v>
      </c>
      <c r="Z8" s="3716"/>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9"/>
      <c r="Q11" s="1339" t="str">
        <f t="shared" si="6"/>
        <v>容积率</v>
      </c>
      <c r="R11" s="700" t="s">
        <v>18</v>
      </c>
      <c r="S11" s="701" t="e">
        <f t="shared" si="0"/>
        <v>#N/A</v>
      </c>
      <c r="T11" s="700" t="s">
        <v>18</v>
      </c>
      <c r="U11" s="701" t="e">
        <f t="shared" si="1"/>
        <v>#N/A</v>
      </c>
      <c r="V11" s="700" t="s">
        <v>18</v>
      </c>
      <c r="W11" s="701" t="e">
        <f t="shared" si="2"/>
        <v>#N/A</v>
      </c>
      <c r="X11" s="702"/>
      <c r="Y11" s="3677"/>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9"/>
      <c r="Q12" s="1339">
        <f t="shared" si="6"/>
        <v>111</v>
      </c>
      <c r="R12" s="700" t="s">
        <v>18</v>
      </c>
      <c r="S12" s="701">
        <f t="shared" si="0"/>
        <v>100</v>
      </c>
      <c r="T12" s="700" t="s">
        <v>18</v>
      </c>
      <c r="U12" s="701">
        <f t="shared" si="1"/>
        <v>100</v>
      </c>
      <c r="V12" s="700" t="s">
        <v>18</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9"/>
      <c r="Q13" s="1339">
        <f t="shared" si="6"/>
        <v>111</v>
      </c>
      <c r="R13" s="700" t="s">
        <v>18</v>
      </c>
      <c r="S13" s="701">
        <f t="shared" si="0"/>
        <v>100</v>
      </c>
      <c r="T13" s="700" t="s">
        <v>18</v>
      </c>
      <c r="U13" s="701">
        <f t="shared" si="1"/>
        <v>100</v>
      </c>
      <c r="V13" s="700" t="s">
        <v>18</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9"/>
      <c r="Q14" s="1339">
        <f t="shared" si="6"/>
        <v>111</v>
      </c>
      <c r="R14" s="700" t="s">
        <v>18</v>
      </c>
      <c r="S14" s="701">
        <f t="shared" si="0"/>
        <v>100</v>
      </c>
      <c r="T14" s="700" t="s">
        <v>18</v>
      </c>
      <c r="U14" s="701">
        <f t="shared" si="1"/>
        <v>100</v>
      </c>
      <c r="V14" s="700" t="s">
        <v>18</v>
      </c>
      <c r="W14" s="701">
        <f t="shared" si="2"/>
        <v>100</v>
      </c>
      <c r="X14" s="702"/>
      <c r="Y14" s="3677"/>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3" t="s">
        <v>1688</v>
      </c>
      <c r="Q15" s="1348" t="str">
        <f t="shared" si="6"/>
        <v>居住社区成熟度</v>
      </c>
      <c r="R15" s="704" t="s">
        <v>18</v>
      </c>
      <c r="S15" s="705">
        <f t="shared" si="0"/>
        <v>100</v>
      </c>
      <c r="T15" s="704" t="s">
        <v>18</v>
      </c>
      <c r="U15" s="705">
        <f t="shared" si="1"/>
        <v>100</v>
      </c>
      <c r="V15" s="704" t="s">
        <v>18</v>
      </c>
      <c r="W15" s="705">
        <f t="shared" si="2"/>
        <v>100</v>
      </c>
      <c r="X15" s="1351"/>
      <c r="Y15" s="3745"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44"/>
      <c r="Q16" s="1348"/>
      <c r="R16" s="704"/>
      <c r="S16" s="705"/>
      <c r="T16" s="704"/>
      <c r="U16" s="705"/>
      <c r="V16" s="704"/>
      <c r="W16" s="705"/>
      <c r="X16" s="1351"/>
      <c r="Y16" s="3746"/>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4"/>
      <c r="Q17" s="1348" t="str">
        <f>B17</f>
        <v>交通便捷度</v>
      </c>
      <c r="R17" s="704" t="s">
        <v>18</v>
      </c>
      <c r="S17" s="705">
        <f>F17</f>
        <v>100</v>
      </c>
      <c r="T17" s="704" t="s">
        <v>18</v>
      </c>
      <c r="U17" s="705">
        <f>H17</f>
        <v>100</v>
      </c>
      <c r="V17" s="704" t="s">
        <v>18</v>
      </c>
      <c r="W17" s="705">
        <f>J17</f>
        <v>100</v>
      </c>
      <c r="X17" s="1351"/>
      <c r="Y17" s="3746"/>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44"/>
      <c r="Q18" s="1348"/>
      <c r="R18" s="704"/>
      <c r="S18" s="705"/>
      <c r="T18" s="704"/>
      <c r="U18" s="705"/>
      <c r="V18" s="704"/>
      <c r="W18" s="705"/>
      <c r="X18" s="1351"/>
      <c r="Y18" s="3746"/>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4"/>
      <c r="Q19" s="1348" t="str">
        <f>B19</f>
        <v>公共配套设施</v>
      </c>
      <c r="R19" s="704" t="s">
        <v>18</v>
      </c>
      <c r="S19" s="705">
        <f>F19</f>
        <v>100</v>
      </c>
      <c r="T19" s="704" t="s">
        <v>18</v>
      </c>
      <c r="U19" s="705">
        <f>H19</f>
        <v>100</v>
      </c>
      <c r="V19" s="704" t="s">
        <v>18</v>
      </c>
      <c r="W19" s="705">
        <f>J19</f>
        <v>100</v>
      </c>
      <c r="X19" s="1351"/>
      <c r="Y19" s="3746"/>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44"/>
      <c r="Q20" s="1348"/>
      <c r="R20" s="704"/>
      <c r="S20" s="705"/>
      <c r="T20" s="704"/>
      <c r="U20" s="705"/>
      <c r="V20" s="704"/>
      <c r="W20" s="705"/>
      <c r="X20" s="1351"/>
      <c r="Y20" s="3746"/>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44"/>
      <c r="Q22" s="1348"/>
      <c r="R22" s="704"/>
      <c r="S22" s="705"/>
      <c r="T22" s="704"/>
      <c r="U22" s="705"/>
      <c r="V22" s="704"/>
      <c r="W22" s="705"/>
      <c r="X22" s="1351"/>
      <c r="Y22" s="3746"/>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4"/>
      <c r="Q23" s="1348" t="str">
        <f>B23</f>
        <v>自然及人文环境</v>
      </c>
      <c r="R23" s="704" t="s">
        <v>18</v>
      </c>
      <c r="S23" s="705">
        <f>F23</f>
        <v>100</v>
      </c>
      <c r="T23" s="704" t="s">
        <v>18</v>
      </c>
      <c r="U23" s="705">
        <f>H23</f>
        <v>100</v>
      </c>
      <c r="V23" s="704" t="s">
        <v>18</v>
      </c>
      <c r="W23" s="705">
        <f>J23</f>
        <v>100</v>
      </c>
      <c r="X23" s="1351"/>
      <c r="Y23" s="3746"/>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44"/>
      <c r="Q24" s="1348"/>
      <c r="R24" s="704"/>
      <c r="S24" s="705"/>
      <c r="T24" s="704"/>
      <c r="U24" s="705"/>
      <c r="V24" s="704"/>
      <c r="W24" s="705"/>
      <c r="X24" s="1351"/>
      <c r="Y24" s="3746"/>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44"/>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46"/>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44"/>
      <c r="Q26" s="1348" t="str">
        <f t="shared" si="11"/>
        <v>朝向</v>
      </c>
      <c r="R26" s="704" t="s">
        <v>18</v>
      </c>
      <c r="S26" s="705">
        <f t="shared" si="12"/>
        <v>100</v>
      </c>
      <c r="T26" s="704" t="s">
        <v>18</v>
      </c>
      <c r="U26" s="705">
        <f t="shared" si="13"/>
        <v>100</v>
      </c>
      <c r="V26" s="704" t="s">
        <v>18</v>
      </c>
      <c r="W26" s="705">
        <f t="shared" si="14"/>
        <v>100</v>
      </c>
      <c r="X26" s="1351"/>
      <c r="Y26" s="3746"/>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44"/>
      <c r="Q27" s="1339">
        <f t="shared" si="11"/>
        <v>111</v>
      </c>
      <c r="R27" s="700" t="s">
        <v>18</v>
      </c>
      <c r="S27" s="701">
        <f t="shared" si="12"/>
        <v>100</v>
      </c>
      <c r="T27" s="700" t="s">
        <v>18</v>
      </c>
      <c r="U27" s="701">
        <f t="shared" si="13"/>
        <v>100</v>
      </c>
      <c r="V27" s="700" t="s">
        <v>18</v>
      </c>
      <c r="W27" s="701">
        <f t="shared" si="14"/>
        <v>100</v>
      </c>
      <c r="X27" s="702"/>
      <c r="Y27" s="3746"/>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44"/>
      <c r="Q28" s="1348">
        <f t="shared" si="11"/>
        <v>111</v>
      </c>
      <c r="R28" s="704" t="s">
        <v>18</v>
      </c>
      <c r="S28" s="705">
        <f t="shared" si="12"/>
        <v>100</v>
      </c>
      <c r="T28" s="704" t="s">
        <v>18</v>
      </c>
      <c r="U28" s="705">
        <f t="shared" si="13"/>
        <v>100</v>
      </c>
      <c r="V28" s="704" t="s">
        <v>18</v>
      </c>
      <c r="W28" s="705">
        <f t="shared" si="14"/>
        <v>100</v>
      </c>
      <c r="X28" s="1351"/>
      <c r="Y28" s="3746"/>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44"/>
      <c r="Q29" s="1348">
        <f t="shared" si="11"/>
        <v>111</v>
      </c>
      <c r="R29" s="704" t="s">
        <v>18</v>
      </c>
      <c r="S29" s="705">
        <f t="shared" si="12"/>
        <v>100</v>
      </c>
      <c r="T29" s="704" t="s">
        <v>18</v>
      </c>
      <c r="U29" s="705">
        <f t="shared" si="13"/>
        <v>100</v>
      </c>
      <c r="V29" s="704" t="s">
        <v>18</v>
      </c>
      <c r="W29" s="705">
        <f t="shared" si="14"/>
        <v>100</v>
      </c>
      <c r="X29" s="1351"/>
      <c r="Y29" s="3746"/>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44"/>
      <c r="Q30" s="1348">
        <f t="shared" si="11"/>
        <v>111</v>
      </c>
      <c r="R30" s="704" t="s">
        <v>18</v>
      </c>
      <c r="S30" s="705">
        <f t="shared" si="12"/>
        <v>100</v>
      </c>
      <c r="T30" s="704" t="s">
        <v>18</v>
      </c>
      <c r="U30" s="705">
        <f t="shared" si="13"/>
        <v>100</v>
      </c>
      <c r="V30" s="704" t="s">
        <v>18</v>
      </c>
      <c r="W30" s="705">
        <f t="shared" si="14"/>
        <v>100</v>
      </c>
      <c r="X30" s="1351"/>
      <c r="Y30" s="3746"/>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44"/>
      <c r="Q31" s="1348">
        <f t="shared" si="11"/>
        <v>111</v>
      </c>
      <c r="R31" s="704" t="s">
        <v>18</v>
      </c>
      <c r="S31" s="705">
        <f t="shared" si="12"/>
        <v>100</v>
      </c>
      <c r="T31" s="704" t="s">
        <v>18</v>
      </c>
      <c r="U31" s="705">
        <f t="shared" si="13"/>
        <v>100</v>
      </c>
      <c r="V31" s="704" t="s">
        <v>18</v>
      </c>
      <c r="W31" s="705">
        <f t="shared" si="14"/>
        <v>100</v>
      </c>
      <c r="X31" s="1351"/>
      <c r="Y31" s="3746"/>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47" t="s">
        <v>1693</v>
      </c>
      <c r="Q32" s="1348" t="str">
        <f t="shared" si="11"/>
        <v>建筑类型</v>
      </c>
      <c r="R32" s="704" t="s">
        <v>18</v>
      </c>
      <c r="S32" s="705">
        <f t="shared" si="12"/>
        <v>100</v>
      </c>
      <c r="T32" s="704" t="s">
        <v>18</v>
      </c>
      <c r="U32" s="705">
        <f t="shared" si="13"/>
        <v>100</v>
      </c>
      <c r="V32" s="704" t="s">
        <v>18</v>
      </c>
      <c r="W32" s="705">
        <f t="shared" si="14"/>
        <v>100</v>
      </c>
      <c r="X32" s="1351"/>
      <c r="Y32" s="3750"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8"/>
      <c r="Q33" s="706" t="str">
        <f t="shared" si="11"/>
        <v>项目建筑规模</v>
      </c>
      <c r="R33" s="707" t="s">
        <v>18</v>
      </c>
      <c r="S33" s="708" t="e">
        <f t="shared" si="12"/>
        <v>#N/A</v>
      </c>
      <c r="T33" s="707" t="s">
        <v>18</v>
      </c>
      <c r="U33" s="708" t="e">
        <f t="shared" si="13"/>
        <v>#N/A</v>
      </c>
      <c r="V33" s="707" t="s">
        <v>18</v>
      </c>
      <c r="W33" s="708" t="e">
        <f t="shared" si="14"/>
        <v>#N/A</v>
      </c>
      <c r="X33" s="709"/>
      <c r="Y33" s="3750"/>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8"/>
      <c r="Q34" s="1348" t="str">
        <f t="shared" si="11"/>
        <v>建筑结构</v>
      </c>
      <c r="R34" s="704" t="s">
        <v>18</v>
      </c>
      <c r="S34" s="705">
        <f t="shared" si="12"/>
        <v>100</v>
      </c>
      <c r="T34" s="704" t="s">
        <v>18</v>
      </c>
      <c r="U34" s="705">
        <f t="shared" si="13"/>
        <v>100</v>
      </c>
      <c r="V34" s="704" t="s">
        <v>18</v>
      </c>
      <c r="W34" s="705">
        <f t="shared" si="14"/>
        <v>100</v>
      </c>
      <c r="X34" s="1351"/>
      <c r="Y34" s="3750"/>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8"/>
      <c r="Q35" s="1348" t="str">
        <f t="shared" si="11"/>
        <v>建筑品质</v>
      </c>
      <c r="R35" s="704" t="s">
        <v>18</v>
      </c>
      <c r="S35" s="705">
        <f t="shared" si="12"/>
        <v>100</v>
      </c>
      <c r="T35" s="704" t="s">
        <v>18</v>
      </c>
      <c r="U35" s="705">
        <f t="shared" si="13"/>
        <v>100</v>
      </c>
      <c r="V35" s="704" t="s">
        <v>18</v>
      </c>
      <c r="W35" s="705">
        <f t="shared" si="14"/>
        <v>100</v>
      </c>
      <c r="X35" s="1351"/>
      <c r="Y35" s="3750"/>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8"/>
      <c r="Q36" s="1348" t="str">
        <f t="shared" si="11"/>
        <v>公共部分装修</v>
      </c>
      <c r="R36" s="704" t="s">
        <v>18</v>
      </c>
      <c r="S36" s="705">
        <f t="shared" si="12"/>
        <v>100</v>
      </c>
      <c r="T36" s="704" t="s">
        <v>18</v>
      </c>
      <c r="U36" s="705">
        <f t="shared" si="13"/>
        <v>100</v>
      </c>
      <c r="V36" s="704" t="s">
        <v>18</v>
      </c>
      <c r="W36" s="705">
        <f t="shared" si="14"/>
        <v>100</v>
      </c>
      <c r="X36" s="1351"/>
      <c r="Y36" s="3750"/>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8"/>
      <c r="Q37" s="1339" t="str">
        <f t="shared" si="11"/>
        <v>成新度</v>
      </c>
      <c r="R37" s="700" t="s">
        <v>18</v>
      </c>
      <c r="S37" s="701" t="e">
        <f t="shared" si="12"/>
        <v>#N/A</v>
      </c>
      <c r="T37" s="700" t="s">
        <v>18</v>
      </c>
      <c r="U37" s="701" t="e">
        <f t="shared" si="13"/>
        <v>#N/A</v>
      </c>
      <c r="V37" s="700" t="s">
        <v>18</v>
      </c>
      <c r="W37" s="701" t="e">
        <f t="shared" si="14"/>
        <v>#N/A</v>
      </c>
      <c r="X37" s="702"/>
      <c r="Y37" s="3750"/>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8" t="s">
        <v>1693</v>
      </c>
      <c r="Q38" s="1348" t="str">
        <f t="shared" si="11"/>
        <v>物业管理</v>
      </c>
      <c r="R38" s="704" t="s">
        <v>18</v>
      </c>
      <c r="S38" s="705">
        <f t="shared" si="12"/>
        <v>100</v>
      </c>
      <c r="T38" s="704" t="s">
        <v>18</v>
      </c>
      <c r="U38" s="705">
        <f t="shared" si="13"/>
        <v>100</v>
      </c>
      <c r="V38" s="704" t="s">
        <v>18</v>
      </c>
      <c r="W38" s="705">
        <f t="shared" si="14"/>
        <v>100</v>
      </c>
      <c r="X38" s="1351"/>
      <c r="Y38" s="3750"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8"/>
      <c r="Q39" s="1348" t="str">
        <f t="shared" si="11"/>
        <v>市政基础设施</v>
      </c>
      <c r="R39" s="704" t="s">
        <v>18</v>
      </c>
      <c r="S39" s="705">
        <f t="shared" si="12"/>
        <v>100</v>
      </c>
      <c r="T39" s="704" t="s">
        <v>18</v>
      </c>
      <c r="U39" s="705">
        <f t="shared" si="13"/>
        <v>100</v>
      </c>
      <c r="V39" s="704" t="s">
        <v>18</v>
      </c>
      <c r="W39" s="705">
        <f t="shared" si="14"/>
        <v>100</v>
      </c>
      <c r="X39" s="1351"/>
      <c r="Y39" s="3750"/>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8"/>
      <c r="Q40" s="1348" t="str">
        <f t="shared" si="11"/>
        <v>房型</v>
      </c>
      <c r="R40" s="704" t="s">
        <v>18</v>
      </c>
      <c r="S40" s="705">
        <f t="shared" si="12"/>
        <v>100</v>
      </c>
      <c r="T40" s="704" t="s">
        <v>18</v>
      </c>
      <c r="U40" s="705">
        <f t="shared" si="13"/>
        <v>100</v>
      </c>
      <c r="V40" s="704" t="s">
        <v>18</v>
      </c>
      <c r="W40" s="705">
        <f t="shared" si="14"/>
        <v>100</v>
      </c>
      <c r="X40" s="1351"/>
      <c r="Y40" s="3750"/>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8"/>
      <c r="Q41" s="706" t="str">
        <f t="shared" si="11"/>
        <v>单套/主力户型建筑面积</v>
      </c>
      <c r="R41" s="707" t="s">
        <v>18</v>
      </c>
      <c r="S41" s="708">
        <f t="shared" si="12"/>
        <v>100</v>
      </c>
      <c r="T41" s="707" t="s">
        <v>18</v>
      </c>
      <c r="U41" s="708">
        <f t="shared" si="13"/>
        <v>100</v>
      </c>
      <c r="V41" s="707" t="s">
        <v>18</v>
      </c>
      <c r="W41" s="708">
        <f t="shared" si="14"/>
        <v>100</v>
      </c>
      <c r="X41" s="709"/>
      <c r="Y41" s="3750"/>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8"/>
      <c r="Q42" s="1348" t="str">
        <f t="shared" si="11"/>
        <v>内部装修</v>
      </c>
      <c r="R42" s="704" t="s">
        <v>18</v>
      </c>
      <c r="S42" s="705">
        <f t="shared" si="12"/>
        <v>100</v>
      </c>
      <c r="T42" s="704" t="s">
        <v>18</v>
      </c>
      <c r="U42" s="705">
        <f t="shared" si="13"/>
        <v>100</v>
      </c>
      <c r="V42" s="704" t="s">
        <v>18</v>
      </c>
      <c r="W42" s="705">
        <f t="shared" si="14"/>
        <v>100</v>
      </c>
      <c r="X42" s="1351"/>
      <c r="Y42" s="3750"/>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8"/>
      <c r="Q43" s="1348" t="str">
        <f t="shared" si="11"/>
        <v>内部装修维护情况</v>
      </c>
      <c r="R43" s="704" t="s">
        <v>18</v>
      </c>
      <c r="S43" s="705">
        <f t="shared" si="12"/>
        <v>100</v>
      </c>
      <c r="T43" s="704" t="s">
        <v>18</v>
      </c>
      <c r="U43" s="705">
        <f t="shared" si="13"/>
        <v>100</v>
      </c>
      <c r="V43" s="704" t="s">
        <v>18</v>
      </c>
      <c r="W43" s="705">
        <f t="shared" si="14"/>
        <v>100</v>
      </c>
      <c r="X43" s="1351"/>
      <c r="Y43" s="3750"/>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8"/>
      <c r="Q44" s="1339">
        <f t="shared" si="11"/>
        <v>111</v>
      </c>
      <c r="R44" s="700" t="s">
        <v>18</v>
      </c>
      <c r="S44" s="701">
        <f t="shared" si="12"/>
        <v>100</v>
      </c>
      <c r="T44" s="700" t="s">
        <v>18</v>
      </c>
      <c r="U44" s="701">
        <f t="shared" si="13"/>
        <v>100</v>
      </c>
      <c r="V44" s="700" t="s">
        <v>18</v>
      </c>
      <c r="W44" s="701">
        <f t="shared" si="14"/>
        <v>100</v>
      </c>
      <c r="X44" s="702"/>
      <c r="Y44" s="3750"/>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8"/>
      <c r="Q45" s="1348">
        <f t="shared" si="11"/>
        <v>111</v>
      </c>
      <c r="R45" s="704" t="s">
        <v>18</v>
      </c>
      <c r="S45" s="705">
        <f t="shared" si="12"/>
        <v>100</v>
      </c>
      <c r="T45" s="704" t="s">
        <v>18</v>
      </c>
      <c r="U45" s="705">
        <f t="shared" si="13"/>
        <v>100</v>
      </c>
      <c r="V45" s="704" t="s">
        <v>18</v>
      </c>
      <c r="W45" s="705">
        <f t="shared" si="14"/>
        <v>100</v>
      </c>
      <c r="X45" s="1351"/>
      <c r="Y45" s="3750"/>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9"/>
      <c r="Q46" s="1348">
        <f t="shared" si="11"/>
        <v>111</v>
      </c>
      <c r="R46" s="704" t="s">
        <v>17</v>
      </c>
      <c r="S46" s="705">
        <f t="shared" si="12"/>
        <v>100</v>
      </c>
      <c r="T46" s="704" t="s">
        <v>17</v>
      </c>
      <c r="U46" s="705">
        <f t="shared" si="13"/>
        <v>100</v>
      </c>
      <c r="V46" s="704" t="s">
        <v>17</v>
      </c>
      <c r="W46" s="705">
        <f t="shared" si="14"/>
        <v>100</v>
      </c>
      <c r="X46" s="1351"/>
      <c r="Y46" s="3751"/>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52" t="str">
        <f>A47</f>
        <v>成交单价（元/平方米）</v>
      </c>
      <c r="Q47" s="3752"/>
      <c r="R47" s="3753">
        <f>E47</f>
        <v>0</v>
      </c>
      <c r="S47" s="3753"/>
      <c r="T47" s="3753">
        <f>G47</f>
        <v>0</v>
      </c>
      <c r="U47" s="3753"/>
      <c r="V47" s="3753">
        <f>I47</f>
        <v>0</v>
      </c>
      <c r="W47" s="3753"/>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2024年6月14日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82" t="s">
        <v>1772</v>
      </c>
      <c r="Q4" s="3783"/>
      <c r="R4" s="3777" t="s">
        <v>1768</v>
      </c>
      <c r="S4" s="3778"/>
      <c r="T4" s="3777" t="s">
        <v>1769</v>
      </c>
      <c r="U4" s="3778"/>
      <c r="V4" s="3786" t="s">
        <v>1770</v>
      </c>
      <c r="W4" s="3786"/>
      <c r="X4" s="1954"/>
      <c r="Y4" s="3777" t="s">
        <v>1772</v>
      </c>
      <c r="Z4" s="3778"/>
      <c r="AA4" s="3776" t="s">
        <v>1768</v>
      </c>
      <c r="AB4" s="3776" t="s">
        <v>1769</v>
      </c>
      <c r="AC4" s="3779" t="s">
        <v>1770</v>
      </c>
    </row>
    <row r="5" spans="1:29" ht="15">
      <c r="A5" s="358"/>
      <c r="B5" s="359"/>
      <c r="C5" s="3723" t="s">
        <v>1670</v>
      </c>
      <c r="D5" s="3724"/>
      <c r="E5" s="3721" t="s">
        <v>1671</v>
      </c>
      <c r="F5" s="3722"/>
      <c r="G5" s="3723" t="s">
        <v>1672</v>
      </c>
      <c r="H5" s="3724"/>
      <c r="I5" s="3723" t="s">
        <v>1673</v>
      </c>
      <c r="J5" s="3724"/>
      <c r="K5" s="559"/>
      <c r="L5" s="2711"/>
      <c r="M5" s="2712"/>
      <c r="N5" s="2712"/>
      <c r="O5" s="2712"/>
      <c r="P5" s="3784"/>
      <c r="Q5" s="3737"/>
      <c r="R5" s="3719"/>
      <c r="S5" s="3720"/>
      <c r="T5" s="3719"/>
      <c r="U5" s="3720"/>
      <c r="V5" s="3714"/>
      <c r="W5" s="3714"/>
      <c r="X5" s="1351"/>
      <c r="Y5" s="3719"/>
      <c r="Z5" s="3720"/>
      <c r="AA5" s="3712"/>
      <c r="AB5" s="3712"/>
      <c r="AC5" s="3780"/>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85"/>
      <c r="Q6" s="3739"/>
      <c r="R6" s="3719"/>
      <c r="S6" s="3720"/>
      <c r="T6" s="3740"/>
      <c r="U6" s="3741"/>
      <c r="V6" s="3714"/>
      <c r="W6" s="3714"/>
      <c r="X6" s="1351"/>
      <c r="Y6" s="3740"/>
      <c r="Z6" s="3741"/>
      <c r="AA6" s="3713"/>
      <c r="AB6" s="3713"/>
      <c r="AC6" s="3781"/>
    </row>
    <row r="7" spans="1:29" s="108" customFormat="1" ht="15.75" thickBot="1">
      <c r="A7" s="362" t="s">
        <v>1676</v>
      </c>
      <c r="B7" s="363"/>
      <c r="C7" s="364">
        <f>'数据-取费表'!B2</f>
        <v>45457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7"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7" t="s">
        <v>1680</v>
      </c>
      <c r="Q8" s="3716"/>
      <c r="R8" s="700" t="s">
        <v>14</v>
      </c>
      <c r="S8" s="701">
        <f t="shared" si="0"/>
        <v>100</v>
      </c>
      <c r="T8" s="700" t="s">
        <v>14</v>
      </c>
      <c r="U8" s="701">
        <f t="shared" si="1"/>
        <v>100</v>
      </c>
      <c r="V8" s="700" t="s">
        <v>14</v>
      </c>
      <c r="W8" s="701">
        <f t="shared" si="2"/>
        <v>100</v>
      </c>
      <c r="X8" s="702"/>
      <c r="Y8" s="3715" t="s">
        <v>1680</v>
      </c>
      <c r="Z8" s="3716"/>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9"/>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9"/>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9"/>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9"/>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3" t="s">
        <v>1688</v>
      </c>
      <c r="Q15" s="1348" t="str">
        <f t="shared" si="6"/>
        <v>办公集聚程度</v>
      </c>
      <c r="R15" s="704" t="s">
        <v>14</v>
      </c>
      <c r="S15" s="705">
        <f t="shared" si="0"/>
        <v>100</v>
      </c>
      <c r="T15" s="704" t="s">
        <v>14</v>
      </c>
      <c r="U15" s="705">
        <f t="shared" si="1"/>
        <v>100</v>
      </c>
      <c r="V15" s="704" t="s">
        <v>14</v>
      </c>
      <c r="W15" s="705">
        <f t="shared" si="2"/>
        <v>100</v>
      </c>
      <c r="X15" s="1351"/>
      <c r="Y15" s="3745"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44"/>
      <c r="Q16" s="1348"/>
      <c r="R16" s="704"/>
      <c r="S16" s="705"/>
      <c r="T16" s="704"/>
      <c r="U16" s="705"/>
      <c r="V16" s="704"/>
      <c r="W16" s="705"/>
      <c r="X16" s="1351"/>
      <c r="Y16" s="3746"/>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4"/>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44"/>
      <c r="Q18" s="1348"/>
      <c r="R18" s="704"/>
      <c r="S18" s="705"/>
      <c r="T18" s="704"/>
      <c r="U18" s="705"/>
      <c r="V18" s="704"/>
      <c r="W18" s="705"/>
      <c r="X18" s="1351"/>
      <c r="Y18" s="3746"/>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4"/>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44"/>
      <c r="Q20" s="1348"/>
      <c r="R20" s="704"/>
      <c r="S20" s="705"/>
      <c r="T20" s="704"/>
      <c r="U20" s="705"/>
      <c r="V20" s="704"/>
      <c r="W20" s="705"/>
      <c r="X20" s="1351"/>
      <c r="Y20" s="3746"/>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44"/>
      <c r="Q22" s="1348"/>
      <c r="R22" s="704"/>
      <c r="S22" s="705"/>
      <c r="T22" s="704"/>
      <c r="U22" s="705"/>
      <c r="V22" s="704"/>
      <c r="W22" s="705"/>
      <c r="X22" s="1351"/>
      <c r="Y22" s="3746"/>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4"/>
      <c r="Q23" s="1348" t="str">
        <f>B23</f>
        <v>环境质量</v>
      </c>
      <c r="R23" s="704" t="s">
        <v>14</v>
      </c>
      <c r="S23" s="705">
        <f>F23</f>
        <v>100</v>
      </c>
      <c r="T23" s="704" t="s">
        <v>14</v>
      </c>
      <c r="U23" s="705">
        <f>H23</f>
        <v>100</v>
      </c>
      <c r="V23" s="704" t="s">
        <v>14</v>
      </c>
      <c r="W23" s="705">
        <f>J23</f>
        <v>100</v>
      </c>
      <c r="X23" s="1351"/>
      <c r="Y23" s="3746"/>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44"/>
      <c r="Q24" s="1348"/>
      <c r="R24" s="704"/>
      <c r="S24" s="705"/>
      <c r="T24" s="704"/>
      <c r="U24" s="705"/>
      <c r="V24" s="704"/>
      <c r="W24" s="705"/>
      <c r="X24" s="1351"/>
      <c r="Y24" s="3746"/>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44"/>
      <c r="Q25" s="1348" t="str">
        <f>B25</f>
        <v>毗邻道路的类型与等级</v>
      </c>
      <c r="R25" s="704" t="s">
        <v>14</v>
      </c>
      <c r="S25" s="705">
        <f>F25</f>
        <v>100</v>
      </c>
      <c r="T25" s="704" t="s">
        <v>14</v>
      </c>
      <c r="U25" s="705">
        <f>H25</f>
        <v>100</v>
      </c>
      <c r="V25" s="704" t="s">
        <v>14</v>
      </c>
      <c r="W25" s="705">
        <f>J25</f>
        <v>100</v>
      </c>
      <c r="X25" s="1351"/>
      <c r="Y25" s="3746"/>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44"/>
      <c r="Q26" s="1348"/>
      <c r="R26" s="704"/>
      <c r="S26" s="705"/>
      <c r="T26" s="704"/>
      <c r="U26" s="705"/>
      <c r="V26" s="704"/>
      <c r="W26" s="705"/>
      <c r="X26" s="1351"/>
      <c r="Y26" s="3746"/>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44"/>
      <c r="Q27" s="1348" t="str">
        <f t="shared" ref="Q27:Q47" si="11">B27</f>
        <v>楼层</v>
      </c>
      <c r="R27" s="704" t="s">
        <v>14</v>
      </c>
      <c r="S27" s="705">
        <f>F27</f>
        <v>100</v>
      </c>
      <c r="T27" s="704" t="s">
        <v>14</v>
      </c>
      <c r="U27" s="705">
        <f>H27</f>
        <v>100</v>
      </c>
      <c r="V27" s="704" t="s">
        <v>14</v>
      </c>
      <c r="W27" s="705">
        <f>J27</f>
        <v>100</v>
      </c>
      <c r="X27" s="1351"/>
      <c r="Y27" s="3746"/>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44"/>
      <c r="Q28" s="1339" t="str">
        <f t="shared" si="11"/>
        <v>朝向</v>
      </c>
      <c r="R28" s="700" t="s">
        <v>14</v>
      </c>
      <c r="S28" s="701">
        <f>F28</f>
        <v>100</v>
      </c>
      <c r="T28" s="700" t="s">
        <v>14</v>
      </c>
      <c r="U28" s="701">
        <f>H28</f>
        <v>100</v>
      </c>
      <c r="V28" s="700" t="s">
        <v>14</v>
      </c>
      <c r="W28" s="701">
        <f>J28</f>
        <v>100</v>
      </c>
      <c r="X28" s="702"/>
      <c r="Y28" s="3746"/>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44"/>
      <c r="Q29" s="1348">
        <f t="shared" si="11"/>
        <v>111</v>
      </c>
      <c r="R29" s="704" t="s">
        <v>14</v>
      </c>
      <c r="S29" s="705">
        <f t="shared" ref="S29:S47" si="12">F29</f>
        <v>100</v>
      </c>
      <c r="T29" s="704" t="s">
        <v>14</v>
      </c>
      <c r="U29" s="705">
        <f t="shared" ref="U29:U47" si="13">H29</f>
        <v>100</v>
      </c>
      <c r="V29" s="704" t="s">
        <v>14</v>
      </c>
      <c r="W29" s="705">
        <f t="shared" ref="W29:W47" si="14">J29</f>
        <v>100</v>
      </c>
      <c r="X29" s="1351"/>
      <c r="Y29" s="3746"/>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44"/>
      <c r="Q30" s="1348">
        <f t="shared" si="11"/>
        <v>111</v>
      </c>
      <c r="R30" s="704" t="s">
        <v>14</v>
      </c>
      <c r="S30" s="705">
        <f t="shared" si="12"/>
        <v>100</v>
      </c>
      <c r="T30" s="704" t="s">
        <v>14</v>
      </c>
      <c r="U30" s="705">
        <f t="shared" si="13"/>
        <v>100</v>
      </c>
      <c r="V30" s="704" t="s">
        <v>14</v>
      </c>
      <c r="W30" s="705">
        <f t="shared" si="14"/>
        <v>100</v>
      </c>
      <c r="X30" s="1351"/>
      <c r="Y30" s="3746"/>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44"/>
      <c r="Q31" s="1348">
        <f t="shared" si="11"/>
        <v>111</v>
      </c>
      <c r="R31" s="704" t="s">
        <v>14</v>
      </c>
      <c r="S31" s="705">
        <f t="shared" si="12"/>
        <v>100</v>
      </c>
      <c r="T31" s="704" t="s">
        <v>14</v>
      </c>
      <c r="U31" s="705">
        <f t="shared" si="13"/>
        <v>100</v>
      </c>
      <c r="V31" s="704" t="s">
        <v>14</v>
      </c>
      <c r="W31" s="705">
        <f t="shared" si="14"/>
        <v>100</v>
      </c>
      <c r="X31" s="1351"/>
      <c r="Y31" s="3746"/>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44"/>
      <c r="Q32" s="1348">
        <f t="shared" si="11"/>
        <v>111</v>
      </c>
      <c r="R32" s="704" t="s">
        <v>14</v>
      </c>
      <c r="S32" s="705">
        <f t="shared" si="12"/>
        <v>100</v>
      </c>
      <c r="T32" s="704" t="s">
        <v>14</v>
      </c>
      <c r="U32" s="705">
        <f t="shared" si="13"/>
        <v>100</v>
      </c>
      <c r="V32" s="704" t="s">
        <v>14</v>
      </c>
      <c r="W32" s="705">
        <f t="shared" si="14"/>
        <v>100</v>
      </c>
      <c r="X32" s="1351"/>
      <c r="Y32" s="3746"/>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47" t="s">
        <v>1693</v>
      </c>
      <c r="Q33" s="1348" t="str">
        <f t="shared" si="11"/>
        <v>建筑类型</v>
      </c>
      <c r="R33" s="704" t="s">
        <v>14</v>
      </c>
      <c r="S33" s="705">
        <f t="shared" si="12"/>
        <v>100</v>
      </c>
      <c r="T33" s="704" t="s">
        <v>14</v>
      </c>
      <c r="U33" s="705">
        <f t="shared" si="13"/>
        <v>100</v>
      </c>
      <c r="V33" s="704" t="s">
        <v>14</v>
      </c>
      <c r="W33" s="705">
        <f t="shared" si="14"/>
        <v>100</v>
      </c>
      <c r="X33" s="1351"/>
      <c r="Y33" s="3750"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8"/>
      <c r="Q34" s="706" t="str">
        <f t="shared" si="11"/>
        <v>项目建筑规模</v>
      </c>
      <c r="R34" s="707" t="s">
        <v>14</v>
      </c>
      <c r="S34" s="708" t="e">
        <f t="shared" si="12"/>
        <v>#N/A</v>
      </c>
      <c r="T34" s="707" t="s">
        <v>14</v>
      </c>
      <c r="U34" s="708" t="e">
        <f t="shared" si="13"/>
        <v>#N/A</v>
      </c>
      <c r="V34" s="707" t="s">
        <v>14</v>
      </c>
      <c r="W34" s="708" t="e">
        <f t="shared" si="14"/>
        <v>#N/A</v>
      </c>
      <c r="X34" s="709"/>
      <c r="Y34" s="3750"/>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8"/>
      <c r="Q35" s="1348" t="str">
        <f t="shared" si="11"/>
        <v>建筑结构</v>
      </c>
      <c r="R35" s="704" t="s">
        <v>14</v>
      </c>
      <c r="S35" s="705">
        <f t="shared" si="12"/>
        <v>100</v>
      </c>
      <c r="T35" s="704" t="s">
        <v>14</v>
      </c>
      <c r="U35" s="705">
        <f t="shared" si="13"/>
        <v>100</v>
      </c>
      <c r="V35" s="704" t="s">
        <v>14</v>
      </c>
      <c r="W35" s="705">
        <f t="shared" si="14"/>
        <v>100</v>
      </c>
      <c r="X35" s="1351"/>
      <c r="Y35" s="3750"/>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8"/>
      <c r="Q36" s="1348" t="str">
        <f t="shared" si="11"/>
        <v>公共部分装修</v>
      </c>
      <c r="R36" s="704" t="s">
        <v>14</v>
      </c>
      <c r="S36" s="705">
        <f t="shared" si="12"/>
        <v>100</v>
      </c>
      <c r="T36" s="704" t="s">
        <v>14</v>
      </c>
      <c r="U36" s="705">
        <f t="shared" si="13"/>
        <v>100</v>
      </c>
      <c r="V36" s="704" t="s">
        <v>14</v>
      </c>
      <c r="W36" s="705">
        <f t="shared" si="14"/>
        <v>100</v>
      </c>
      <c r="X36" s="1351"/>
      <c r="Y36" s="3750"/>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8"/>
      <c r="Q37" s="1348" t="str">
        <f t="shared" si="11"/>
        <v>成新度</v>
      </c>
      <c r="R37" s="704" t="s">
        <v>14</v>
      </c>
      <c r="S37" s="705" t="e">
        <f t="shared" si="12"/>
        <v>#N/A</v>
      </c>
      <c r="T37" s="704" t="s">
        <v>14</v>
      </c>
      <c r="U37" s="705" t="e">
        <f t="shared" si="13"/>
        <v>#N/A</v>
      </c>
      <c r="V37" s="704" t="s">
        <v>14</v>
      </c>
      <c r="W37" s="705" t="e">
        <f t="shared" si="14"/>
        <v>#N/A</v>
      </c>
      <c r="X37" s="1351"/>
      <c r="Y37" s="3750"/>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8"/>
      <c r="Q38" s="1339" t="str">
        <f t="shared" si="11"/>
        <v>写字楼等级</v>
      </c>
      <c r="R38" s="700" t="s">
        <v>14</v>
      </c>
      <c r="S38" s="701">
        <f t="shared" si="12"/>
        <v>100</v>
      </c>
      <c r="T38" s="700" t="s">
        <v>14</v>
      </c>
      <c r="U38" s="701">
        <f t="shared" si="13"/>
        <v>100</v>
      </c>
      <c r="V38" s="700" t="s">
        <v>14</v>
      </c>
      <c r="W38" s="701">
        <f t="shared" si="14"/>
        <v>100</v>
      </c>
      <c r="X38" s="702"/>
      <c r="Y38" s="3750"/>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8" t="s">
        <v>1693</v>
      </c>
      <c r="Q39" s="1348" t="str">
        <f t="shared" si="11"/>
        <v>物业管理</v>
      </c>
      <c r="R39" s="704" t="s">
        <v>14</v>
      </c>
      <c r="S39" s="705">
        <f t="shared" si="12"/>
        <v>100</v>
      </c>
      <c r="T39" s="704" t="s">
        <v>14</v>
      </c>
      <c r="U39" s="705">
        <f t="shared" si="13"/>
        <v>100</v>
      </c>
      <c r="V39" s="704" t="s">
        <v>14</v>
      </c>
      <c r="W39" s="705">
        <f t="shared" si="14"/>
        <v>100</v>
      </c>
      <c r="X39" s="1351"/>
      <c r="Y39" s="3750"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8"/>
      <c r="Q40" s="1348" t="str">
        <f t="shared" si="11"/>
        <v>市政基础设施</v>
      </c>
      <c r="R40" s="704" t="s">
        <v>14</v>
      </c>
      <c r="S40" s="705">
        <f t="shared" si="12"/>
        <v>100</v>
      </c>
      <c r="T40" s="704" t="s">
        <v>14</v>
      </c>
      <c r="U40" s="705">
        <f t="shared" si="13"/>
        <v>100</v>
      </c>
      <c r="V40" s="704" t="s">
        <v>14</v>
      </c>
      <c r="W40" s="705">
        <f t="shared" si="14"/>
        <v>100</v>
      </c>
      <c r="X40" s="1351"/>
      <c r="Y40" s="3750"/>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8"/>
      <c r="Q41" s="1348" t="str">
        <f t="shared" si="11"/>
        <v>层高</v>
      </c>
      <c r="R41" s="704" t="s">
        <v>14</v>
      </c>
      <c r="S41" s="705">
        <f t="shared" si="12"/>
        <v>100</v>
      </c>
      <c r="T41" s="704" t="s">
        <v>14</v>
      </c>
      <c r="U41" s="705">
        <f t="shared" si="13"/>
        <v>100</v>
      </c>
      <c r="V41" s="704" t="s">
        <v>14</v>
      </c>
      <c r="W41" s="705">
        <f t="shared" si="14"/>
        <v>100</v>
      </c>
      <c r="X41" s="1351"/>
      <c r="Y41" s="3750"/>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8"/>
      <c r="Q42" s="706" t="str">
        <f t="shared" si="11"/>
        <v>单套建筑面积</v>
      </c>
      <c r="R42" s="707" t="s">
        <v>14</v>
      </c>
      <c r="S42" s="708">
        <f t="shared" si="12"/>
        <v>100</v>
      </c>
      <c r="T42" s="707" t="s">
        <v>14</v>
      </c>
      <c r="U42" s="708">
        <f t="shared" si="13"/>
        <v>100</v>
      </c>
      <c r="V42" s="707" t="s">
        <v>14</v>
      </c>
      <c r="W42" s="708">
        <f t="shared" si="14"/>
        <v>100</v>
      </c>
      <c r="X42" s="709"/>
      <c r="Y42" s="3750"/>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8"/>
      <c r="Q43" s="1348" t="str">
        <f t="shared" si="11"/>
        <v>内部装修</v>
      </c>
      <c r="R43" s="704" t="s">
        <v>14</v>
      </c>
      <c r="S43" s="705">
        <f t="shared" si="12"/>
        <v>100</v>
      </c>
      <c r="T43" s="704" t="s">
        <v>14</v>
      </c>
      <c r="U43" s="705">
        <f t="shared" si="13"/>
        <v>100</v>
      </c>
      <c r="V43" s="704" t="s">
        <v>14</v>
      </c>
      <c r="W43" s="705">
        <f t="shared" si="14"/>
        <v>100</v>
      </c>
      <c r="X43" s="1351"/>
      <c r="Y43" s="3750"/>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48"/>
      <c r="Q44" s="1348" t="str">
        <f t="shared" si="11"/>
        <v>内部装修维护情况</v>
      </c>
      <c r="R44" s="704" t="s">
        <v>14</v>
      </c>
      <c r="S44" s="705">
        <f t="shared" si="12"/>
        <v>100</v>
      </c>
      <c r="T44" s="704" t="s">
        <v>14</v>
      </c>
      <c r="U44" s="705">
        <f t="shared" si="13"/>
        <v>100</v>
      </c>
      <c r="V44" s="704" t="s">
        <v>14</v>
      </c>
      <c r="W44" s="705">
        <f t="shared" si="14"/>
        <v>100</v>
      </c>
      <c r="X44" s="1351"/>
      <c r="Y44" s="3750"/>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8"/>
      <c r="Q45" s="1339">
        <f t="shared" si="11"/>
        <v>111</v>
      </c>
      <c r="R45" s="700" t="s">
        <v>14</v>
      </c>
      <c r="S45" s="701">
        <f t="shared" si="12"/>
        <v>100</v>
      </c>
      <c r="T45" s="700" t="s">
        <v>14</v>
      </c>
      <c r="U45" s="701">
        <f t="shared" si="13"/>
        <v>100</v>
      </c>
      <c r="V45" s="700" t="s">
        <v>14</v>
      </c>
      <c r="W45" s="701">
        <f t="shared" si="14"/>
        <v>100</v>
      </c>
      <c r="X45" s="702"/>
      <c r="Y45" s="3750"/>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8"/>
      <c r="Q46" s="1348">
        <f t="shared" si="11"/>
        <v>111</v>
      </c>
      <c r="R46" s="704" t="s">
        <v>14</v>
      </c>
      <c r="S46" s="705">
        <f t="shared" si="12"/>
        <v>100</v>
      </c>
      <c r="T46" s="704" t="s">
        <v>14</v>
      </c>
      <c r="U46" s="705">
        <f t="shared" si="13"/>
        <v>100</v>
      </c>
      <c r="V46" s="704" t="s">
        <v>14</v>
      </c>
      <c r="W46" s="705">
        <f t="shared" si="14"/>
        <v>100</v>
      </c>
      <c r="X46" s="1351"/>
      <c r="Y46" s="3750"/>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9"/>
      <c r="Q47" s="1348">
        <f t="shared" si="11"/>
        <v>111</v>
      </c>
      <c r="R47" s="704" t="s">
        <v>14</v>
      </c>
      <c r="S47" s="705">
        <f t="shared" si="12"/>
        <v>100</v>
      </c>
      <c r="T47" s="704" t="s">
        <v>14</v>
      </c>
      <c r="U47" s="705">
        <f t="shared" si="13"/>
        <v>100</v>
      </c>
      <c r="V47" s="704" t="s">
        <v>14</v>
      </c>
      <c r="W47" s="705">
        <f t="shared" si="14"/>
        <v>100</v>
      </c>
      <c r="X47" s="1351"/>
      <c r="Y47" s="3751"/>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9" t="str">
        <f>A48</f>
        <v>成交单价（元/平方米）</v>
      </c>
      <c r="Q48" s="3752"/>
      <c r="R48" s="3753">
        <f>E48</f>
        <v>0</v>
      </c>
      <c r="S48" s="3753"/>
      <c r="T48" s="3753">
        <f>G48</f>
        <v>0</v>
      </c>
      <c r="U48" s="3753"/>
      <c r="V48" s="3753">
        <f>I48</f>
        <v>0</v>
      </c>
      <c r="W48" s="3753"/>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9"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909"/>
      <c r="M4" s="910"/>
      <c r="N4" s="910"/>
      <c r="O4" s="910"/>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909"/>
      <c r="M5" s="910"/>
      <c r="N5" s="910"/>
      <c r="O5" s="910"/>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909"/>
      <c r="M6" s="910"/>
      <c r="N6" s="910"/>
      <c r="O6" s="910"/>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45457</v>
      </c>
      <c r="D7" s="365">
        <v>100</v>
      </c>
      <c r="E7" s="366"/>
      <c r="F7" s="367">
        <f>SUMIF(52:52,YEAR(E7)&amp;"-"&amp;MONTH(E7),53:53)</f>
        <v>0</v>
      </c>
      <c r="G7" s="366"/>
      <c r="H7" s="365">
        <f>SUMIF(52:52,YEAR(G7)&amp;"-"&amp;MONTH(G7),53:53)</f>
        <v>0</v>
      </c>
      <c r="I7" s="366"/>
      <c r="J7" s="365">
        <f>SUMIF(52:52,YEAR(I7)&amp;"-"&amp;MONTH(I7),53:53)</f>
        <v>0</v>
      </c>
      <c r="K7" s="560"/>
      <c r="L7" s="911"/>
      <c r="M7" s="912"/>
      <c r="N7" s="912"/>
      <c r="O7" s="912"/>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2"/>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45" t="s">
        <v>1688</v>
      </c>
      <c r="Q15" s="1348" t="str">
        <f t="shared" si="6"/>
        <v>产业集聚程度</v>
      </c>
      <c r="R15" s="704" t="s">
        <v>14</v>
      </c>
      <c r="S15" s="705">
        <f t="shared" si="0"/>
        <v>100</v>
      </c>
      <c r="T15" s="704" t="s">
        <v>14</v>
      </c>
      <c r="U15" s="705">
        <f t="shared" si="1"/>
        <v>100</v>
      </c>
      <c r="V15" s="704" t="s">
        <v>14</v>
      </c>
      <c r="W15" s="705">
        <f t="shared" si="2"/>
        <v>100</v>
      </c>
      <c r="X15" s="1351"/>
      <c r="Y15" s="3745"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46"/>
      <c r="Q16" s="1348"/>
      <c r="R16" s="704"/>
      <c r="S16" s="705"/>
      <c r="T16" s="704"/>
      <c r="U16" s="705"/>
      <c r="V16" s="704"/>
      <c r="W16" s="705"/>
      <c r="X16" s="1351"/>
      <c r="Y16" s="3746"/>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46"/>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46"/>
      <c r="Q18" s="1348"/>
      <c r="R18" s="704"/>
      <c r="S18" s="705"/>
      <c r="T18" s="704"/>
      <c r="U18" s="705"/>
      <c r="V18" s="704"/>
      <c r="W18" s="705"/>
      <c r="X18" s="1351"/>
      <c r="Y18" s="3746"/>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46"/>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46"/>
      <c r="Q20" s="1348"/>
      <c r="R20" s="704"/>
      <c r="S20" s="705"/>
      <c r="T20" s="704"/>
      <c r="U20" s="705"/>
      <c r="V20" s="704"/>
      <c r="W20" s="705"/>
      <c r="X20" s="1351"/>
      <c r="Y20" s="3746"/>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46"/>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46"/>
      <c r="Q22" s="1348"/>
      <c r="R22" s="704"/>
      <c r="S22" s="705"/>
      <c r="T22" s="704"/>
      <c r="U22" s="705"/>
      <c r="V22" s="704"/>
      <c r="W22" s="705"/>
      <c r="X22" s="1351"/>
      <c r="Y22" s="3746"/>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46"/>
      <c r="Q23" s="1348" t="str">
        <f>B23</f>
        <v>环境质量</v>
      </c>
      <c r="R23" s="704" t="s">
        <v>14</v>
      </c>
      <c r="S23" s="705">
        <f>F23</f>
        <v>100</v>
      </c>
      <c r="T23" s="704" t="s">
        <v>14</v>
      </c>
      <c r="U23" s="705">
        <f>H23</f>
        <v>100</v>
      </c>
      <c r="V23" s="704" t="s">
        <v>14</v>
      </c>
      <c r="W23" s="705">
        <f>J23</f>
        <v>100</v>
      </c>
      <c r="X23" s="1351"/>
      <c r="Y23" s="3746"/>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46"/>
      <c r="Q24" s="1348"/>
      <c r="R24" s="704"/>
      <c r="S24" s="705"/>
      <c r="T24" s="704"/>
      <c r="U24" s="705"/>
      <c r="V24" s="704"/>
      <c r="W24" s="705"/>
      <c r="X24" s="1351"/>
      <c r="Y24" s="3746"/>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46"/>
      <c r="Q25" s="1348">
        <f>B25</f>
        <v>111</v>
      </c>
      <c r="R25" s="704" t="s">
        <v>14</v>
      </c>
      <c r="S25" s="705">
        <f>F25</f>
        <v>100</v>
      </c>
      <c r="T25" s="704" t="s">
        <v>14</v>
      </c>
      <c r="U25" s="705">
        <f>H25</f>
        <v>100</v>
      </c>
      <c r="V25" s="704" t="s">
        <v>14</v>
      </c>
      <c r="W25" s="705">
        <f>J25</f>
        <v>100</v>
      </c>
      <c r="X25" s="1351"/>
      <c r="Y25" s="3746"/>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46"/>
      <c r="Q26" s="1348">
        <f t="shared" ref="Q26:Q40" si="11">B26</f>
        <v>111</v>
      </c>
      <c r="R26" s="704" t="s">
        <v>14</v>
      </c>
      <c r="S26" s="705">
        <f>F26</f>
        <v>100</v>
      </c>
      <c r="T26" s="704" t="s">
        <v>14</v>
      </c>
      <c r="U26" s="705">
        <f>H26</f>
        <v>100</v>
      </c>
      <c r="V26" s="704" t="s">
        <v>14</v>
      </c>
      <c r="W26" s="705">
        <f>J26</f>
        <v>100</v>
      </c>
      <c r="X26" s="1351"/>
      <c r="Y26" s="3746"/>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46"/>
      <c r="Q27" s="1339">
        <f t="shared" si="11"/>
        <v>111</v>
      </c>
      <c r="R27" s="700" t="s">
        <v>14</v>
      </c>
      <c r="S27" s="701">
        <f>F27</f>
        <v>100</v>
      </c>
      <c r="T27" s="700" t="s">
        <v>14</v>
      </c>
      <c r="U27" s="701">
        <f>H27</f>
        <v>100</v>
      </c>
      <c r="V27" s="700" t="s">
        <v>14</v>
      </c>
      <c r="W27" s="701">
        <f>J27</f>
        <v>100</v>
      </c>
      <c r="X27" s="702"/>
      <c r="Y27" s="3746"/>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46"/>
      <c r="Q28" s="1348">
        <f t="shared" si="11"/>
        <v>111</v>
      </c>
      <c r="R28" s="704" t="s">
        <v>14</v>
      </c>
      <c r="S28" s="705">
        <f t="shared" ref="S28:S40" si="12">F28</f>
        <v>100</v>
      </c>
      <c r="T28" s="704" t="s">
        <v>14</v>
      </c>
      <c r="U28" s="705">
        <f t="shared" ref="U28:U40" si="13">H28</f>
        <v>100</v>
      </c>
      <c r="V28" s="704" t="s">
        <v>14</v>
      </c>
      <c r="W28" s="705">
        <f t="shared" ref="W28:W40" si="14">J28</f>
        <v>100</v>
      </c>
      <c r="X28" s="1351"/>
      <c r="Y28" s="3746"/>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91" t="s">
        <v>1693</v>
      </c>
      <c r="Q29" s="1348" t="str">
        <f t="shared" si="11"/>
        <v>建筑类型</v>
      </c>
      <c r="R29" s="704" t="s">
        <v>14</v>
      </c>
      <c r="S29" s="705">
        <f t="shared" si="12"/>
        <v>100</v>
      </c>
      <c r="T29" s="704" t="s">
        <v>14</v>
      </c>
      <c r="U29" s="705">
        <f t="shared" si="13"/>
        <v>100</v>
      </c>
      <c r="V29" s="704" t="s">
        <v>14</v>
      </c>
      <c r="W29" s="705">
        <f t="shared" si="14"/>
        <v>100</v>
      </c>
      <c r="X29" s="1351"/>
      <c r="Y29" s="3750"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50"/>
      <c r="Q30" s="706" t="str">
        <f t="shared" si="11"/>
        <v>项目建筑规模</v>
      </c>
      <c r="R30" s="707" t="s">
        <v>14</v>
      </c>
      <c r="S30" s="708" t="e">
        <f t="shared" si="12"/>
        <v>#N/A</v>
      </c>
      <c r="T30" s="707" t="s">
        <v>14</v>
      </c>
      <c r="U30" s="708" t="e">
        <f t="shared" si="13"/>
        <v>#N/A</v>
      </c>
      <c r="V30" s="707" t="s">
        <v>14</v>
      </c>
      <c r="W30" s="708" t="e">
        <f t="shared" si="14"/>
        <v>#N/A</v>
      </c>
      <c r="X30" s="709"/>
      <c r="Y30" s="3750"/>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50"/>
      <c r="Q31" s="1348" t="str">
        <f t="shared" si="11"/>
        <v>建筑结构</v>
      </c>
      <c r="R31" s="704" t="s">
        <v>14</v>
      </c>
      <c r="S31" s="705">
        <f t="shared" si="12"/>
        <v>100</v>
      </c>
      <c r="T31" s="704" t="s">
        <v>14</v>
      </c>
      <c r="U31" s="705">
        <f t="shared" si="13"/>
        <v>100</v>
      </c>
      <c r="V31" s="704" t="s">
        <v>14</v>
      </c>
      <c r="W31" s="705">
        <f t="shared" si="14"/>
        <v>100</v>
      </c>
      <c r="X31" s="1351"/>
      <c r="Y31" s="3750"/>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50"/>
      <c r="Q32" s="1348" t="str">
        <f t="shared" si="11"/>
        <v>公共部分装修</v>
      </c>
      <c r="R32" s="704" t="s">
        <v>14</v>
      </c>
      <c r="S32" s="705">
        <f t="shared" si="12"/>
        <v>100</v>
      </c>
      <c r="T32" s="704" t="s">
        <v>14</v>
      </c>
      <c r="U32" s="705">
        <f t="shared" si="13"/>
        <v>100</v>
      </c>
      <c r="V32" s="704" t="s">
        <v>14</v>
      </c>
      <c r="W32" s="705">
        <f t="shared" si="14"/>
        <v>100</v>
      </c>
      <c r="X32" s="1351"/>
      <c r="Y32" s="3750"/>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50"/>
      <c r="Q33" s="1348" t="str">
        <f t="shared" si="11"/>
        <v>成新度</v>
      </c>
      <c r="R33" s="704" t="s">
        <v>14</v>
      </c>
      <c r="S33" s="705" t="e">
        <f t="shared" si="12"/>
        <v>#N/A</v>
      </c>
      <c r="T33" s="704" t="s">
        <v>14</v>
      </c>
      <c r="U33" s="705" t="e">
        <f t="shared" si="13"/>
        <v>#N/A</v>
      </c>
      <c r="V33" s="704" t="s">
        <v>14</v>
      </c>
      <c r="W33" s="705" t="e">
        <f t="shared" si="14"/>
        <v>#N/A</v>
      </c>
      <c r="X33" s="1351"/>
      <c r="Y33" s="3750"/>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50"/>
      <c r="Q34" s="1339" t="str">
        <f t="shared" si="11"/>
        <v>物业管理</v>
      </c>
      <c r="R34" s="700" t="s">
        <v>14</v>
      </c>
      <c r="S34" s="701">
        <f t="shared" si="12"/>
        <v>100</v>
      </c>
      <c r="T34" s="700" t="s">
        <v>14</v>
      </c>
      <c r="U34" s="701">
        <f t="shared" si="13"/>
        <v>100</v>
      </c>
      <c r="V34" s="700" t="s">
        <v>14</v>
      </c>
      <c r="W34" s="701">
        <f t="shared" si="14"/>
        <v>100</v>
      </c>
      <c r="X34" s="702"/>
      <c r="Y34" s="3750"/>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50" t="s">
        <v>1693</v>
      </c>
      <c r="Q35" s="1348" t="str">
        <f t="shared" si="11"/>
        <v>市政基础设施</v>
      </c>
      <c r="R35" s="704" t="s">
        <v>14</v>
      </c>
      <c r="S35" s="705">
        <f t="shared" si="12"/>
        <v>100</v>
      </c>
      <c r="T35" s="704" t="s">
        <v>14</v>
      </c>
      <c r="U35" s="705">
        <f t="shared" si="13"/>
        <v>100</v>
      </c>
      <c r="V35" s="704" t="s">
        <v>14</v>
      </c>
      <c r="W35" s="705">
        <f t="shared" si="14"/>
        <v>100</v>
      </c>
      <c r="X35" s="1351"/>
      <c r="Y35" s="3750"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50"/>
      <c r="Q36" s="1348" t="str">
        <f t="shared" si="11"/>
        <v>内部装修</v>
      </c>
      <c r="R36" s="704" t="s">
        <v>14</v>
      </c>
      <c r="S36" s="705">
        <f t="shared" si="12"/>
        <v>100</v>
      </c>
      <c r="T36" s="704" t="s">
        <v>14</v>
      </c>
      <c r="U36" s="705">
        <f t="shared" si="13"/>
        <v>100</v>
      </c>
      <c r="V36" s="704" t="s">
        <v>14</v>
      </c>
      <c r="W36" s="705">
        <f t="shared" si="14"/>
        <v>100</v>
      </c>
      <c r="X36" s="1351"/>
      <c r="Y36" s="3750"/>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50"/>
      <c r="Q37" s="1348" t="str">
        <f t="shared" si="11"/>
        <v>内部装修状况</v>
      </c>
      <c r="R37" s="704" t="s">
        <v>14</v>
      </c>
      <c r="S37" s="705">
        <f t="shared" si="12"/>
        <v>100</v>
      </c>
      <c r="T37" s="704" t="s">
        <v>14</v>
      </c>
      <c r="U37" s="705">
        <f t="shared" si="13"/>
        <v>100</v>
      </c>
      <c r="V37" s="704" t="s">
        <v>14</v>
      </c>
      <c r="W37" s="705">
        <f t="shared" si="14"/>
        <v>100</v>
      </c>
      <c r="X37" s="1351"/>
      <c r="Y37" s="3750"/>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50"/>
      <c r="Q38" s="706">
        <f t="shared" si="11"/>
        <v>111</v>
      </c>
      <c r="R38" s="707" t="s">
        <v>14</v>
      </c>
      <c r="S38" s="708">
        <f t="shared" si="12"/>
        <v>100</v>
      </c>
      <c r="T38" s="707" t="s">
        <v>14</v>
      </c>
      <c r="U38" s="708">
        <f t="shared" si="13"/>
        <v>100</v>
      </c>
      <c r="V38" s="707" t="s">
        <v>14</v>
      </c>
      <c r="W38" s="708">
        <f t="shared" si="14"/>
        <v>100</v>
      </c>
      <c r="X38" s="709"/>
      <c r="Y38" s="3750"/>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50"/>
      <c r="Q39" s="1348">
        <f t="shared" si="11"/>
        <v>111</v>
      </c>
      <c r="R39" s="704" t="s">
        <v>14</v>
      </c>
      <c r="S39" s="705">
        <f t="shared" si="12"/>
        <v>100</v>
      </c>
      <c r="T39" s="704" t="s">
        <v>14</v>
      </c>
      <c r="U39" s="705">
        <f t="shared" si="13"/>
        <v>100</v>
      </c>
      <c r="V39" s="704" t="s">
        <v>14</v>
      </c>
      <c r="W39" s="705">
        <f t="shared" si="14"/>
        <v>100</v>
      </c>
      <c r="X39" s="1351"/>
      <c r="Y39" s="3750"/>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51"/>
      <c r="Q40" s="1348">
        <f t="shared" si="11"/>
        <v>111</v>
      </c>
      <c r="R40" s="704" t="s">
        <v>14</v>
      </c>
      <c r="S40" s="705">
        <f t="shared" si="12"/>
        <v>100</v>
      </c>
      <c r="T40" s="704" t="s">
        <v>14</v>
      </c>
      <c r="U40" s="705">
        <f t="shared" si="13"/>
        <v>100</v>
      </c>
      <c r="V40" s="704" t="s">
        <v>14</v>
      </c>
      <c r="W40" s="705">
        <f t="shared" si="14"/>
        <v>100</v>
      </c>
      <c r="X40" s="1351"/>
      <c r="Y40" s="3751"/>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52" t="str">
        <f>A41</f>
        <v>成交单价（元/平方米）</v>
      </c>
      <c r="Q41" s="3752"/>
      <c r="R41" s="3753">
        <f>E41</f>
        <v>0</v>
      </c>
      <c r="S41" s="3753"/>
      <c r="T41" s="3753">
        <f>G41</f>
        <v>0</v>
      </c>
      <c r="U41" s="3753"/>
      <c r="V41" s="3753">
        <f>I41</f>
        <v>0</v>
      </c>
      <c r="W41" s="3753"/>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45457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5" t="s">
        <v>1677</v>
      </c>
      <c r="Q7" s="3742"/>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2" t="s">
        <v>1683</v>
      </c>
      <c r="Q9" s="1339" t="str">
        <f t="shared" ref="Q9:Q14" si="6">B9</f>
        <v>用途</v>
      </c>
      <c r="R9" s="700" t="s">
        <v>14</v>
      </c>
      <c r="S9" s="701">
        <f t="shared" si="0"/>
        <v>100</v>
      </c>
      <c r="T9" s="700" t="s">
        <v>14</v>
      </c>
      <c r="U9" s="701">
        <f t="shared" si="1"/>
        <v>100</v>
      </c>
      <c r="V9" s="700" t="s">
        <v>14</v>
      </c>
      <c r="W9" s="701">
        <f t="shared" si="2"/>
        <v>100</v>
      </c>
      <c r="X9" s="702"/>
      <c r="Y9" s="3677"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2"/>
      <c r="Q11" s="1339">
        <f t="shared" si="6"/>
        <v>111</v>
      </c>
      <c r="R11" s="700" t="s">
        <v>14</v>
      </c>
      <c r="S11" s="701">
        <f t="shared" si="0"/>
        <v>100</v>
      </c>
      <c r="T11" s="700" t="s">
        <v>14</v>
      </c>
      <c r="U11" s="701">
        <f t="shared" si="1"/>
        <v>100</v>
      </c>
      <c r="V11" s="700" t="s">
        <v>14</v>
      </c>
      <c r="W11" s="701">
        <f t="shared" si="2"/>
        <v>100</v>
      </c>
      <c r="X11" s="702"/>
      <c r="Y11" s="367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5" t="s">
        <v>1688</v>
      </c>
      <c r="Q14" s="1348" t="str">
        <f t="shared" si="6"/>
        <v>交通便捷度</v>
      </c>
      <c r="R14" s="704" t="s">
        <v>14</v>
      </c>
      <c r="S14" s="705">
        <f t="shared" si="0"/>
        <v>100</v>
      </c>
      <c r="T14" s="704" t="s">
        <v>14</v>
      </c>
      <c r="U14" s="705">
        <f t="shared" si="1"/>
        <v>100</v>
      </c>
      <c r="V14" s="704" t="s">
        <v>14</v>
      </c>
      <c r="W14" s="705">
        <f t="shared" si="2"/>
        <v>100</v>
      </c>
      <c r="X14" s="1351"/>
      <c r="Y14" s="3745"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46"/>
      <c r="Q15" s="1348"/>
      <c r="R15" s="704"/>
      <c r="S15" s="705"/>
      <c r="T15" s="704"/>
      <c r="U15" s="705"/>
      <c r="V15" s="704"/>
      <c r="W15" s="705"/>
      <c r="X15" s="1351"/>
      <c r="Y15" s="3746"/>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6"/>
      <c r="Q16" s="1348" t="str">
        <f>B16</f>
        <v>公共配套设施</v>
      </c>
      <c r="R16" s="704" t="s">
        <v>14</v>
      </c>
      <c r="S16" s="705">
        <f>F16</f>
        <v>100</v>
      </c>
      <c r="T16" s="704" t="s">
        <v>14</v>
      </c>
      <c r="U16" s="705">
        <f>H16</f>
        <v>100</v>
      </c>
      <c r="V16" s="704" t="s">
        <v>14</v>
      </c>
      <c r="W16" s="705">
        <f>J16</f>
        <v>100</v>
      </c>
      <c r="X16" s="1351"/>
      <c r="Y16" s="3746"/>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46"/>
      <c r="Q17" s="1348"/>
      <c r="R17" s="704"/>
      <c r="S17" s="705"/>
      <c r="T17" s="704"/>
      <c r="U17" s="705"/>
      <c r="V17" s="704"/>
      <c r="W17" s="705"/>
      <c r="X17" s="1351"/>
      <c r="Y17" s="3746"/>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6"/>
      <c r="Q18" s="1348" t="str">
        <f>B18</f>
        <v>基础设施水平</v>
      </c>
      <c r="R18" s="704" t="s">
        <v>14</v>
      </c>
      <c r="S18" s="705">
        <f>F18</f>
        <v>100</v>
      </c>
      <c r="T18" s="704" t="s">
        <v>14</v>
      </c>
      <c r="U18" s="705">
        <f>H18</f>
        <v>100</v>
      </c>
      <c r="V18" s="704" t="s">
        <v>14</v>
      </c>
      <c r="W18" s="705">
        <f>J18</f>
        <v>100</v>
      </c>
      <c r="X18" s="1351"/>
      <c r="Y18" s="3746"/>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46"/>
      <c r="Q19" s="1348"/>
      <c r="R19" s="704"/>
      <c r="S19" s="705"/>
      <c r="T19" s="704"/>
      <c r="U19" s="705"/>
      <c r="V19" s="704"/>
      <c r="W19" s="705"/>
      <c r="X19" s="1351"/>
      <c r="Y19" s="3746"/>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6"/>
      <c r="Q20" s="1348" t="str">
        <f>B20</f>
        <v>自然及人文环境</v>
      </c>
      <c r="R20" s="704" t="s">
        <v>14</v>
      </c>
      <c r="S20" s="705">
        <f>F20</f>
        <v>100</v>
      </c>
      <c r="T20" s="704" t="s">
        <v>14</v>
      </c>
      <c r="U20" s="705">
        <f>H20</f>
        <v>100</v>
      </c>
      <c r="V20" s="704" t="s">
        <v>14</v>
      </c>
      <c r="W20" s="705">
        <f>J20</f>
        <v>100</v>
      </c>
      <c r="X20" s="1351"/>
      <c r="Y20" s="3746"/>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46"/>
      <c r="Q21" s="1348"/>
      <c r="R21" s="704"/>
      <c r="S21" s="705"/>
      <c r="T21" s="704"/>
      <c r="U21" s="705"/>
      <c r="V21" s="704"/>
      <c r="W21" s="705"/>
      <c r="X21" s="1351"/>
      <c r="Y21" s="3746"/>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6"/>
      <c r="Q22" s="1348" t="str">
        <f>B22</f>
        <v>楼层</v>
      </c>
      <c r="R22" s="704" t="s">
        <v>14</v>
      </c>
      <c r="S22" s="705">
        <f>F22</f>
        <v>100</v>
      </c>
      <c r="T22" s="704" t="s">
        <v>14</v>
      </c>
      <c r="U22" s="705">
        <f>H22</f>
        <v>100</v>
      </c>
      <c r="V22" s="704" t="s">
        <v>14</v>
      </c>
      <c r="W22" s="705">
        <f>J22</f>
        <v>100</v>
      </c>
      <c r="X22" s="1351"/>
      <c r="Y22" s="3746"/>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6"/>
      <c r="Q23" s="1348">
        <f>B23</f>
        <v>111</v>
      </c>
      <c r="R23" s="704" t="s">
        <v>14</v>
      </c>
      <c r="S23" s="705">
        <f>F23</f>
        <v>100</v>
      </c>
      <c r="T23" s="704" t="s">
        <v>14</v>
      </c>
      <c r="U23" s="705">
        <f>H23</f>
        <v>100</v>
      </c>
      <c r="V23" s="704" t="s">
        <v>14</v>
      </c>
      <c r="W23" s="705">
        <f>J23</f>
        <v>100</v>
      </c>
      <c r="X23" s="1351"/>
      <c r="Y23" s="3746"/>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6"/>
      <c r="Q24" s="1348">
        <f t="shared" ref="Q24:Q36" si="11">B24</f>
        <v>111</v>
      </c>
      <c r="R24" s="704" t="s">
        <v>14</v>
      </c>
      <c r="S24" s="705">
        <f>F24</f>
        <v>100</v>
      </c>
      <c r="T24" s="704" t="s">
        <v>14</v>
      </c>
      <c r="U24" s="705">
        <f>H24</f>
        <v>100</v>
      </c>
      <c r="V24" s="704" t="s">
        <v>14</v>
      </c>
      <c r="W24" s="705">
        <f>J24</f>
        <v>100</v>
      </c>
      <c r="X24" s="1351"/>
      <c r="Y24" s="3746"/>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46"/>
      <c r="Q25" s="1339">
        <f t="shared" si="11"/>
        <v>111</v>
      </c>
      <c r="R25" s="700" t="s">
        <v>14</v>
      </c>
      <c r="S25" s="701">
        <f>F25</f>
        <v>100</v>
      </c>
      <c r="T25" s="700" t="s">
        <v>14</v>
      </c>
      <c r="U25" s="701">
        <f>H25</f>
        <v>100</v>
      </c>
      <c r="V25" s="700" t="s">
        <v>14</v>
      </c>
      <c r="W25" s="701">
        <f>J25</f>
        <v>100</v>
      </c>
      <c r="X25" s="702"/>
      <c r="Y25" s="3746"/>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1"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50"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50"/>
      <c r="Q27" s="706" t="str">
        <f t="shared" si="11"/>
        <v>项目停车位配比</v>
      </c>
      <c r="R27" s="707" t="s">
        <v>14</v>
      </c>
      <c r="S27" s="708">
        <f t="shared" si="12"/>
        <v>100</v>
      </c>
      <c r="T27" s="707" t="s">
        <v>14</v>
      </c>
      <c r="U27" s="708">
        <f t="shared" si="13"/>
        <v>100</v>
      </c>
      <c r="V27" s="707" t="s">
        <v>14</v>
      </c>
      <c r="W27" s="708">
        <f t="shared" si="14"/>
        <v>100</v>
      </c>
      <c r="X27" s="709"/>
      <c r="Y27" s="3750"/>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50"/>
      <c r="Q28" s="1348" t="str">
        <f t="shared" si="11"/>
        <v>公共部分装修</v>
      </c>
      <c r="R28" s="704" t="s">
        <v>14</v>
      </c>
      <c r="S28" s="705">
        <f t="shared" si="12"/>
        <v>100</v>
      </c>
      <c r="T28" s="704" t="s">
        <v>14</v>
      </c>
      <c r="U28" s="705">
        <f t="shared" si="13"/>
        <v>100</v>
      </c>
      <c r="V28" s="704" t="s">
        <v>14</v>
      </c>
      <c r="W28" s="705">
        <f t="shared" si="14"/>
        <v>100</v>
      </c>
      <c r="X28" s="1351"/>
      <c r="Y28" s="3750"/>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50"/>
      <c r="Q29" s="1348" t="str">
        <f t="shared" si="11"/>
        <v>成新率</v>
      </c>
      <c r="R29" s="704" t="s">
        <v>14</v>
      </c>
      <c r="S29" s="705" t="e">
        <f t="shared" si="12"/>
        <v>#N/A</v>
      </c>
      <c r="T29" s="704" t="s">
        <v>14</v>
      </c>
      <c r="U29" s="705" t="e">
        <f t="shared" si="13"/>
        <v>#N/A</v>
      </c>
      <c r="V29" s="704" t="s">
        <v>14</v>
      </c>
      <c r="W29" s="705" t="e">
        <f t="shared" si="14"/>
        <v>#N/A</v>
      </c>
      <c r="X29" s="1351"/>
      <c r="Y29" s="3750"/>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50"/>
      <c r="Q30" s="1348" t="str">
        <f t="shared" si="11"/>
        <v>物业等级</v>
      </c>
      <c r="R30" s="704" t="s">
        <v>14</v>
      </c>
      <c r="S30" s="705">
        <f t="shared" si="12"/>
        <v>100</v>
      </c>
      <c r="T30" s="704" t="s">
        <v>14</v>
      </c>
      <c r="U30" s="705">
        <f t="shared" si="13"/>
        <v>100</v>
      </c>
      <c r="V30" s="704" t="s">
        <v>14</v>
      </c>
      <c r="W30" s="705">
        <f t="shared" si="14"/>
        <v>100</v>
      </c>
      <c r="X30" s="1351"/>
      <c r="Y30" s="3750"/>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50"/>
      <c r="Q31" s="1339" t="str">
        <f t="shared" si="11"/>
        <v>停车位面积</v>
      </c>
      <c r="R31" s="700" t="s">
        <v>14</v>
      </c>
      <c r="S31" s="701" t="e">
        <f t="shared" si="12"/>
        <v>#N/A</v>
      </c>
      <c r="T31" s="700" t="s">
        <v>14</v>
      </c>
      <c r="U31" s="701" t="e">
        <f t="shared" si="13"/>
        <v>#N/A</v>
      </c>
      <c r="V31" s="700" t="s">
        <v>14</v>
      </c>
      <c r="W31" s="701" t="e">
        <f t="shared" si="14"/>
        <v>#N/A</v>
      </c>
      <c r="X31" s="702"/>
      <c r="Y31" s="3750"/>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50" t="s">
        <v>1693</v>
      </c>
      <c r="Q32" s="1348" t="str">
        <f t="shared" si="11"/>
        <v>车位类型</v>
      </c>
      <c r="R32" s="704" t="s">
        <v>14</v>
      </c>
      <c r="S32" s="705">
        <f t="shared" si="12"/>
        <v>100</v>
      </c>
      <c r="T32" s="704" t="s">
        <v>14</v>
      </c>
      <c r="U32" s="705">
        <f t="shared" si="13"/>
        <v>100</v>
      </c>
      <c r="V32" s="704" t="s">
        <v>14</v>
      </c>
      <c r="W32" s="705">
        <f t="shared" si="14"/>
        <v>100</v>
      </c>
      <c r="X32" s="1351"/>
      <c r="Y32" s="3750"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50"/>
      <c r="Q33" s="1348" t="str">
        <f t="shared" si="11"/>
        <v>是否直接入户</v>
      </c>
      <c r="R33" s="704" t="s">
        <v>14</v>
      </c>
      <c r="S33" s="705">
        <f t="shared" si="12"/>
        <v>100</v>
      </c>
      <c r="T33" s="704" t="s">
        <v>14</v>
      </c>
      <c r="U33" s="705">
        <f t="shared" si="13"/>
        <v>100</v>
      </c>
      <c r="V33" s="704" t="s">
        <v>14</v>
      </c>
      <c r="W33" s="705">
        <f t="shared" si="14"/>
        <v>100</v>
      </c>
      <c r="X33" s="1351"/>
      <c r="Y33" s="3750"/>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50"/>
      <c r="Q34" s="1348">
        <f t="shared" si="11"/>
        <v>111</v>
      </c>
      <c r="R34" s="704" t="s">
        <v>14</v>
      </c>
      <c r="S34" s="705">
        <f t="shared" si="12"/>
        <v>100</v>
      </c>
      <c r="T34" s="704" t="s">
        <v>14</v>
      </c>
      <c r="U34" s="705">
        <f t="shared" si="13"/>
        <v>100</v>
      </c>
      <c r="V34" s="704" t="s">
        <v>14</v>
      </c>
      <c r="W34" s="705">
        <f t="shared" si="14"/>
        <v>100</v>
      </c>
      <c r="X34" s="1351"/>
      <c r="Y34" s="3750"/>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50"/>
      <c r="Q35" s="706">
        <f t="shared" si="11"/>
        <v>111</v>
      </c>
      <c r="R35" s="707" t="s">
        <v>14</v>
      </c>
      <c r="S35" s="708">
        <f t="shared" si="12"/>
        <v>100</v>
      </c>
      <c r="T35" s="707" t="s">
        <v>14</v>
      </c>
      <c r="U35" s="708">
        <f t="shared" si="13"/>
        <v>100</v>
      </c>
      <c r="V35" s="707" t="s">
        <v>14</v>
      </c>
      <c r="W35" s="708">
        <f t="shared" si="14"/>
        <v>100</v>
      </c>
      <c r="X35" s="709"/>
      <c r="Y35" s="3750"/>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50"/>
      <c r="Q36" s="1348">
        <f t="shared" si="11"/>
        <v>111</v>
      </c>
      <c r="R36" s="704" t="s">
        <v>14</v>
      </c>
      <c r="S36" s="705">
        <f t="shared" si="12"/>
        <v>100</v>
      </c>
      <c r="T36" s="704" t="s">
        <v>14</v>
      </c>
      <c r="U36" s="705">
        <f t="shared" si="13"/>
        <v>100</v>
      </c>
      <c r="V36" s="704" t="s">
        <v>14</v>
      </c>
      <c r="W36" s="705">
        <f t="shared" si="14"/>
        <v>100</v>
      </c>
      <c r="X36" s="1351"/>
      <c r="Y36" s="3750"/>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52" t="str">
        <f>A37</f>
        <v>成交单价</v>
      </c>
      <c r="Q37" s="3752"/>
      <c r="R37" s="3753">
        <f>E37</f>
        <v>0</v>
      </c>
      <c r="S37" s="3753"/>
      <c r="T37" s="3753">
        <f>G37</f>
        <v>0</v>
      </c>
      <c r="U37" s="3753"/>
      <c r="V37" s="3753">
        <f>I37</f>
        <v>0</v>
      </c>
      <c r="W37" s="3753"/>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54" t="str">
        <f>A39</f>
        <v>估价对象XX用房的比较价值（楼面单价，元/平方米）</v>
      </c>
      <c r="Q39" s="3755"/>
      <c r="R39" s="3792" t="e">
        <f>IF(F1="售价",ROUND(IF(D38="简单平均",AVERAGE(R38:W38),R38*F38+T38*H38+V38*J38),0),ROUND(IF(D38="简单平均",AVERAGE(R38:V38),R38*F38+T38*H38+V38*J38),1))</f>
        <v>#DIV/0!</v>
      </c>
      <c r="S39" s="3792"/>
      <c r="T39" s="3792"/>
      <c r="U39" s="3792"/>
      <c r="V39" s="3792"/>
      <c r="W39" s="3792"/>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45457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15" t="s">
        <v>1677</v>
      </c>
      <c r="Q7" s="3742"/>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2" t="s">
        <v>1683</v>
      </c>
      <c r="Q9" s="1339" t="str">
        <f t="shared" ref="Q9:Q14" si="6">B9</f>
        <v>用途</v>
      </c>
      <c r="R9" s="700" t="s">
        <v>14</v>
      </c>
      <c r="S9" s="701">
        <f t="shared" si="0"/>
        <v>100</v>
      </c>
      <c r="T9" s="700" t="s">
        <v>14</v>
      </c>
      <c r="U9" s="701">
        <f t="shared" si="1"/>
        <v>100</v>
      </c>
      <c r="V9" s="700" t="s">
        <v>14</v>
      </c>
      <c r="W9" s="701">
        <f t="shared" si="2"/>
        <v>100</v>
      </c>
      <c r="X9" s="702"/>
      <c r="Y9" s="3677"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2"/>
      <c r="Q11" s="1339">
        <f t="shared" si="6"/>
        <v>111</v>
      </c>
      <c r="R11" s="700" t="s">
        <v>14</v>
      </c>
      <c r="S11" s="701">
        <f t="shared" si="0"/>
        <v>100</v>
      </c>
      <c r="T11" s="700" t="s">
        <v>14</v>
      </c>
      <c r="U11" s="701">
        <f t="shared" si="1"/>
        <v>100</v>
      </c>
      <c r="V11" s="700" t="s">
        <v>14</v>
      </c>
      <c r="W11" s="701">
        <f t="shared" si="2"/>
        <v>100</v>
      </c>
      <c r="X11" s="702"/>
      <c r="Y11" s="3677"/>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5" t="s">
        <v>1688</v>
      </c>
      <c r="Q14" s="1348" t="str">
        <f t="shared" si="6"/>
        <v>交通便捷度</v>
      </c>
      <c r="R14" s="704" t="s">
        <v>14</v>
      </c>
      <c r="S14" s="705">
        <f t="shared" si="0"/>
        <v>100</v>
      </c>
      <c r="T14" s="704" t="s">
        <v>14</v>
      </c>
      <c r="U14" s="705">
        <f t="shared" si="1"/>
        <v>100</v>
      </c>
      <c r="V14" s="704" t="s">
        <v>14</v>
      </c>
      <c r="W14" s="705">
        <f t="shared" si="2"/>
        <v>100</v>
      </c>
      <c r="X14" s="1351"/>
      <c r="Y14" s="3745"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46"/>
      <c r="Q15" s="1348"/>
      <c r="R15" s="704"/>
      <c r="S15" s="705"/>
      <c r="T15" s="704"/>
      <c r="U15" s="705"/>
      <c r="V15" s="704"/>
      <c r="W15" s="705"/>
      <c r="X15" s="1351"/>
      <c r="Y15" s="3746"/>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6"/>
      <c r="Q16" s="1348" t="str">
        <f>B16</f>
        <v>公共配套设施</v>
      </c>
      <c r="R16" s="704" t="s">
        <v>14</v>
      </c>
      <c r="S16" s="705">
        <f>F16</f>
        <v>100</v>
      </c>
      <c r="T16" s="704" t="s">
        <v>14</v>
      </c>
      <c r="U16" s="705">
        <f>H16</f>
        <v>100</v>
      </c>
      <c r="V16" s="704" t="s">
        <v>14</v>
      </c>
      <c r="W16" s="705">
        <f>J16</f>
        <v>100</v>
      </c>
      <c r="X16" s="1351"/>
      <c r="Y16" s="3746"/>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46"/>
      <c r="Q17" s="1348"/>
      <c r="R17" s="704"/>
      <c r="S17" s="705"/>
      <c r="T17" s="704"/>
      <c r="U17" s="705"/>
      <c r="V17" s="704"/>
      <c r="W17" s="705"/>
      <c r="X17" s="1351"/>
      <c r="Y17" s="3746"/>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6"/>
      <c r="Q18" s="1348" t="str">
        <f>B18</f>
        <v>基础设施水平</v>
      </c>
      <c r="R18" s="704" t="s">
        <v>14</v>
      </c>
      <c r="S18" s="705">
        <f>F18</f>
        <v>100</v>
      </c>
      <c r="T18" s="704" t="s">
        <v>14</v>
      </c>
      <c r="U18" s="705">
        <f>H18</f>
        <v>100</v>
      </c>
      <c r="V18" s="704" t="s">
        <v>14</v>
      </c>
      <c r="W18" s="705">
        <f>J18</f>
        <v>100</v>
      </c>
      <c r="X18" s="1351"/>
      <c r="Y18" s="3746"/>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46"/>
      <c r="Q19" s="1348"/>
      <c r="R19" s="704"/>
      <c r="S19" s="705"/>
      <c r="T19" s="704"/>
      <c r="U19" s="705"/>
      <c r="V19" s="704"/>
      <c r="W19" s="705"/>
      <c r="X19" s="1351"/>
      <c r="Y19" s="3746"/>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6"/>
      <c r="Q20" s="1348" t="str">
        <f>B20</f>
        <v>自然及人文环境</v>
      </c>
      <c r="R20" s="704" t="s">
        <v>14</v>
      </c>
      <c r="S20" s="705">
        <f>F20</f>
        <v>100</v>
      </c>
      <c r="T20" s="704" t="s">
        <v>14</v>
      </c>
      <c r="U20" s="705">
        <f>H20</f>
        <v>100</v>
      </c>
      <c r="V20" s="704" t="s">
        <v>14</v>
      </c>
      <c r="W20" s="705">
        <f>J20</f>
        <v>100</v>
      </c>
      <c r="X20" s="1351"/>
      <c r="Y20" s="3746"/>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46"/>
      <c r="Q21" s="1348"/>
      <c r="R21" s="704"/>
      <c r="S21" s="705"/>
      <c r="T21" s="704"/>
      <c r="U21" s="705"/>
      <c r="V21" s="704"/>
      <c r="W21" s="705"/>
      <c r="X21" s="1351"/>
      <c r="Y21" s="3746"/>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6"/>
      <c r="Q22" s="1348" t="str">
        <f>B22</f>
        <v>楼层</v>
      </c>
      <c r="R22" s="704" t="s">
        <v>14</v>
      </c>
      <c r="S22" s="705">
        <f>F22</f>
        <v>100</v>
      </c>
      <c r="T22" s="704" t="s">
        <v>14</v>
      </c>
      <c r="U22" s="705">
        <f>H22</f>
        <v>100</v>
      </c>
      <c r="V22" s="704" t="s">
        <v>14</v>
      </c>
      <c r="W22" s="705">
        <f>J22</f>
        <v>100</v>
      </c>
      <c r="X22" s="1351"/>
      <c r="Y22" s="3746"/>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6"/>
      <c r="Q23" s="1348">
        <f>B23</f>
        <v>111</v>
      </c>
      <c r="R23" s="704" t="s">
        <v>14</v>
      </c>
      <c r="S23" s="705">
        <f>F23</f>
        <v>100</v>
      </c>
      <c r="T23" s="704" t="s">
        <v>14</v>
      </c>
      <c r="U23" s="705">
        <f>H23</f>
        <v>100</v>
      </c>
      <c r="V23" s="704" t="s">
        <v>14</v>
      </c>
      <c r="W23" s="705">
        <f>J23</f>
        <v>100</v>
      </c>
      <c r="X23" s="1351"/>
      <c r="Y23" s="3746"/>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6"/>
      <c r="Q24" s="1348">
        <f t="shared" ref="Q24:Q34" si="11">B24</f>
        <v>111</v>
      </c>
      <c r="R24" s="704" t="s">
        <v>14</v>
      </c>
      <c r="S24" s="705">
        <f>F24</f>
        <v>100</v>
      </c>
      <c r="T24" s="704" t="s">
        <v>14</v>
      </c>
      <c r="U24" s="705">
        <f>H24</f>
        <v>100</v>
      </c>
      <c r="V24" s="704" t="s">
        <v>14</v>
      </c>
      <c r="W24" s="705">
        <f>J24</f>
        <v>100</v>
      </c>
      <c r="X24" s="1351"/>
      <c r="Y24" s="3746"/>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46"/>
      <c r="Q25" s="1339">
        <f t="shared" si="11"/>
        <v>111</v>
      </c>
      <c r="R25" s="700" t="s">
        <v>14</v>
      </c>
      <c r="S25" s="701">
        <f>F25</f>
        <v>100</v>
      </c>
      <c r="T25" s="700" t="s">
        <v>14</v>
      </c>
      <c r="U25" s="701">
        <f>H25</f>
        <v>100</v>
      </c>
      <c r="V25" s="700" t="s">
        <v>14</v>
      </c>
      <c r="W25" s="701">
        <f>J25</f>
        <v>100</v>
      </c>
      <c r="X25" s="702"/>
      <c r="Y25" s="3746"/>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91"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50"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50"/>
      <c r="Q27" s="706" t="str">
        <f t="shared" si="11"/>
        <v>成新率</v>
      </c>
      <c r="R27" s="707" t="s">
        <v>14</v>
      </c>
      <c r="S27" s="708" t="e">
        <f t="shared" si="12"/>
        <v>#N/A</v>
      </c>
      <c r="T27" s="707" t="s">
        <v>14</v>
      </c>
      <c r="U27" s="708" t="e">
        <f t="shared" si="13"/>
        <v>#N/A</v>
      </c>
      <c r="V27" s="707" t="s">
        <v>14</v>
      </c>
      <c r="W27" s="708" t="e">
        <f t="shared" si="14"/>
        <v>#N/A</v>
      </c>
      <c r="X27" s="709"/>
      <c r="Y27" s="3750"/>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50"/>
      <c r="Q28" s="1348" t="str">
        <f t="shared" si="11"/>
        <v>物业等级</v>
      </c>
      <c r="R28" s="704" t="s">
        <v>14</v>
      </c>
      <c r="S28" s="705">
        <f t="shared" si="12"/>
        <v>100</v>
      </c>
      <c r="T28" s="704" t="s">
        <v>14</v>
      </c>
      <c r="U28" s="705">
        <f t="shared" si="13"/>
        <v>100</v>
      </c>
      <c r="V28" s="704" t="s">
        <v>14</v>
      </c>
      <c r="W28" s="705">
        <f t="shared" si="14"/>
        <v>100</v>
      </c>
      <c r="X28" s="1351"/>
      <c r="Y28" s="3750"/>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50"/>
      <c r="Q29" s="1348" t="str">
        <f t="shared" si="11"/>
        <v>有无电梯</v>
      </c>
      <c r="R29" s="704" t="s">
        <v>14</v>
      </c>
      <c r="S29" s="705">
        <f t="shared" si="12"/>
        <v>100</v>
      </c>
      <c r="T29" s="704" t="s">
        <v>14</v>
      </c>
      <c r="U29" s="705">
        <f t="shared" si="13"/>
        <v>100</v>
      </c>
      <c r="V29" s="704" t="s">
        <v>14</v>
      </c>
      <c r="W29" s="705">
        <f t="shared" si="14"/>
        <v>100</v>
      </c>
      <c r="X29" s="1351"/>
      <c r="Y29" s="3750"/>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50"/>
      <c r="Q30" s="1348" t="str">
        <f t="shared" si="11"/>
        <v>建筑面积</v>
      </c>
      <c r="R30" s="704" t="s">
        <v>14</v>
      </c>
      <c r="S30" s="705" t="e">
        <f t="shared" si="12"/>
        <v>#N/A</v>
      </c>
      <c r="T30" s="704" t="s">
        <v>14</v>
      </c>
      <c r="U30" s="705" t="e">
        <f t="shared" si="13"/>
        <v>#N/A</v>
      </c>
      <c r="V30" s="704" t="s">
        <v>14</v>
      </c>
      <c r="W30" s="705" t="e">
        <f t="shared" si="14"/>
        <v>#N/A</v>
      </c>
      <c r="X30" s="1351"/>
      <c r="Y30" s="3750"/>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50"/>
      <c r="Q31" s="1339" t="str">
        <f t="shared" si="11"/>
        <v>是否封闭</v>
      </c>
      <c r="R31" s="700" t="s">
        <v>14</v>
      </c>
      <c r="S31" s="701">
        <f t="shared" si="12"/>
        <v>100</v>
      </c>
      <c r="T31" s="700" t="s">
        <v>14</v>
      </c>
      <c r="U31" s="701">
        <f t="shared" si="13"/>
        <v>100</v>
      </c>
      <c r="V31" s="700" t="s">
        <v>14</v>
      </c>
      <c r="W31" s="701">
        <f t="shared" si="14"/>
        <v>100</v>
      </c>
      <c r="X31" s="702"/>
      <c r="Y31" s="3750"/>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50" t="s">
        <v>1693</v>
      </c>
      <c r="Q32" s="1348">
        <f t="shared" si="11"/>
        <v>111</v>
      </c>
      <c r="R32" s="704" t="s">
        <v>14</v>
      </c>
      <c r="S32" s="705">
        <f t="shared" si="12"/>
        <v>100</v>
      </c>
      <c r="T32" s="704" t="s">
        <v>14</v>
      </c>
      <c r="U32" s="705">
        <f t="shared" si="13"/>
        <v>100</v>
      </c>
      <c r="V32" s="704" t="s">
        <v>14</v>
      </c>
      <c r="W32" s="705">
        <f t="shared" si="14"/>
        <v>100</v>
      </c>
      <c r="X32" s="1351"/>
      <c r="Y32" s="3750"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50"/>
      <c r="Q33" s="1348">
        <f t="shared" si="11"/>
        <v>111</v>
      </c>
      <c r="R33" s="704" t="s">
        <v>14</v>
      </c>
      <c r="S33" s="705">
        <f t="shared" si="12"/>
        <v>100</v>
      </c>
      <c r="T33" s="704" t="s">
        <v>14</v>
      </c>
      <c r="U33" s="705">
        <f t="shared" si="13"/>
        <v>100</v>
      </c>
      <c r="V33" s="704" t="s">
        <v>14</v>
      </c>
      <c r="W33" s="705">
        <f t="shared" si="14"/>
        <v>100</v>
      </c>
      <c r="X33" s="1351"/>
      <c r="Y33" s="3750"/>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50"/>
      <c r="Q34" s="1348">
        <f t="shared" si="11"/>
        <v>111</v>
      </c>
      <c r="R34" s="704" t="s">
        <v>14</v>
      </c>
      <c r="S34" s="705">
        <f t="shared" si="12"/>
        <v>100</v>
      </c>
      <c r="T34" s="704" t="s">
        <v>14</v>
      </c>
      <c r="U34" s="705">
        <f t="shared" si="13"/>
        <v>100</v>
      </c>
      <c r="V34" s="704" t="s">
        <v>14</v>
      </c>
      <c r="W34" s="705">
        <f t="shared" si="14"/>
        <v>100</v>
      </c>
      <c r="X34" s="1351"/>
      <c r="Y34" s="3750"/>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52" t="str">
        <f>A35</f>
        <v>成交单价（元/平方米）</v>
      </c>
      <c r="Q35" s="3752"/>
      <c r="R35" s="3753">
        <f>E35</f>
        <v>0</v>
      </c>
      <c r="S35" s="3753"/>
      <c r="T35" s="3753">
        <f>G35</f>
        <v>0</v>
      </c>
      <c r="U35" s="3753"/>
      <c r="V35" s="3753">
        <f>I35</f>
        <v>0</v>
      </c>
      <c r="W35" s="3753"/>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54" t="str">
        <f>A37</f>
        <v>估价对象XX用房的比较价值（楼面单价，元/平方米）</v>
      </c>
      <c r="Q37" s="3755"/>
      <c r="R37" s="3792" t="e">
        <f>IF(F1="售价",ROUND(IF(D36="简单平均",AVERAGE(R36:W36),R36*F36+T36*H36+V36*J36),0),ROUND(IF(D36="简单平均",AVERAGE(R36:V36),R36*F36+T36*H36+V36*J36),1))</f>
        <v>#DIV/0!</v>
      </c>
      <c r="S37" s="3792"/>
      <c r="T37" s="3792"/>
      <c r="U37" s="3792"/>
      <c r="V37" s="3792"/>
      <c r="W37" s="3792"/>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30"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30"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30" s="108" customFormat="1" ht="15.75" thickBot="1">
      <c r="A7" s="362" t="s">
        <v>1676</v>
      </c>
      <c r="B7" s="363"/>
      <c r="C7" s="364">
        <f>'数据-取费表'!B2</f>
        <v>45457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5" t="s">
        <v>1680</v>
      </c>
      <c r="Q8" s="3716"/>
      <c r="R8" s="700" t="s">
        <v>14</v>
      </c>
      <c r="S8" s="701">
        <f t="shared" si="0"/>
        <v>0</v>
      </c>
      <c r="T8" s="700" t="s">
        <v>14</v>
      </c>
      <c r="U8" s="701">
        <f t="shared" si="1"/>
        <v>0</v>
      </c>
      <c r="V8" s="700" t="s">
        <v>14</v>
      </c>
      <c r="W8" s="701">
        <f t="shared" si="2"/>
        <v>0</v>
      </c>
      <c r="X8" s="702"/>
      <c r="Y8" s="3715" t="s">
        <v>1680</v>
      </c>
      <c r="Z8" s="3716"/>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52"/>
      <c r="Q10" s="1339" t="str">
        <f t="shared" si="6"/>
        <v>土地使用年限（年）</v>
      </c>
      <c r="R10" s="700" t="s">
        <v>14</v>
      </c>
      <c r="S10" s="701">
        <f t="shared" si="0"/>
        <v>105</v>
      </c>
      <c r="T10" s="700" t="s">
        <v>14</v>
      </c>
      <c r="U10" s="701">
        <f t="shared" si="1"/>
        <v>105</v>
      </c>
      <c r="V10" s="700" t="s">
        <v>14</v>
      </c>
      <c r="W10" s="701">
        <f t="shared" si="2"/>
        <v>105</v>
      </c>
      <c r="X10" s="702"/>
      <c r="Y10" s="3677"/>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52"/>
      <c r="Q11" s="1339" t="str">
        <f t="shared" si="6"/>
        <v>容积率</v>
      </c>
      <c r="R11" s="700" t="s">
        <v>14</v>
      </c>
      <c r="S11" s="701" t="e">
        <f t="shared" si="0"/>
        <v>#N/A</v>
      </c>
      <c r="T11" s="700" t="s">
        <v>14</v>
      </c>
      <c r="U11" s="701" t="e">
        <f t="shared" si="1"/>
        <v>#N/A</v>
      </c>
      <c r="V11" s="700" t="s">
        <v>14</v>
      </c>
      <c r="W11" s="701" t="e">
        <f t="shared" si="2"/>
        <v>#N/A</v>
      </c>
      <c r="X11" s="702"/>
      <c r="Y11" s="3677"/>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52"/>
      <c r="Q12" s="1339" t="str">
        <f t="shared" si="6"/>
        <v>配建</v>
      </c>
      <c r="R12" s="700" t="s">
        <v>14</v>
      </c>
      <c r="S12" s="701">
        <f t="shared" si="0"/>
        <v>100</v>
      </c>
      <c r="T12" s="700" t="s">
        <v>14</v>
      </c>
      <c r="U12" s="701">
        <f t="shared" si="1"/>
        <v>100</v>
      </c>
      <c r="V12" s="700" t="s">
        <v>14</v>
      </c>
      <c r="W12" s="701">
        <f t="shared" si="2"/>
        <v>100</v>
      </c>
      <c r="X12" s="702"/>
      <c r="Y12" s="3677"/>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45" t="s">
        <v>1688</v>
      </c>
      <c r="Q15" s="1348" t="str">
        <f t="shared" si="6"/>
        <v>居住社区成熟度</v>
      </c>
      <c r="R15" s="704" t="s">
        <v>14</v>
      </c>
      <c r="S15" s="705">
        <f t="shared" si="0"/>
        <v>100</v>
      </c>
      <c r="T15" s="704" t="s">
        <v>14</v>
      </c>
      <c r="U15" s="705">
        <f t="shared" si="1"/>
        <v>100</v>
      </c>
      <c r="V15" s="704" t="s">
        <v>14</v>
      </c>
      <c r="W15" s="705">
        <f t="shared" si="2"/>
        <v>100</v>
      </c>
      <c r="X15" s="1351"/>
      <c r="Y15" s="3745"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46"/>
      <c r="Q16" s="1348"/>
      <c r="R16" s="704"/>
      <c r="S16" s="705"/>
      <c r="T16" s="704"/>
      <c r="U16" s="705"/>
      <c r="V16" s="704"/>
      <c r="W16" s="705"/>
      <c r="X16" s="1351"/>
      <c r="Y16" s="3746"/>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46"/>
      <c r="Q17" s="1348" t="str">
        <f>B17</f>
        <v>商业繁华度</v>
      </c>
      <c r="R17" s="704" t="s">
        <v>14</v>
      </c>
      <c r="S17" s="705">
        <f>F17</f>
        <v>100</v>
      </c>
      <c r="T17" s="704" t="s">
        <v>14</v>
      </c>
      <c r="U17" s="705">
        <f>H17</f>
        <v>100</v>
      </c>
      <c r="V17" s="704" t="s">
        <v>14</v>
      </c>
      <c r="W17" s="705">
        <f>J17</f>
        <v>100</v>
      </c>
      <c r="X17" s="1351"/>
      <c r="Y17" s="3746"/>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46"/>
      <c r="Q18" s="1348"/>
      <c r="R18" s="704"/>
      <c r="S18" s="705"/>
      <c r="T18" s="704"/>
      <c r="U18" s="705"/>
      <c r="V18" s="704"/>
      <c r="W18" s="705"/>
      <c r="X18" s="1351"/>
      <c r="Y18" s="3746"/>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46"/>
      <c r="Q19" s="1348" t="str">
        <f>B19</f>
        <v>办公集聚程度</v>
      </c>
      <c r="R19" s="704" t="s">
        <v>14</v>
      </c>
      <c r="S19" s="705">
        <f>F19</f>
        <v>100</v>
      </c>
      <c r="T19" s="704" t="s">
        <v>14</v>
      </c>
      <c r="U19" s="705">
        <f>H19</f>
        <v>100</v>
      </c>
      <c r="V19" s="704" t="s">
        <v>14</v>
      </c>
      <c r="W19" s="705">
        <f>J19</f>
        <v>100</v>
      </c>
      <c r="X19" s="1351"/>
      <c r="Y19" s="3746"/>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46"/>
      <c r="Q20" s="1348"/>
      <c r="R20" s="704"/>
      <c r="S20" s="705"/>
      <c r="T20" s="704"/>
      <c r="U20" s="705"/>
      <c r="V20" s="704"/>
      <c r="W20" s="705"/>
      <c r="X20" s="1351"/>
      <c r="Y20" s="3746"/>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46"/>
      <c r="Q21" s="1348" t="str">
        <f>B21</f>
        <v>交通便捷度</v>
      </c>
      <c r="R21" s="704" t="s">
        <v>14</v>
      </c>
      <c r="S21" s="705">
        <f>F21</f>
        <v>100</v>
      </c>
      <c r="T21" s="704" t="s">
        <v>14</v>
      </c>
      <c r="U21" s="705">
        <f>H21</f>
        <v>100</v>
      </c>
      <c r="V21" s="704" t="s">
        <v>14</v>
      </c>
      <c r="W21" s="705">
        <f>J21</f>
        <v>100</v>
      </c>
      <c r="X21" s="1351"/>
      <c r="Y21" s="3746"/>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46"/>
      <c r="Q22" s="1348"/>
      <c r="R22" s="704"/>
      <c r="S22" s="705"/>
      <c r="T22" s="704"/>
      <c r="U22" s="705"/>
      <c r="V22" s="704"/>
      <c r="W22" s="705"/>
      <c r="X22" s="1351"/>
      <c r="Y22" s="3746"/>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46"/>
      <c r="Q23" s="1348" t="str">
        <f t="shared" ref="Q23:Q37" si="8">B23</f>
        <v>区域土地利用方向</v>
      </c>
      <c r="R23" s="704" t="s">
        <v>14</v>
      </c>
      <c r="S23" s="705">
        <f>F23</f>
        <v>100</v>
      </c>
      <c r="T23" s="704" t="s">
        <v>14</v>
      </c>
      <c r="U23" s="705">
        <f>H23</f>
        <v>100</v>
      </c>
      <c r="V23" s="704" t="s">
        <v>14</v>
      </c>
      <c r="W23" s="705">
        <f>J23</f>
        <v>100</v>
      </c>
      <c r="X23" s="1351"/>
      <c r="Y23" s="3746"/>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46"/>
      <c r="Q24" s="1348"/>
      <c r="R24" s="704"/>
      <c r="S24" s="705"/>
      <c r="T24" s="704"/>
      <c r="U24" s="705"/>
      <c r="V24" s="704"/>
      <c r="W24" s="705"/>
      <c r="X24" s="1351"/>
      <c r="Y24" s="3746"/>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46"/>
      <c r="Q25" s="1348" t="str">
        <f t="shared" si="8"/>
        <v>自然及人文环境状况</v>
      </c>
      <c r="R25" s="704" t="s">
        <v>14</v>
      </c>
      <c r="S25" s="705">
        <f>F25</f>
        <v>100</v>
      </c>
      <c r="T25" s="704" t="s">
        <v>14</v>
      </c>
      <c r="U25" s="705">
        <f>H25</f>
        <v>100</v>
      </c>
      <c r="V25" s="704" t="s">
        <v>14</v>
      </c>
      <c r="W25" s="705">
        <f>J25</f>
        <v>100</v>
      </c>
      <c r="X25" s="1351"/>
      <c r="Y25" s="3746"/>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46"/>
      <c r="Q26" s="1348"/>
      <c r="R26" s="704"/>
      <c r="S26" s="705"/>
      <c r="T26" s="704"/>
      <c r="U26" s="705"/>
      <c r="V26" s="704"/>
      <c r="W26" s="705"/>
      <c r="X26" s="1351"/>
      <c r="Y26" s="3746"/>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46"/>
      <c r="Q27" s="1339" t="str">
        <f t="shared" si="8"/>
        <v>公共配套设施</v>
      </c>
      <c r="R27" s="700" t="s">
        <v>14</v>
      </c>
      <c r="S27" s="701">
        <f>F27</f>
        <v>100</v>
      </c>
      <c r="T27" s="700" t="s">
        <v>14</v>
      </c>
      <c r="U27" s="701">
        <f>H27</f>
        <v>100</v>
      </c>
      <c r="V27" s="700" t="s">
        <v>14</v>
      </c>
      <c r="W27" s="701">
        <f>J27</f>
        <v>100</v>
      </c>
      <c r="X27" s="702"/>
      <c r="Y27" s="3746"/>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46"/>
      <c r="Q28" s="1339"/>
      <c r="R28" s="700"/>
      <c r="S28" s="701"/>
      <c r="T28" s="700"/>
      <c r="U28" s="701"/>
      <c r="V28" s="700"/>
      <c r="W28" s="701"/>
      <c r="X28" s="702"/>
      <c r="Y28" s="3746"/>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46"/>
      <c r="Q29" s="1339" t="str">
        <f t="shared" ref="Q29" si="9">B29</f>
        <v>基础设施水平</v>
      </c>
      <c r="R29" s="700" t="s">
        <v>14</v>
      </c>
      <c r="S29" s="701">
        <f>F29</f>
        <v>100</v>
      </c>
      <c r="T29" s="700" t="s">
        <v>14</v>
      </c>
      <c r="U29" s="701">
        <f>H29</f>
        <v>100</v>
      </c>
      <c r="V29" s="700" t="s">
        <v>14</v>
      </c>
      <c r="W29" s="701">
        <f>J29</f>
        <v>100</v>
      </c>
      <c r="X29" s="702"/>
      <c r="Y29" s="3746"/>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46"/>
      <c r="Q30" s="1339"/>
      <c r="R30" s="700"/>
      <c r="S30" s="701"/>
      <c r="T30" s="700"/>
      <c r="U30" s="701"/>
      <c r="V30" s="700"/>
      <c r="W30" s="701"/>
      <c r="X30" s="702"/>
      <c r="Y30" s="3746"/>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46"/>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46"/>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46"/>
      <c r="Q32" s="1348" t="str">
        <f t="shared" si="8"/>
        <v>毗邻道路的类型与等级</v>
      </c>
      <c r="R32" s="704" t="s">
        <v>14</v>
      </c>
      <c r="S32" s="705">
        <f t="shared" si="10"/>
        <v>100</v>
      </c>
      <c r="T32" s="704" t="s">
        <v>14</v>
      </c>
      <c r="U32" s="705">
        <f t="shared" si="11"/>
        <v>100</v>
      </c>
      <c r="V32" s="704" t="s">
        <v>14</v>
      </c>
      <c r="W32" s="705">
        <f t="shared" si="12"/>
        <v>100</v>
      </c>
      <c r="X32" s="1351"/>
      <c r="Y32" s="3746"/>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46"/>
      <c r="Q33" s="1348"/>
      <c r="R33" s="704"/>
      <c r="S33" s="705"/>
      <c r="T33" s="704"/>
      <c r="U33" s="705"/>
      <c r="V33" s="704"/>
      <c r="W33" s="705"/>
      <c r="X33" s="1351"/>
      <c r="Y33" s="3746"/>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46"/>
      <c r="Q34" s="1348" t="str">
        <f t="shared" si="8"/>
        <v>土地级别</v>
      </c>
      <c r="R34" s="704" t="s">
        <v>14</v>
      </c>
      <c r="S34" s="705">
        <f t="shared" si="10"/>
        <v>100</v>
      </c>
      <c r="T34" s="704" t="s">
        <v>14</v>
      </c>
      <c r="U34" s="705">
        <f t="shared" si="11"/>
        <v>100</v>
      </c>
      <c r="V34" s="704" t="s">
        <v>14</v>
      </c>
      <c r="W34" s="705">
        <f t="shared" si="12"/>
        <v>100</v>
      </c>
      <c r="X34" s="1351"/>
      <c r="Y34" s="3746"/>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46"/>
      <c r="Q35" s="1348">
        <f t="shared" si="8"/>
        <v>111</v>
      </c>
      <c r="R35" s="704" t="s">
        <v>14</v>
      </c>
      <c r="S35" s="705">
        <f t="shared" si="10"/>
        <v>100</v>
      </c>
      <c r="T35" s="704" t="s">
        <v>14</v>
      </c>
      <c r="U35" s="705">
        <f t="shared" si="11"/>
        <v>100</v>
      </c>
      <c r="V35" s="704" t="s">
        <v>14</v>
      </c>
      <c r="W35" s="705">
        <f t="shared" si="12"/>
        <v>100</v>
      </c>
      <c r="X35" s="1351"/>
      <c r="Y35" s="3746"/>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1" t="s">
        <v>1693</v>
      </c>
      <c r="Q36" s="1348">
        <f t="shared" si="8"/>
        <v>111</v>
      </c>
      <c r="R36" s="704" t="s">
        <v>14</v>
      </c>
      <c r="S36" s="705">
        <f t="shared" si="10"/>
        <v>100</v>
      </c>
      <c r="T36" s="704" t="s">
        <v>14</v>
      </c>
      <c r="U36" s="705">
        <f t="shared" si="11"/>
        <v>100</v>
      </c>
      <c r="V36" s="704" t="s">
        <v>14</v>
      </c>
      <c r="W36" s="705">
        <f t="shared" si="12"/>
        <v>100</v>
      </c>
      <c r="X36" s="1351"/>
      <c r="Y36" s="3750"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50"/>
      <c r="Q37" s="1348">
        <f t="shared" si="8"/>
        <v>111</v>
      </c>
      <c r="R37" s="707" t="s">
        <v>14</v>
      </c>
      <c r="S37" s="708">
        <f t="shared" si="10"/>
        <v>100</v>
      </c>
      <c r="T37" s="707" t="s">
        <v>14</v>
      </c>
      <c r="U37" s="708">
        <f t="shared" si="11"/>
        <v>100</v>
      </c>
      <c r="V37" s="707" t="s">
        <v>14</v>
      </c>
      <c r="W37" s="708">
        <f t="shared" si="12"/>
        <v>100</v>
      </c>
      <c r="X37" s="709"/>
      <c r="Y37" s="3750"/>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50"/>
      <c r="Q38" s="1348" t="str">
        <f>B38</f>
        <v>宗地面积</v>
      </c>
      <c r="R38" s="704" t="s">
        <v>14</v>
      </c>
      <c r="S38" s="705" t="e">
        <f t="shared" si="10"/>
        <v>#N/A</v>
      </c>
      <c r="T38" s="704" t="s">
        <v>14</v>
      </c>
      <c r="U38" s="705" t="e">
        <f t="shared" si="11"/>
        <v>#N/A</v>
      </c>
      <c r="V38" s="704" t="s">
        <v>14</v>
      </c>
      <c r="W38" s="705" t="e">
        <f t="shared" si="12"/>
        <v>#N/A</v>
      </c>
      <c r="X38" s="1351"/>
      <c r="Y38" s="3750"/>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50"/>
      <c r="Q39" s="1348" t="str">
        <f t="shared" ref="Q39:Q45" si="14">B39</f>
        <v>宗地形状</v>
      </c>
      <c r="R39" s="704" t="s">
        <v>14</v>
      </c>
      <c r="S39" s="705">
        <f t="shared" si="10"/>
        <v>100</v>
      </c>
      <c r="T39" s="704" t="s">
        <v>14</v>
      </c>
      <c r="U39" s="705">
        <f t="shared" si="11"/>
        <v>100</v>
      </c>
      <c r="V39" s="704" t="s">
        <v>14</v>
      </c>
      <c r="W39" s="705">
        <f t="shared" si="12"/>
        <v>100</v>
      </c>
      <c r="X39" s="1351"/>
      <c r="Y39" s="3750"/>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50"/>
      <c r="Q40" s="1348" t="str">
        <f t="shared" si="14"/>
        <v>临街宽度及深度</v>
      </c>
      <c r="R40" s="704" t="s">
        <v>14</v>
      </c>
      <c r="S40" s="705">
        <f t="shared" si="10"/>
        <v>100</v>
      </c>
      <c r="T40" s="704" t="s">
        <v>14</v>
      </c>
      <c r="U40" s="705">
        <f t="shared" si="11"/>
        <v>100</v>
      </c>
      <c r="V40" s="704" t="s">
        <v>14</v>
      </c>
      <c r="W40" s="705">
        <f t="shared" si="12"/>
        <v>100</v>
      </c>
      <c r="X40" s="1351"/>
      <c r="Y40" s="3750"/>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50"/>
      <c r="Q41" s="1348" t="str">
        <f t="shared" si="14"/>
        <v>宗地开发程度</v>
      </c>
      <c r="R41" s="700" t="s">
        <v>14</v>
      </c>
      <c r="S41" s="701">
        <f t="shared" si="10"/>
        <v>100</v>
      </c>
      <c r="T41" s="700" t="s">
        <v>14</v>
      </c>
      <c r="U41" s="701">
        <f t="shared" si="11"/>
        <v>100</v>
      </c>
      <c r="V41" s="700" t="s">
        <v>14</v>
      </c>
      <c r="W41" s="701">
        <f t="shared" si="12"/>
        <v>100</v>
      </c>
      <c r="X41" s="702"/>
      <c r="Y41" s="3750"/>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50" t="s">
        <v>1693</v>
      </c>
      <c r="Q42" s="1348" t="str">
        <f t="shared" si="14"/>
        <v>工程地质条件</v>
      </c>
      <c r="R42" s="704" t="s">
        <v>14</v>
      </c>
      <c r="S42" s="705">
        <f t="shared" si="10"/>
        <v>100</v>
      </c>
      <c r="T42" s="704" t="s">
        <v>14</v>
      </c>
      <c r="U42" s="705">
        <f t="shared" si="11"/>
        <v>100</v>
      </c>
      <c r="V42" s="704" t="s">
        <v>14</v>
      </c>
      <c r="W42" s="705">
        <f t="shared" si="12"/>
        <v>100</v>
      </c>
      <c r="X42" s="1351"/>
      <c r="Y42" s="3750"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50"/>
      <c r="Q43" s="1348">
        <f t="shared" si="14"/>
        <v>111</v>
      </c>
      <c r="R43" s="704" t="s">
        <v>14</v>
      </c>
      <c r="S43" s="705">
        <f t="shared" si="10"/>
        <v>100</v>
      </c>
      <c r="T43" s="704" t="s">
        <v>14</v>
      </c>
      <c r="U43" s="705">
        <f t="shared" si="11"/>
        <v>100</v>
      </c>
      <c r="V43" s="704" t="s">
        <v>14</v>
      </c>
      <c r="W43" s="705">
        <f t="shared" si="12"/>
        <v>100</v>
      </c>
      <c r="X43" s="1351"/>
      <c r="Y43" s="3750"/>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50"/>
      <c r="Q44" s="1348">
        <f t="shared" si="14"/>
        <v>111</v>
      </c>
      <c r="R44" s="704" t="s">
        <v>14</v>
      </c>
      <c r="S44" s="705">
        <f t="shared" si="10"/>
        <v>100</v>
      </c>
      <c r="T44" s="704" t="s">
        <v>14</v>
      </c>
      <c r="U44" s="705">
        <f t="shared" si="11"/>
        <v>100</v>
      </c>
      <c r="V44" s="704" t="s">
        <v>14</v>
      </c>
      <c r="W44" s="705">
        <f t="shared" si="12"/>
        <v>100</v>
      </c>
      <c r="X44" s="1351"/>
      <c r="Y44" s="3750"/>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50"/>
      <c r="Q45" s="1348">
        <f t="shared" si="14"/>
        <v>111</v>
      </c>
      <c r="R45" s="707" t="s">
        <v>14</v>
      </c>
      <c r="S45" s="708">
        <f t="shared" si="10"/>
        <v>100</v>
      </c>
      <c r="T45" s="707" t="s">
        <v>14</v>
      </c>
      <c r="U45" s="708">
        <f t="shared" si="11"/>
        <v>100</v>
      </c>
      <c r="V45" s="707" t="s">
        <v>14</v>
      </c>
      <c r="W45" s="708">
        <f t="shared" si="12"/>
        <v>100</v>
      </c>
      <c r="X45" s="709"/>
      <c r="Y45" s="3750"/>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52" t="str">
        <f>A46</f>
        <v>成交单价</v>
      </c>
      <c r="Q46" s="3752"/>
      <c r="R46" s="3714">
        <f>E46</f>
        <v>0</v>
      </c>
      <c r="S46" s="3714"/>
      <c r="T46" s="3714">
        <f>G46</f>
        <v>0</v>
      </c>
      <c r="U46" s="3714"/>
      <c r="V46" s="3714">
        <f>I46</f>
        <v>0</v>
      </c>
      <c r="W46" s="3714"/>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52" t="str">
        <f>A47</f>
        <v>比较价值（元/平方米）</v>
      </c>
      <c r="Q47" s="3752"/>
      <c r="R47" s="3793" t="e">
        <f>ROUND(PRODUCT(R46,AA7:AA45),0)</f>
        <v>#DIV/0!</v>
      </c>
      <c r="S47" s="3793"/>
      <c r="T47" s="3793" t="e">
        <f>ROUND(PRODUCT(T46,AB7:AB45),0)</f>
        <v>#DIV/0!</v>
      </c>
      <c r="U47" s="3793"/>
      <c r="V47" s="3793" t="e">
        <f>ROUND(PRODUCT(V46,AC7:AC45),0)</f>
        <v>#DIV/0!</v>
      </c>
      <c r="W47" s="3793"/>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54" t="str">
        <f>A48</f>
        <v>估价对象XX用房的比较价值（楼面单价，元/平方米）</v>
      </c>
      <c r="Q48" s="3755"/>
      <c r="R48" s="3794" t="e">
        <f>ROUND(IF(D47="简单平均",AVERAGE(R47:W47),R47*F47+T47*H47+V47*J47),0)</f>
        <v>#DIV/0!</v>
      </c>
      <c r="S48" s="3794"/>
      <c r="T48" s="3794"/>
      <c r="U48" s="3794"/>
      <c r="V48" s="3794"/>
      <c r="W48" s="3794"/>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30" t="s">
        <v>1884</v>
      </c>
      <c r="H55" s="3795"/>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29"/>
      <c r="H56" s="3752"/>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43.65</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3702</v>
      </c>
      <c r="C2" s="1383" t="s">
        <v>804</v>
      </c>
      <c r="D2" s="1383"/>
      <c r="E2" s="1384"/>
      <c r="F2" s="1385"/>
      <c r="G2" s="2702"/>
      <c r="H2" s="2691"/>
      <c r="I2" s="2691"/>
      <c r="J2" s="2691"/>
      <c r="K2" s="2692"/>
      <c r="L2" s="2691"/>
      <c r="M2" s="2691"/>
    </row>
    <row r="3" spans="1:37" ht="18" customHeight="1" thickBot="1">
      <c r="A3" s="1386" t="s">
        <v>805</v>
      </c>
      <c r="B3" s="1387">
        <f ca="1">IF(ISERROR(B2*10000/F43),0,ROUND(B2*10000/F43,0))</f>
        <v>4831</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238</v>
      </c>
      <c r="D6" s="155" t="s">
        <v>2104</v>
      </c>
      <c r="E6" s="302" t="s">
        <v>695</v>
      </c>
      <c r="F6" s="303">
        <f ca="1">INDIRECT("'数据-取费表'!u"&amp;$G$1)</f>
        <v>800</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275</v>
      </c>
      <c r="G7" s="1380"/>
      <c r="H7" s="304"/>
      <c r="I7" s="3707"/>
      <c r="J7" s="306"/>
      <c r="K7" s="307"/>
      <c r="L7" s="302" t="s">
        <v>696</v>
      </c>
      <c r="M7" s="303">
        <f ca="1">F7</f>
        <v>275</v>
      </c>
    </row>
    <row r="8" spans="1:37" ht="18" customHeight="1">
      <c r="A8" s="304"/>
      <c r="B8" s="3707"/>
      <c r="C8" s="306"/>
      <c r="D8" s="307"/>
      <c r="E8" s="302" t="s">
        <v>697</v>
      </c>
      <c r="F8" s="303">
        <f ca="1">INDIRECT("'数据-取费表'!ai"&amp;$G$1)</f>
        <v>12</v>
      </c>
      <c r="G8" s="1380"/>
      <c r="H8" s="304"/>
      <c r="I8" s="3707"/>
      <c r="J8" s="306"/>
      <c r="K8" s="307"/>
      <c r="L8" s="302" t="s">
        <v>697</v>
      </c>
      <c r="M8" s="303">
        <f ca="1">INDIRECT("'数据-取费表'!ai"&amp;$G$1)</f>
        <v>12</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3514</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5344</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5625</v>
      </c>
      <c r="K14" s="3488"/>
      <c r="L14" s="803"/>
      <c r="M14" s="804"/>
    </row>
    <row r="15" spans="1:37" s="1393" customFormat="1" ht="18" customHeight="1" thickBot="1">
      <c r="A15" s="978" t="s">
        <v>398</v>
      </c>
      <c r="B15" s="302" t="s">
        <v>709</v>
      </c>
      <c r="C15" s="21">
        <f ca="1">ROUND(C14*F15,0)</f>
        <v>210</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14</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4657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140</v>
      </c>
      <c r="D20" s="2424" t="s">
        <v>728</v>
      </c>
      <c r="E20" s="302" t="s">
        <v>711</v>
      </c>
      <c r="F20" s="322">
        <f>'数据-取费表'!B37</f>
        <v>0.03</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11.25</v>
      </c>
      <c r="K22" s="3497" t="s">
        <v>738</v>
      </c>
      <c r="L22" s="302" t="s">
        <v>711</v>
      </c>
      <c r="M22" s="328">
        <f ca="1">INDIRECT("'数据-取费表'!Ak"&amp;$G$1)</f>
        <v>2E-3</v>
      </c>
    </row>
    <row r="23" spans="1:37" s="1393" customFormat="1" ht="18" customHeight="1">
      <c r="A23" s="978" t="s">
        <v>396</v>
      </c>
      <c r="B23" s="302" t="s">
        <v>739</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-14</v>
      </c>
      <c r="K25" s="1091" t="s">
        <v>752</v>
      </c>
      <c r="L25" s="1092"/>
      <c r="M25" s="1093"/>
    </row>
    <row r="26" spans="1:37">
      <c r="A26" s="978" t="s">
        <v>396</v>
      </c>
      <c r="B26" s="302" t="s">
        <v>753</v>
      </c>
      <c r="C26" s="21">
        <f ca="1">ROUND((C19+C20)*F26,0)</f>
        <v>240</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5625</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61</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11.25</v>
      </c>
      <c r="D36" s="3497" t="s">
        <v>770</v>
      </c>
      <c r="E36" s="302" t="s">
        <v>711</v>
      </c>
      <c r="F36" s="328">
        <f ca="1">INDIRECT("'数据-取费表'!Ak"&amp;$G$1)</f>
        <v>2E-3</v>
      </c>
      <c r="G36" s="1380"/>
      <c r="H36" s="2696"/>
      <c r="I36" s="1394"/>
      <c r="J36" s="1395"/>
      <c r="K36" s="2540"/>
      <c r="L36" s="2696"/>
      <c r="M36" s="2696"/>
    </row>
    <row r="37" spans="1:18" ht="18" customHeight="1">
      <c r="A37" s="978" t="s">
        <v>436</v>
      </c>
      <c r="B37" s="302" t="s">
        <v>741</v>
      </c>
      <c r="C37" s="21">
        <f ca="1">ROUND(C13*F37,2)</f>
        <v>5.34</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177</v>
      </c>
      <c r="D39" s="1091" t="s">
        <v>772</v>
      </c>
      <c r="E39" s="1092"/>
      <c r="F39" s="1093"/>
      <c r="G39" s="1380"/>
      <c r="H39" s="2696"/>
      <c r="I39" s="1394">
        <f ca="1">C39/C6</f>
        <v>0.74369747899159666</v>
      </c>
      <c r="J39" s="1395"/>
      <c r="K39" s="2700"/>
      <c r="L39" s="2696"/>
      <c r="M39" s="2696"/>
    </row>
    <row r="40" spans="1:18" ht="18" customHeight="1">
      <c r="A40" s="299" t="s">
        <v>394</v>
      </c>
      <c r="B40" s="300" t="s">
        <v>773</v>
      </c>
      <c r="C40" s="301">
        <f ca="1">ROUND(C39*(1-((1+F42)/(1+F40))^F41)/(F40-F42),0)</f>
        <v>3606</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1.4999999999999999E-2</v>
      </c>
      <c r="G42" s="1380"/>
      <c r="H42" s="1187"/>
      <c r="I42" s="1394"/>
      <c r="J42" s="1395"/>
      <c r="K42" s="2540"/>
      <c r="L42" s="1187"/>
      <c r="M42" s="1187"/>
    </row>
    <row r="43" spans="1:18" ht="18" customHeight="1" thickBot="1">
      <c r="A43" s="334" t="s">
        <v>395</v>
      </c>
      <c r="B43" s="335" t="s">
        <v>775</v>
      </c>
      <c r="C43" s="336">
        <f ca="1">ROUND(C40*10000/F43,0)</f>
        <v>4706</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-3935</v>
      </c>
      <c r="D46" s="1402" t="str">
        <f>C2</f>
        <v>万元</v>
      </c>
      <c r="E46" s="1396"/>
      <c r="F46" s="1396"/>
      <c r="I46" s="1403" t="s">
        <v>809</v>
      </c>
      <c r="J46" s="1404"/>
      <c r="K46" s="1405"/>
      <c r="L46" s="1406">
        <f ca="1">IF(M47="住宅",0,IF(L48&gt;J51,L60,J60))</f>
        <v>96</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3606</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96</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5625</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-4023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9" t="s">
        <v>836</v>
      </c>
      <c r="L53" s="3710"/>
      <c r="O53" s="1414" t="s">
        <v>408</v>
      </c>
      <c r="P53" s="1415" t="s">
        <v>837</v>
      </c>
      <c r="Q53" s="1416">
        <f ca="1">Q47+Q48</f>
        <v>3702</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5344</v>
      </c>
      <c r="D56" s="1443"/>
      <c r="E56" s="1444"/>
      <c r="F56" s="1436"/>
      <c r="I56" s="1445" t="s">
        <v>841</v>
      </c>
      <c r="J56" s="1446" t="s">
        <v>3380</v>
      </c>
      <c r="K56" s="1417" t="s">
        <v>842</v>
      </c>
      <c r="L56" s="1420" t="str">
        <f ca="1">IF(L48&lt;J51,"——",L48-J53)</f>
        <v>——</v>
      </c>
      <c r="O56" s="1414" t="s">
        <v>402</v>
      </c>
      <c r="P56" s="1415" t="s">
        <v>816</v>
      </c>
      <c r="Q56" s="1416">
        <f ca="1">C40+J29</f>
        <v>3606</v>
      </c>
      <c r="R56" s="1416" t="s">
        <v>817</v>
      </c>
    </row>
    <row r="57" spans="1:18" s="1380" customFormat="1" ht="24.75" thickBot="1">
      <c r="A57" s="1447"/>
      <c r="B57" s="946" t="s">
        <v>766</v>
      </c>
      <c r="C57" s="238">
        <f ca="1">C29</f>
        <v>5625</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20</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2250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3606</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11.25</v>
      </c>
      <c r="D64" s="960" t="s">
        <v>790</v>
      </c>
      <c r="E64" s="946" t="s">
        <v>782</v>
      </c>
      <c r="F64" s="328">
        <f t="shared" ca="1" si="0"/>
        <v>2E-3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5.34</v>
      </c>
      <c r="D65" s="960" t="s">
        <v>742</v>
      </c>
      <c r="E65" s="946" t="s">
        <v>743</v>
      </c>
      <c r="F65" s="330">
        <f t="shared" ca="1" si="0"/>
        <v>1E-3</v>
      </c>
      <c r="I65" s="1458" t="s">
        <v>866</v>
      </c>
      <c r="J65" s="1459">
        <v>40</v>
      </c>
      <c r="K65" s="1459">
        <v>30</v>
      </c>
      <c r="L65" s="1459">
        <v>50</v>
      </c>
      <c r="M65" s="1461">
        <v>0.02</v>
      </c>
      <c r="O65" s="1414" t="s">
        <v>402</v>
      </c>
      <c r="P65" s="1415" t="s">
        <v>867</v>
      </c>
      <c r="Q65" s="1416">
        <f ca="1">C40+J29</f>
        <v>3606</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-20</v>
      </c>
      <c r="D67" s="959" t="s">
        <v>752</v>
      </c>
      <c r="E67" s="964"/>
      <c r="F67" s="965"/>
      <c r="O67" s="1424" t="s">
        <v>404</v>
      </c>
      <c r="P67" s="1415" t="s">
        <v>849</v>
      </c>
      <c r="Q67" s="1462">
        <f ca="1">L51</f>
        <v>-4023</v>
      </c>
      <c r="R67" s="1416" t="s">
        <v>869</v>
      </c>
    </row>
    <row r="68" spans="1:18" s="1380" customFormat="1" ht="16.5" thickBot="1">
      <c r="A68" s="943" t="s">
        <v>394</v>
      </c>
      <c r="B68" s="944" t="s">
        <v>773</v>
      </c>
      <c r="C68" s="301">
        <f ca="1">ROUND(C67*(1-((1+F70)/(1+F68))^F69)/(F68-F70),0)</f>
        <v>-329</v>
      </c>
      <c r="D68" s="961" t="s">
        <v>757</v>
      </c>
      <c r="E68" s="946" t="s">
        <v>758</v>
      </c>
      <c r="F68" s="312">
        <f ca="1">F40</f>
        <v>5.5E-2</v>
      </c>
      <c r="O68" s="1424" t="s">
        <v>405</v>
      </c>
      <c r="P68" s="1463" t="s">
        <v>870</v>
      </c>
      <c r="Q68" s="1416">
        <f ca="1">ROUND(Q69-Q70*Q71,0)</f>
        <v>-197</v>
      </c>
      <c r="R68" s="1416" t="s">
        <v>413</v>
      </c>
    </row>
    <row r="69" spans="1:18" s="1380" customFormat="1" ht="13.5" thickBot="1">
      <c r="A69" s="947"/>
      <c r="B69" s="948"/>
      <c r="C69" s="306"/>
      <c r="D69" s="966" t="s">
        <v>761</v>
      </c>
      <c r="E69" s="946" t="s">
        <v>762</v>
      </c>
      <c r="F69" s="333">
        <f ca="1">F41</f>
        <v>43.65</v>
      </c>
      <c r="O69" s="1424" t="s">
        <v>410</v>
      </c>
      <c r="P69" s="1463" t="s">
        <v>871</v>
      </c>
      <c r="Q69" s="1416">
        <f ca="1">C39</f>
        <v>177</v>
      </c>
      <c r="R69" s="1416" t="s">
        <v>817</v>
      </c>
    </row>
    <row r="70" spans="1:18" s="1380" customFormat="1" ht="13.5" thickBot="1">
      <c r="A70" s="950"/>
      <c r="B70" s="951"/>
      <c r="C70" s="310"/>
      <c r="D70" s="962"/>
      <c r="E70" s="946" t="s">
        <v>765</v>
      </c>
      <c r="F70" s="1050"/>
      <c r="O70" s="1424" t="s">
        <v>411</v>
      </c>
      <c r="P70" s="1463" t="s">
        <v>872</v>
      </c>
      <c r="Q70" s="1416">
        <f ca="1">C13</f>
        <v>5344</v>
      </c>
      <c r="R70" s="1416" t="s">
        <v>817</v>
      </c>
    </row>
    <row r="71" spans="1:18" s="1380" customFormat="1" ht="13.5" thickBot="1">
      <c r="A71" s="967" t="s">
        <v>395</v>
      </c>
      <c r="B71" s="968" t="s">
        <v>775</v>
      </c>
      <c r="C71" s="336">
        <f ca="1">ROUND(C68*10000/F71,0)</f>
        <v>-429</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374</v>
      </c>
      <c r="D75" s="1380"/>
      <c r="E75" s="1380"/>
      <c r="F75" s="1380"/>
      <c r="K75" s="1398"/>
      <c r="L75" s="1380"/>
      <c r="O75" s="1414" t="s">
        <v>408</v>
      </c>
      <c r="P75" s="1415" t="s">
        <v>837</v>
      </c>
      <c r="Q75" s="1416">
        <f ca="1">Q65+Q66</f>
        <v>3606</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-1.113</v>
      </c>
    </row>
    <row r="80" spans="1:18">
      <c r="B80" s="340" t="s">
        <v>799</v>
      </c>
      <c r="C80" s="274">
        <f ca="1">ROUND(C75/C39,3)</f>
        <v>2.113</v>
      </c>
    </row>
    <row r="81" spans="2:3">
      <c r="B81" s="270" t="s">
        <v>800</v>
      </c>
      <c r="C81" s="238"/>
    </row>
    <row r="82" spans="2:3">
      <c r="B82" s="273" t="s">
        <v>801</v>
      </c>
      <c r="C82" s="275">
        <f ca="1">1-C83</f>
        <v>-0.48199999999999998</v>
      </c>
    </row>
    <row r="83" spans="2:3">
      <c r="B83" s="273" t="s">
        <v>802</v>
      </c>
      <c r="C83" s="274">
        <f ca="1">ROUND(C13/C40,3)</f>
        <v>1.482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84222</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18343</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47434</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36788</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zoomScaleSheetLayoutView="100" workbookViewId="0">
      <selection activeCell="O13" sqref="O1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47434</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34520</v>
      </c>
      <c r="U2" s="1209">
        <f>'数据-汇总表'!F19</f>
        <v>20688.28</v>
      </c>
      <c r="V2" s="3357">
        <f>ROUND(T2*U2/10000,0)</f>
        <v>71416</v>
      </c>
      <c r="W2" s="1212"/>
      <c r="X2" s="1212"/>
      <c r="Y2" s="1212"/>
      <c r="Z2" s="1212"/>
      <c r="AA2" s="1212"/>
      <c r="AB2" s="1212"/>
      <c r="AC2" s="1213"/>
      <c r="AD2" s="1214"/>
      <c r="AE2" s="1214"/>
      <c r="AF2" s="1214"/>
      <c r="AG2" s="1214"/>
      <c r="AH2" s="1214"/>
      <c r="AI2" s="1214"/>
      <c r="AJ2" s="1215"/>
    </row>
    <row r="3" spans="1:36" ht="15.75">
      <c r="A3" s="203" t="s">
        <v>1936</v>
      </c>
      <c r="B3" s="204">
        <f>ROUND(B2*10000/D1,0)</f>
        <v>16731</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27209</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22996</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22204</v>
      </c>
      <c r="D5" s="1335">
        <f>ROUND(C6*C17+C20,0)</f>
        <v>22204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20281</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19491</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-36</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45457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0.97009999999999996</v>
      </c>
      <c r="D24" s="2056" t="s">
        <v>2003</v>
      </c>
      <c r="E24" s="1331">
        <f>存贷款利率!E24/100</f>
        <v>4.3499999999999997E-2</v>
      </c>
      <c r="F24" s="2056" t="s">
        <v>1995</v>
      </c>
      <c r="G24" s="764">
        <f>SUMIF(M30:Q30,E2,M33:Q33)</f>
        <v>5.5E-2</v>
      </c>
      <c r="H24" s="2056" t="s">
        <v>2004</v>
      </c>
      <c r="I24" s="765">
        <f>SUMIF('数据-取费表'!C6:C15,E2,'数据-取费表'!F6:F15)/COUNTIF('数据-取费表'!C6:C15,E2)</f>
        <v>43.65</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47434</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21651</v>
      </c>
      <c r="D33" s="2094">
        <f>'数据-汇总表'!F19</f>
        <v>20688.28</v>
      </c>
      <c r="E33" s="769">
        <f>ROUND(C33*D33/10000,0)</f>
        <v>44792</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5413</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13791</v>
      </c>
      <c r="D37" s="2094"/>
      <c r="E37" s="171">
        <f>ROUND(C37*D37/10000,0)</f>
        <v>0</v>
      </c>
      <c r="F37" s="171">
        <f>SUMIF(修正!A57:A68,G2,修正!B57:B68)</f>
        <v>0.6</v>
      </c>
      <c r="G37" s="171">
        <f>ROUND(IF(E2="工业",C37*$M$42,C37*$M$41),0)</f>
        <v>3448</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6895</v>
      </c>
      <c r="D38" s="2094"/>
      <c r="E38" s="171">
        <f t="shared" ref="E38:E42" si="4">ROUND(C38*D38/10000,0)</f>
        <v>0</v>
      </c>
      <c r="F38" s="171">
        <f>SUMIF(修正!A57:A68,G2,修正!C57:C68)</f>
        <v>0.3</v>
      </c>
      <c r="G38" s="171">
        <f>ROUND(IF(E2="工业",C38*$M$42,C38*$M$41),0)</f>
        <v>1724</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5746</v>
      </c>
      <c r="D39" s="2094"/>
      <c r="E39" s="171">
        <f t="shared" si="4"/>
        <v>0</v>
      </c>
      <c r="F39" s="171">
        <f>SUMIF(修正!A57:A68,G2,修正!D57:D68)</f>
        <v>0.25</v>
      </c>
      <c r="G39" s="171">
        <f>ROUND(IF(E2="工业",C39*$M$42,C39*$M$41),0)</f>
        <v>1437</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5746</v>
      </c>
      <c r="D40" s="2094"/>
      <c r="E40" s="171">
        <f t="shared" si="4"/>
        <v>0</v>
      </c>
      <c r="F40" s="175">
        <f>SUMIF(修正!A57:A68,G2,修正!E57:E68)</f>
        <v>0.25</v>
      </c>
      <c r="G40" s="171">
        <f>ROUND(IF(E2="工业",C40*$M$42,C40*$M$41),0)</f>
        <v>1437</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5746</v>
      </c>
      <c r="D41" s="2094"/>
      <c r="E41" s="171">
        <f t="shared" si="4"/>
        <v>0</v>
      </c>
      <c r="F41" s="175">
        <f>SUMIF(修正!A57:A68,G2,修正!F57:F68)</f>
        <v>0.25</v>
      </c>
      <c r="G41" s="171">
        <f>ROUND(IF(E2="工业",C41*$M$42,C41*$M$41),0)</f>
        <v>1437</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3448</v>
      </c>
      <c r="D42" s="2099">
        <f>'数据-汇总表'!G21</f>
        <v>7662.36</v>
      </c>
      <c r="E42" s="187">
        <f t="shared" si="4"/>
        <v>2642</v>
      </c>
      <c r="F42" s="763">
        <f>SUMIF(修正!A57:A68,G2,修正!G57:G68)</f>
        <v>0.15</v>
      </c>
      <c r="G42" s="187">
        <f>ROUND(IF(E2="工业",C42*$M$42,C42*$M$41),0)</f>
        <v>862</v>
      </c>
      <c r="H42" s="187">
        <f t="shared" si="5"/>
        <v>7662.36</v>
      </c>
      <c r="I42" s="187">
        <f t="shared" si="6"/>
        <v>660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9" t="s">
        <v>3292</v>
      </c>
      <c r="B103" s="3809"/>
      <c r="C103" s="3809"/>
      <c r="D103" s="3809"/>
      <c r="E103" s="3809"/>
      <c r="F103" s="3809"/>
      <c r="G103" s="3809"/>
      <c r="H103" s="3809"/>
      <c r="I103" s="3809"/>
      <c r="J103" s="3809"/>
      <c r="K103" s="3386"/>
      <c r="L103" s="3386"/>
      <c r="M103" s="3386"/>
      <c r="N103" s="3386"/>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6"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7"/>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8"/>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9" t="s">
        <v>3309</v>
      </c>
      <c r="B113" s="3799"/>
      <c r="C113" s="3799"/>
      <c r="D113" s="3799"/>
      <c r="E113" s="3799"/>
      <c r="F113" s="3799"/>
      <c r="G113" s="3799"/>
      <c r="H113" s="3799"/>
      <c r="I113" s="3799"/>
      <c r="J113" s="379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zoomScaleNormal="80" zoomScaleSheetLayoutView="100" workbookViewId="0">
      <selection activeCell="D38" sqref="D3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36788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35630</v>
      </c>
      <c r="U2" s="1209">
        <f>'数据-汇总表'!F20/2</f>
        <v>6973.7899999999991</v>
      </c>
      <c r="V2" s="3357">
        <f>ROUND(T2*U2/10000,0)</f>
        <v>24848</v>
      </c>
      <c r="W2" s="1212"/>
      <c r="X2" s="1212"/>
      <c r="Y2" s="1212"/>
      <c r="Z2" s="1212"/>
      <c r="AA2" s="1212"/>
      <c r="AB2" s="1212"/>
      <c r="AC2" s="1213"/>
      <c r="AD2" s="1214"/>
      <c r="AE2" s="1214"/>
      <c r="AF2" s="1214"/>
      <c r="AG2" s="1214"/>
      <c r="AH2" s="1214"/>
      <c r="AI2" s="1214"/>
      <c r="AJ2" s="1215"/>
    </row>
    <row r="3" spans="1:36" ht="15.75">
      <c r="A3" s="203" t="s">
        <v>1936</v>
      </c>
      <c r="B3" s="204">
        <f>ROUND(B2*10000/D1,0)</f>
        <v>20944</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28084</v>
      </c>
      <c r="U3" s="1209">
        <f>U2</f>
        <v>6973.7899999999991</v>
      </c>
      <c r="V3" s="3357">
        <f t="shared" ref="V3:V16" si="1">ROUND(T3*U3/10000,0)</f>
        <v>19585</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23735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23084</v>
      </c>
      <c r="D5" s="1335">
        <f>ROUND(C6*C17+C20,0)</f>
        <v>23084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20934</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20117</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-36</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45457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36788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1287</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22684</v>
      </c>
      <c r="D33" s="2094">
        <f>'数据-汇总表'!F20</f>
        <v>13947.579999999998</v>
      </c>
      <c r="E33" s="769">
        <f>ROUND(C33*D33/10000,0)</f>
        <v>31639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5671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14234</v>
      </c>
      <c r="D37" s="2094">
        <f>'数据-基础表'!O15</f>
        <v>3617.18</v>
      </c>
      <c r="E37" s="171">
        <f>ROUND(C37*D37/10000,0)</f>
        <v>5149</v>
      </c>
      <c r="F37" s="171">
        <f>SUMIF(修正!A57:A68,G2,修正!B57:B68)</f>
        <v>0.6</v>
      </c>
      <c r="G37" s="171">
        <f>ROUND(IF(E2="工业",C37*$M$42,C37*$M$41),0)</f>
        <v>3559</v>
      </c>
      <c r="H37" s="171">
        <f>D37</f>
        <v>3617.18</v>
      </c>
      <c r="I37" s="171">
        <f>ROUND(G37*H37/10000,0)</f>
        <v>1287</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7117</v>
      </c>
      <c r="D38" s="2094"/>
      <c r="E38" s="171">
        <f t="shared" ref="E38:E42" si="4">ROUND(C38*D38/10000,0)</f>
        <v>0</v>
      </c>
      <c r="F38" s="171">
        <f>SUMIF(修正!A57:A68,G2,修正!C57:C68)</f>
        <v>0.3</v>
      </c>
      <c r="G38" s="171">
        <f>ROUND(IF(E2="工业",C38*$M$42,C38*$M$41),0)</f>
        <v>1779</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5931</v>
      </c>
      <c r="D39" s="2094"/>
      <c r="E39" s="171">
        <f t="shared" si="4"/>
        <v>0</v>
      </c>
      <c r="F39" s="171">
        <f>SUMIF(修正!A57:A68,G2,修正!D57:D68)</f>
        <v>0.25</v>
      </c>
      <c r="G39" s="171">
        <f>ROUND(IF(E2="工业",C39*$M$42,C39*$M$41),0)</f>
        <v>1483</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5931</v>
      </c>
      <c r="D40" s="2094"/>
      <c r="E40" s="171">
        <f t="shared" si="4"/>
        <v>0</v>
      </c>
      <c r="F40" s="175">
        <f>SUMIF(修正!A57:A68,G2,修正!E57:E68)</f>
        <v>0.25</v>
      </c>
      <c r="G40" s="171">
        <f>ROUND(IF(E2="工业",C40*$M$42,C40*$M$41),0)</f>
        <v>1483</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6082</v>
      </c>
      <c r="D41" s="2094"/>
      <c r="E41" s="171">
        <f t="shared" si="4"/>
        <v>0</v>
      </c>
      <c r="F41" s="175">
        <f>SUMIF(修正!A57:A68,G2,修正!F57:F68)</f>
        <v>0.25</v>
      </c>
      <c r="G41" s="171">
        <f>ROUND(IF(E2="工业",C41*$M$42,C41*$M$41),0)</f>
        <v>1521</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3649</v>
      </c>
      <c r="D42" s="2099"/>
      <c r="E42" s="187">
        <f t="shared" si="4"/>
        <v>0</v>
      </c>
      <c r="F42" s="763">
        <f>SUMIF(修正!A57:A68,G2,修正!G57:G68)</f>
        <v>0.15</v>
      </c>
      <c r="G42" s="187">
        <f>ROUND(IF(E2="工业",C42*$M$42,C42*$M$41),0)</f>
        <v>912</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503"/>
      <c r="L103" s="3503"/>
      <c r="M103" s="3503"/>
      <c r="N103" s="3503"/>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6"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7"/>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7"/>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7"/>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7"/>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7"/>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f>案例信息!A3</f>
        <v>0</v>
      </c>
      <c r="F5" s="3722"/>
      <c r="G5" s="3723">
        <f>案例信息!A4</f>
        <v>0</v>
      </c>
      <c r="H5" s="3724"/>
      <c r="I5" s="3723">
        <f>案例信息!A5</f>
        <v>0</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815" t="s">
        <v>1916</v>
      </c>
      <c r="D6" s="3816"/>
      <c r="E6" s="3817" t="s">
        <v>1916</v>
      </c>
      <c r="F6" s="3818"/>
      <c r="G6" s="3815" t="s">
        <v>1916</v>
      </c>
      <c r="H6" s="3816"/>
      <c r="I6" s="3815" t="s">
        <v>1916</v>
      </c>
      <c r="J6" s="381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45457</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52"/>
      <c r="Q10" s="1339" t="str">
        <f t="shared" si="6"/>
        <v>土地使用年限（年）</v>
      </c>
      <c r="R10" s="700" t="s">
        <v>14</v>
      </c>
      <c r="S10" s="701">
        <f t="shared" si="0"/>
        <v>105</v>
      </c>
      <c r="T10" s="700" t="s">
        <v>14</v>
      </c>
      <c r="U10" s="701">
        <f t="shared" si="1"/>
        <v>105</v>
      </c>
      <c r="V10" s="700" t="s">
        <v>14</v>
      </c>
      <c r="W10" s="701">
        <f t="shared" si="2"/>
        <v>105</v>
      </c>
      <c r="X10" s="702"/>
      <c r="Y10" s="3677"/>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52"/>
      <c r="Q11" s="1339" t="str">
        <f t="shared" si="6"/>
        <v>容积率</v>
      </c>
      <c r="R11" s="700" t="s">
        <v>14</v>
      </c>
      <c r="S11" s="701">
        <f t="shared" si="0"/>
        <v>97</v>
      </c>
      <c r="T11" s="700" t="s">
        <v>14</v>
      </c>
      <c r="U11" s="701">
        <f t="shared" si="1"/>
        <v>97</v>
      </c>
      <c r="V11" s="700" t="s">
        <v>14</v>
      </c>
      <c r="W11" s="701">
        <f t="shared" si="2"/>
        <v>97</v>
      </c>
      <c r="X11" s="702"/>
      <c r="Y11" s="3677"/>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45" t="s">
        <v>1688</v>
      </c>
      <c r="Q15" s="1348" t="str">
        <f t="shared" si="6"/>
        <v>产业集聚程度</v>
      </c>
      <c r="R15" s="704" t="s">
        <v>14</v>
      </c>
      <c r="S15" s="705">
        <f t="shared" si="0"/>
        <v>100</v>
      </c>
      <c r="T15" s="704" t="s">
        <v>14</v>
      </c>
      <c r="U15" s="705">
        <f t="shared" si="1"/>
        <v>100</v>
      </c>
      <c r="V15" s="704" t="s">
        <v>14</v>
      </c>
      <c r="W15" s="705">
        <f t="shared" si="2"/>
        <v>100</v>
      </c>
      <c r="X15" s="1351"/>
      <c r="Y15" s="3745"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46"/>
      <c r="Q16" s="1348"/>
      <c r="R16" s="704"/>
      <c r="S16" s="705"/>
      <c r="T16" s="704"/>
      <c r="U16" s="705"/>
      <c r="V16" s="704"/>
      <c r="W16" s="705"/>
      <c r="X16" s="1351"/>
      <c r="Y16" s="3746"/>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46"/>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46"/>
      <c r="Q18" s="1348"/>
      <c r="R18" s="704"/>
      <c r="S18" s="705"/>
      <c r="T18" s="704"/>
      <c r="U18" s="705"/>
      <c r="V18" s="704"/>
      <c r="W18" s="705"/>
      <c r="X18" s="1351"/>
      <c r="Y18" s="3746"/>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46"/>
      <c r="Q19" s="1348" t="str">
        <f t="shared" ref="Q19:Q33" si="8">B19</f>
        <v>区域土地利用方向</v>
      </c>
      <c r="R19" s="704" t="s">
        <v>14</v>
      </c>
      <c r="S19" s="705">
        <f>F19</f>
        <v>100</v>
      </c>
      <c r="T19" s="704" t="s">
        <v>14</v>
      </c>
      <c r="U19" s="705">
        <f>H19</f>
        <v>100</v>
      </c>
      <c r="V19" s="704" t="s">
        <v>14</v>
      </c>
      <c r="W19" s="705">
        <f>J19</f>
        <v>100</v>
      </c>
      <c r="X19" s="1351"/>
      <c r="Y19" s="3746"/>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46"/>
      <c r="Q20" s="1348"/>
      <c r="R20" s="704"/>
      <c r="S20" s="705"/>
      <c r="T20" s="704"/>
      <c r="U20" s="705"/>
      <c r="V20" s="704"/>
      <c r="W20" s="705"/>
      <c r="X20" s="1351"/>
      <c r="Y20" s="3746"/>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46"/>
      <c r="Q21" s="1348" t="str">
        <f t="shared" si="8"/>
        <v>环境状况</v>
      </c>
      <c r="R21" s="704" t="s">
        <v>14</v>
      </c>
      <c r="S21" s="705">
        <f>F21</f>
        <v>100</v>
      </c>
      <c r="T21" s="704" t="s">
        <v>14</v>
      </c>
      <c r="U21" s="705">
        <f>H21</f>
        <v>100</v>
      </c>
      <c r="V21" s="704" t="s">
        <v>14</v>
      </c>
      <c r="W21" s="705">
        <f>J21</f>
        <v>100</v>
      </c>
      <c r="X21" s="1351"/>
      <c r="Y21" s="3746"/>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46"/>
      <c r="Q22" s="1348"/>
      <c r="R22" s="704"/>
      <c r="S22" s="705"/>
      <c r="T22" s="704"/>
      <c r="U22" s="705"/>
      <c r="V22" s="704"/>
      <c r="W22" s="705"/>
      <c r="X22" s="1351"/>
      <c r="Y22" s="3746"/>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46"/>
      <c r="Q23" s="1339" t="str">
        <f t="shared" si="8"/>
        <v>公共配套设施</v>
      </c>
      <c r="R23" s="700" t="s">
        <v>14</v>
      </c>
      <c r="S23" s="701">
        <f>F23</f>
        <v>100</v>
      </c>
      <c r="T23" s="700" t="s">
        <v>14</v>
      </c>
      <c r="U23" s="701">
        <f>H23</f>
        <v>100</v>
      </c>
      <c r="V23" s="700" t="s">
        <v>14</v>
      </c>
      <c r="W23" s="701">
        <f>J23</f>
        <v>100</v>
      </c>
      <c r="X23" s="702"/>
      <c r="Y23" s="3746"/>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46"/>
      <c r="Q24" s="1339"/>
      <c r="R24" s="700"/>
      <c r="S24" s="701"/>
      <c r="T24" s="700"/>
      <c r="U24" s="701"/>
      <c r="V24" s="700"/>
      <c r="W24" s="701"/>
      <c r="X24" s="702"/>
      <c r="Y24" s="3746"/>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46"/>
      <c r="Q25" s="1339" t="str">
        <f t="shared" ref="Q25" si="9">B25</f>
        <v>基础设施水平</v>
      </c>
      <c r="R25" s="700" t="s">
        <v>14</v>
      </c>
      <c r="S25" s="701">
        <f>F25</f>
        <v>100</v>
      </c>
      <c r="T25" s="700" t="s">
        <v>14</v>
      </c>
      <c r="U25" s="701">
        <f>H25</f>
        <v>100</v>
      </c>
      <c r="V25" s="700" t="s">
        <v>14</v>
      </c>
      <c r="W25" s="701">
        <f>J25</f>
        <v>100</v>
      </c>
      <c r="X25" s="702"/>
      <c r="Y25" s="3746"/>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46"/>
      <c r="Q26" s="1339"/>
      <c r="R26" s="700"/>
      <c r="S26" s="701"/>
      <c r="T26" s="700"/>
      <c r="U26" s="701"/>
      <c r="V26" s="700"/>
      <c r="W26" s="701"/>
      <c r="X26" s="702"/>
      <c r="Y26" s="3746"/>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46"/>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46"/>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46"/>
      <c r="Q28" s="1348" t="str">
        <f t="shared" si="8"/>
        <v>毗邻道路的类型与等级</v>
      </c>
      <c r="R28" s="704" t="s">
        <v>14</v>
      </c>
      <c r="S28" s="705">
        <f t="shared" si="10"/>
        <v>100</v>
      </c>
      <c r="T28" s="704" t="s">
        <v>14</v>
      </c>
      <c r="U28" s="705">
        <f t="shared" si="11"/>
        <v>100</v>
      </c>
      <c r="V28" s="704" t="s">
        <v>14</v>
      </c>
      <c r="W28" s="705">
        <f t="shared" si="12"/>
        <v>100</v>
      </c>
      <c r="X28" s="1351"/>
      <c r="Y28" s="3746"/>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46"/>
      <c r="Q29" s="1348"/>
      <c r="R29" s="704"/>
      <c r="S29" s="705"/>
      <c r="T29" s="704"/>
      <c r="U29" s="705"/>
      <c r="V29" s="704"/>
      <c r="W29" s="705"/>
      <c r="X29" s="1351"/>
      <c r="Y29" s="3746"/>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46"/>
      <c r="Q30" s="1348" t="str">
        <f t="shared" si="8"/>
        <v>土地级别</v>
      </c>
      <c r="R30" s="704" t="s">
        <v>14</v>
      </c>
      <c r="S30" s="705">
        <f t="shared" si="10"/>
        <v>100</v>
      </c>
      <c r="T30" s="704" t="s">
        <v>14</v>
      </c>
      <c r="U30" s="705">
        <f t="shared" si="11"/>
        <v>100</v>
      </c>
      <c r="V30" s="704" t="s">
        <v>14</v>
      </c>
      <c r="W30" s="705">
        <f t="shared" si="12"/>
        <v>100</v>
      </c>
      <c r="X30" s="1351"/>
      <c r="Y30" s="3746"/>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6"/>
      <c r="Q31" s="1348">
        <f t="shared" si="8"/>
        <v>111</v>
      </c>
      <c r="R31" s="704" t="s">
        <v>14</v>
      </c>
      <c r="S31" s="705">
        <f t="shared" si="10"/>
        <v>100</v>
      </c>
      <c r="T31" s="704" t="s">
        <v>14</v>
      </c>
      <c r="U31" s="705">
        <f t="shared" si="11"/>
        <v>100</v>
      </c>
      <c r="V31" s="704" t="s">
        <v>14</v>
      </c>
      <c r="W31" s="705">
        <f t="shared" si="12"/>
        <v>100</v>
      </c>
      <c r="X31" s="1351"/>
      <c r="Y31" s="3746"/>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1" t="s">
        <v>1693</v>
      </c>
      <c r="Q32" s="1348">
        <f t="shared" si="8"/>
        <v>111</v>
      </c>
      <c r="R32" s="704" t="s">
        <v>14</v>
      </c>
      <c r="S32" s="705">
        <f t="shared" si="10"/>
        <v>100</v>
      </c>
      <c r="T32" s="704" t="s">
        <v>14</v>
      </c>
      <c r="U32" s="705">
        <f t="shared" si="11"/>
        <v>100</v>
      </c>
      <c r="V32" s="704" t="s">
        <v>14</v>
      </c>
      <c r="W32" s="705">
        <f t="shared" si="12"/>
        <v>100</v>
      </c>
      <c r="X32" s="1351"/>
      <c r="Y32" s="3750"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50"/>
      <c r="Q33" s="1348">
        <f t="shared" si="8"/>
        <v>111</v>
      </c>
      <c r="R33" s="707" t="s">
        <v>14</v>
      </c>
      <c r="S33" s="708">
        <f t="shared" si="10"/>
        <v>100</v>
      </c>
      <c r="T33" s="707" t="s">
        <v>14</v>
      </c>
      <c r="U33" s="708">
        <f t="shared" si="11"/>
        <v>100</v>
      </c>
      <c r="V33" s="707" t="s">
        <v>14</v>
      </c>
      <c r="W33" s="708">
        <f t="shared" si="12"/>
        <v>100</v>
      </c>
      <c r="X33" s="709"/>
      <c r="Y33" s="3750"/>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50"/>
      <c r="Q34" s="1348" t="str">
        <f>B34</f>
        <v>宗地面积</v>
      </c>
      <c r="R34" s="704" t="s">
        <v>14</v>
      </c>
      <c r="S34" s="705">
        <f t="shared" si="10"/>
        <v>100</v>
      </c>
      <c r="T34" s="704" t="s">
        <v>14</v>
      </c>
      <c r="U34" s="705">
        <f t="shared" si="11"/>
        <v>100</v>
      </c>
      <c r="V34" s="704" t="s">
        <v>14</v>
      </c>
      <c r="W34" s="705">
        <f t="shared" si="12"/>
        <v>100</v>
      </c>
      <c r="X34" s="1351"/>
      <c r="Y34" s="3750"/>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50"/>
      <c r="Q35" s="1348" t="str">
        <f t="shared" ref="Q35:Q40" si="14">B35</f>
        <v>宗地形状</v>
      </c>
      <c r="R35" s="704" t="s">
        <v>14</v>
      </c>
      <c r="S35" s="705">
        <f t="shared" si="10"/>
        <v>100</v>
      </c>
      <c r="T35" s="704" t="s">
        <v>14</v>
      </c>
      <c r="U35" s="705">
        <f t="shared" si="11"/>
        <v>100</v>
      </c>
      <c r="V35" s="704" t="s">
        <v>14</v>
      </c>
      <c r="W35" s="705">
        <f t="shared" si="12"/>
        <v>100</v>
      </c>
      <c r="X35" s="1351"/>
      <c r="Y35" s="3750"/>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50"/>
      <c r="Q36" s="1348" t="str">
        <f t="shared" si="14"/>
        <v>宗地开发程度</v>
      </c>
      <c r="R36" s="700" t="s">
        <v>14</v>
      </c>
      <c r="S36" s="701">
        <f t="shared" si="10"/>
        <v>100</v>
      </c>
      <c r="T36" s="700" t="s">
        <v>14</v>
      </c>
      <c r="U36" s="701">
        <f t="shared" si="11"/>
        <v>100</v>
      </c>
      <c r="V36" s="700" t="s">
        <v>14</v>
      </c>
      <c r="W36" s="701">
        <f t="shared" si="12"/>
        <v>100</v>
      </c>
      <c r="X36" s="702"/>
      <c r="Y36" s="3750"/>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50" t="s">
        <v>1693</v>
      </c>
      <c r="Q37" s="1348" t="str">
        <f t="shared" si="14"/>
        <v>工程地质条件</v>
      </c>
      <c r="R37" s="704" t="s">
        <v>14</v>
      </c>
      <c r="S37" s="705">
        <f t="shared" si="10"/>
        <v>100</v>
      </c>
      <c r="T37" s="704" t="s">
        <v>14</v>
      </c>
      <c r="U37" s="705">
        <f t="shared" si="11"/>
        <v>100</v>
      </c>
      <c r="V37" s="704" t="s">
        <v>14</v>
      </c>
      <c r="W37" s="705">
        <f t="shared" si="12"/>
        <v>100</v>
      </c>
      <c r="X37" s="1351"/>
      <c r="Y37" s="3750"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50"/>
      <c r="Q38" s="1348">
        <f t="shared" si="14"/>
        <v>111</v>
      </c>
      <c r="R38" s="704" t="s">
        <v>14</v>
      </c>
      <c r="S38" s="705">
        <f t="shared" si="10"/>
        <v>100</v>
      </c>
      <c r="T38" s="704" t="s">
        <v>14</v>
      </c>
      <c r="U38" s="705">
        <f t="shared" si="11"/>
        <v>100</v>
      </c>
      <c r="V38" s="704" t="s">
        <v>14</v>
      </c>
      <c r="W38" s="705">
        <f t="shared" si="12"/>
        <v>100</v>
      </c>
      <c r="X38" s="1351"/>
      <c r="Y38" s="3750"/>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50"/>
      <c r="Q39" s="1348">
        <f t="shared" si="14"/>
        <v>111</v>
      </c>
      <c r="R39" s="704" t="s">
        <v>14</v>
      </c>
      <c r="S39" s="705">
        <f t="shared" si="10"/>
        <v>100</v>
      </c>
      <c r="T39" s="704" t="s">
        <v>14</v>
      </c>
      <c r="U39" s="705">
        <f t="shared" si="11"/>
        <v>100</v>
      </c>
      <c r="V39" s="704" t="s">
        <v>14</v>
      </c>
      <c r="W39" s="705">
        <f t="shared" si="12"/>
        <v>100</v>
      </c>
      <c r="X39" s="1351"/>
      <c r="Y39" s="3750"/>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50"/>
      <c r="Q40" s="1348">
        <f t="shared" si="14"/>
        <v>111</v>
      </c>
      <c r="R40" s="707" t="s">
        <v>14</v>
      </c>
      <c r="S40" s="708">
        <f t="shared" si="10"/>
        <v>100</v>
      </c>
      <c r="T40" s="707" t="s">
        <v>14</v>
      </c>
      <c r="U40" s="708">
        <f t="shared" si="11"/>
        <v>100</v>
      </c>
      <c r="V40" s="707" t="s">
        <v>14</v>
      </c>
      <c r="W40" s="708">
        <f t="shared" si="12"/>
        <v>100</v>
      </c>
      <c r="X40" s="709"/>
      <c r="Y40" s="3750"/>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52" t="str">
        <f>A41</f>
        <v>成交单价</v>
      </c>
      <c r="Q41" s="3752"/>
      <c r="R41" s="3714">
        <f>E41</f>
        <v>0</v>
      </c>
      <c r="S41" s="3714"/>
      <c r="T41" s="3714">
        <f>G41</f>
        <v>0</v>
      </c>
      <c r="U41" s="3714"/>
      <c r="V41" s="3714">
        <f>I41</f>
        <v>0</v>
      </c>
      <c r="W41" s="3714"/>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52" t="str">
        <f>A42</f>
        <v>比较价值（元/平方米）</v>
      </c>
      <c r="Q42" s="3752"/>
      <c r="R42" s="3793" t="e">
        <f>ROUND(PRODUCT(R41,AA7:AA40),0)</f>
        <v>#DIV/0!</v>
      </c>
      <c r="S42" s="3793"/>
      <c r="T42" s="3793" t="e">
        <f>ROUND(PRODUCT(T41,AB7:AB40),0)</f>
        <v>#DIV/0!</v>
      </c>
      <c r="U42" s="3793"/>
      <c r="V42" s="3793" t="e">
        <f>ROUND(PRODUCT(V41,AC7:AC40),0)</f>
        <v>#DIV/0!</v>
      </c>
      <c r="W42" s="3793"/>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54" t="str">
        <f>A43</f>
        <v>估价对象XX用房的比较价值（楼面单价，元/平方米）</v>
      </c>
      <c r="Q43" s="3755"/>
      <c r="R43" s="3794" t="e">
        <f>ROUND(IF(D42="简单平均",AVERAGE(R42:W42),R42*F42+T42*H42+V42*J42),0)</f>
        <v>#DIV/0!</v>
      </c>
      <c r="S43" s="3794"/>
      <c r="T43" s="3794"/>
      <c r="U43" s="3794"/>
      <c r="V43" s="3794"/>
      <c r="W43" s="3794"/>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30" t="s">
        <v>1884</v>
      </c>
      <c r="H50" s="3795"/>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29"/>
      <c r="H51" s="3752"/>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89"/>
      <c r="B4" s="3522" t="s">
        <v>916</v>
      </c>
      <c r="C4" s="3522"/>
      <c r="D4" s="3522"/>
      <c r="E4" s="1489"/>
    </row>
    <row r="5" spans="1:5" ht="16.5" thickTop="1">
      <c r="A5" s="1487"/>
      <c r="B5" s="3520" t="s">
        <v>908</v>
      </c>
      <c r="C5" s="1490" t="s">
        <v>909</v>
      </c>
      <c r="D5" s="846">
        <f ca="1">结果表!H101</f>
        <v>136579</v>
      </c>
      <c r="E5" s="1487"/>
    </row>
    <row r="6" spans="1:5" ht="15.75">
      <c r="A6" s="1487"/>
      <c r="B6" s="3520"/>
      <c r="C6" s="1490" t="s">
        <v>910</v>
      </c>
      <c r="D6" s="846" t="str">
        <f ca="1">NUMBERSTRING(INT(D5*10000),2)&amp;"元整"</f>
        <v>壹拾叁亿陆仟伍佰柒拾玖万元整</v>
      </c>
      <c r="E6" s="1487"/>
    </row>
    <row r="7" spans="1:5" ht="15.75">
      <c r="A7" s="1487"/>
      <c r="B7" s="3525"/>
      <c r="C7" s="1491" t="s">
        <v>911</v>
      </c>
      <c r="D7" s="847">
        <f ca="1">结果表!H102</f>
        <v>27165</v>
      </c>
      <c r="E7" s="1487"/>
    </row>
    <row r="8" spans="1:5" ht="15.75">
      <c r="A8" s="1487"/>
      <c r="B8" s="3526" t="str">
        <f>结果表!E103</f>
        <v>2.估价师知悉的法定优先受偿款</v>
      </c>
      <c r="C8" s="1492" t="s">
        <v>912</v>
      </c>
      <c r="D8" s="847">
        <f>结果表!H103</f>
        <v>0</v>
      </c>
      <c r="E8" s="1487"/>
    </row>
    <row r="9" spans="1:5" ht="15.75">
      <c r="A9" s="1487"/>
      <c r="B9" s="3528"/>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9" t="str">
        <f>结果表!E107</f>
        <v>3.房地产抵押价值</v>
      </c>
      <c r="C13" s="1495" t="s">
        <v>909</v>
      </c>
      <c r="D13" s="849">
        <f ca="1">结果表!H107</f>
        <v>136579</v>
      </c>
      <c r="E13" s="1487"/>
    </row>
    <row r="14" spans="1:5" ht="15.75">
      <c r="A14" s="1487"/>
      <c r="B14" s="3520"/>
      <c r="C14" s="1490" t="s">
        <v>910</v>
      </c>
      <c r="D14" s="846" t="str">
        <f ca="1">NUMBERSTRING(INT(D13*10000),2)&amp;"元整"</f>
        <v>壹拾叁亿陆仟伍佰柒拾玖万元整</v>
      </c>
      <c r="E14" s="1487"/>
    </row>
    <row r="15" spans="1:5" ht="15">
      <c r="A15" s="1487"/>
      <c r="B15" s="3525"/>
      <c r="C15" s="1491" t="s">
        <v>920</v>
      </c>
      <c r="D15" s="855">
        <f ca="1">结果表!H108</f>
        <v>27165</v>
      </c>
      <c r="E15" s="1487"/>
    </row>
    <row r="16" spans="1:5" ht="15">
      <c r="A16" s="1487"/>
      <c r="B16" s="3526" t="str">
        <f>结果表!E109</f>
        <v>——</v>
      </c>
      <c r="C16" s="1495" t="s">
        <v>921</v>
      </c>
      <c r="D16" s="1496" t="str">
        <f>结果表!H109</f>
        <v>——</v>
      </c>
      <c r="E16" s="1487"/>
    </row>
    <row r="17" spans="1:5" ht="15.75">
      <c r="A17" s="1487"/>
      <c r="B17" s="3527"/>
      <c r="C17" s="1490" t="s">
        <v>922</v>
      </c>
      <c r="D17" s="846" t="e">
        <f>NUMBERSTRING(INT(D16*10000),2)&amp;"元整"</f>
        <v>#VALUE!</v>
      </c>
      <c r="E17" s="1487"/>
    </row>
    <row r="18" spans="1:5" ht="15">
      <c r="A18" s="1487"/>
      <c r="B18" s="3528"/>
      <c r="C18" s="1491" t="s">
        <v>911</v>
      </c>
      <c r="D18" s="855" t="str">
        <f>结果表!H110</f>
        <v>——</v>
      </c>
      <c r="E18" s="1487"/>
    </row>
    <row r="19" spans="1:5" ht="15.75">
      <c r="A19" s="1487"/>
      <c r="B19" s="3519" t="str">
        <f>结果表!E111</f>
        <v>4.抵押净值</v>
      </c>
      <c r="C19" s="1495" t="s">
        <v>909</v>
      </c>
      <c r="D19" s="847">
        <f ca="1">结果表!H111</f>
        <v>103496</v>
      </c>
      <c r="E19" s="1487"/>
    </row>
    <row r="20" spans="1:5" ht="15.75">
      <c r="A20" s="1487"/>
      <c r="B20" s="3520"/>
      <c r="C20" s="1490" t="s">
        <v>922</v>
      </c>
      <c r="D20" s="846" t="str">
        <f ca="1">NUMBERSTRING(INT(D19*10000),2)&amp;"元整"</f>
        <v>壹拾亿叁仟肆佰玖拾陆万元整</v>
      </c>
      <c r="E20" s="1487"/>
    </row>
    <row r="21" spans="1:5" ht="15.75" thickBot="1">
      <c r="A21" s="1487"/>
      <c r="B21" s="3521"/>
      <c r="C21" s="1497" t="s">
        <v>920</v>
      </c>
      <c r="D21" s="856">
        <f ca="1">结果表!H112</f>
        <v>20585</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22" t="s">
        <v>2079</v>
      </c>
      <c r="D1" s="3823"/>
      <c r="E1" s="3823"/>
      <c r="F1" s="3823"/>
      <c r="G1" s="3823"/>
      <c r="H1" s="3823"/>
      <c r="I1" s="3823"/>
      <c r="J1" s="3823"/>
      <c r="K1" s="3823"/>
      <c r="L1" s="3823"/>
      <c r="M1" s="3823"/>
      <c r="N1" s="3823"/>
      <c r="O1" s="3823"/>
      <c r="P1" s="3823"/>
      <c r="Q1" s="3823"/>
      <c r="R1" s="3823"/>
      <c r="S1" s="3824"/>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9" t="s">
        <v>27</v>
      </c>
      <c r="D22" s="3820"/>
      <c r="E22" s="3820"/>
      <c r="F22" s="3820"/>
      <c r="G22" s="3820"/>
      <c r="H22" s="3820"/>
      <c r="I22" s="3820"/>
      <c r="J22" s="3820"/>
      <c r="K22" s="3820"/>
      <c r="L22" s="3820"/>
      <c r="M22" s="3820"/>
      <c r="N22" s="3820"/>
      <c r="O22" s="3820"/>
      <c r="P22" s="3820"/>
      <c r="Q22" s="3821"/>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32" t="s">
        <v>2606</v>
      </c>
      <c r="B20" s="3825" t="s">
        <v>2627</v>
      </c>
      <c r="C20" s="3099" t="s">
        <v>2438</v>
      </c>
      <c r="D20" s="3100"/>
      <c r="E20" s="3101">
        <v>1</v>
      </c>
      <c r="F20" s="3102" t="s">
        <v>2439</v>
      </c>
      <c r="G20" s="3102"/>
    </row>
    <row r="21" spans="1:13" ht="19.5" customHeight="1">
      <c r="A21" s="3833"/>
      <c r="B21" s="3826"/>
      <c r="C21" s="3103" t="s">
        <v>2440</v>
      </c>
      <c r="D21" s="3104"/>
      <c r="E21" s="3105">
        <v>1</v>
      </c>
      <c r="F21" s="3102" t="s">
        <v>2441</v>
      </c>
      <c r="G21" s="3102"/>
    </row>
    <row r="22" spans="1:13" ht="19.5" customHeight="1">
      <c r="A22" s="3833"/>
      <c r="B22" s="3826"/>
      <c r="C22" s="3103" t="s">
        <v>2442</v>
      </c>
      <c r="D22" s="3104"/>
      <c r="E22" s="3105">
        <v>0.9</v>
      </c>
      <c r="F22" s="3102" t="s">
        <v>2443</v>
      </c>
      <c r="G22" s="3102"/>
    </row>
    <row r="23" spans="1:13" ht="19.5" customHeight="1">
      <c r="A23" s="3833"/>
      <c r="B23" s="3826"/>
      <c r="C23" s="3103" t="s">
        <v>2444</v>
      </c>
      <c r="D23" s="3104"/>
      <c r="E23" s="3105">
        <v>0.9</v>
      </c>
      <c r="F23" s="3102" t="s">
        <v>2445</v>
      </c>
      <c r="G23" s="3102"/>
    </row>
    <row r="24" spans="1:13" ht="19.5" customHeight="1">
      <c r="A24" s="3833"/>
      <c r="B24" s="3826"/>
      <c r="C24" s="3103" t="s">
        <v>2446</v>
      </c>
      <c r="D24" s="3104"/>
      <c r="E24" s="3105">
        <v>0.8</v>
      </c>
      <c r="F24" s="3102" t="s">
        <v>2447</v>
      </c>
      <c r="G24" s="3102"/>
    </row>
    <row r="25" spans="1:13" ht="19.5" customHeight="1" thickBot="1">
      <c r="A25" s="3834"/>
      <c r="B25" s="3827"/>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8" t="s">
        <v>2630</v>
      </c>
      <c r="B27" s="3825" t="s">
        <v>2611</v>
      </c>
      <c r="C27" s="3099" t="s">
        <v>2451</v>
      </c>
      <c r="D27" s="3100"/>
      <c r="E27" s="3101">
        <v>1</v>
      </c>
      <c r="F27" s="3102" t="s">
        <v>2452</v>
      </c>
      <c r="G27" s="3102"/>
    </row>
    <row r="28" spans="1:13" ht="19.5" customHeight="1">
      <c r="A28" s="3829"/>
      <c r="B28" s="3826"/>
      <c r="C28" s="3103" t="s">
        <v>2453</v>
      </c>
      <c r="D28" s="3104"/>
      <c r="E28" s="3105">
        <v>1</v>
      </c>
      <c r="F28" s="3102" t="s">
        <v>2454</v>
      </c>
      <c r="G28" s="3102"/>
    </row>
    <row r="29" spans="1:13" ht="19.5" customHeight="1">
      <c r="A29" s="3829"/>
      <c r="B29" s="3826"/>
      <c r="C29" s="3103" t="s">
        <v>2455</v>
      </c>
      <c r="D29" s="3104"/>
      <c r="E29" s="3105">
        <v>0.8</v>
      </c>
      <c r="F29" s="3102" t="s">
        <v>2456</v>
      </c>
      <c r="G29" s="3102"/>
    </row>
    <row r="30" spans="1:13" ht="19.5" customHeight="1">
      <c r="A30" s="3829"/>
      <c r="B30" s="3826"/>
      <c r="C30" s="3103" t="s">
        <v>2457</v>
      </c>
      <c r="D30" s="3104"/>
      <c r="E30" s="3105">
        <v>0.8</v>
      </c>
      <c r="F30" s="3102" t="s">
        <v>2458</v>
      </c>
      <c r="G30" s="3102"/>
    </row>
    <row r="31" spans="1:13" ht="19.5" customHeight="1">
      <c r="A31" s="3829"/>
      <c r="B31" s="3826"/>
      <c r="C31" s="3103" t="s">
        <v>2459</v>
      </c>
      <c r="D31" s="3104"/>
      <c r="E31" s="3105">
        <v>0.8</v>
      </c>
      <c r="F31" s="3102" t="s">
        <v>2460</v>
      </c>
      <c r="G31" s="3102"/>
    </row>
    <row r="32" spans="1:13" ht="19.5" customHeight="1">
      <c r="A32" s="3829"/>
      <c r="B32" s="3826"/>
      <c r="C32" s="3103" t="s">
        <v>2461</v>
      </c>
      <c r="D32" s="3104"/>
      <c r="E32" s="3105">
        <v>0.7</v>
      </c>
      <c r="F32" s="3102" t="s">
        <v>2462</v>
      </c>
      <c r="G32" s="3102"/>
    </row>
    <row r="33" spans="1:7" ht="19.5" customHeight="1">
      <c r="A33" s="3829"/>
      <c r="B33" s="3826"/>
      <c r="C33" s="3103" t="s">
        <v>2463</v>
      </c>
      <c r="D33" s="3104"/>
      <c r="E33" s="3105">
        <v>0.8</v>
      </c>
      <c r="F33" s="3102" t="s">
        <v>2464</v>
      </c>
      <c r="G33" s="3102"/>
    </row>
    <row r="34" spans="1:7" ht="19.5" customHeight="1">
      <c r="A34" s="3829"/>
      <c r="B34" s="3826"/>
      <c r="C34" s="3103" t="s">
        <v>2465</v>
      </c>
      <c r="D34" s="3104"/>
      <c r="E34" s="3105">
        <v>0.6</v>
      </c>
      <c r="F34" s="3102" t="s">
        <v>2466</v>
      </c>
      <c r="G34" s="3102"/>
    </row>
    <row r="35" spans="1:7" ht="19.5" customHeight="1">
      <c r="A35" s="3829"/>
      <c r="B35" s="3826"/>
      <c r="C35" s="3103" t="s">
        <v>2467</v>
      </c>
      <c r="D35" s="3104"/>
      <c r="E35" s="3105">
        <v>0.2</v>
      </c>
      <c r="F35" s="3102" t="s">
        <v>2468</v>
      </c>
      <c r="G35" s="3102"/>
    </row>
    <row r="36" spans="1:7" ht="19.5" customHeight="1">
      <c r="A36" s="3829"/>
      <c r="B36" s="3826"/>
      <c r="C36" s="3103" t="s">
        <v>2469</v>
      </c>
      <c r="D36" s="3104"/>
      <c r="E36" s="3105">
        <v>0.2</v>
      </c>
      <c r="F36" s="3102" t="s">
        <v>2470</v>
      </c>
      <c r="G36" s="3102"/>
    </row>
    <row r="37" spans="1:7" ht="19.5" customHeight="1">
      <c r="A37" s="3829"/>
      <c r="B37" s="3831" t="s">
        <v>2631</v>
      </c>
      <c r="C37" s="3103" t="s">
        <v>2471</v>
      </c>
      <c r="D37" s="3104"/>
      <c r="E37" s="3105">
        <v>0.6</v>
      </c>
      <c r="F37" s="3102" t="s">
        <v>2472</v>
      </c>
      <c r="G37" s="3102"/>
    </row>
    <row r="38" spans="1:7" ht="19.5" customHeight="1">
      <c r="A38" s="3829"/>
      <c r="B38" s="3826"/>
      <c r="C38" s="3103" t="s">
        <v>2473</v>
      </c>
      <c r="D38" s="3104"/>
      <c r="E38" s="3105">
        <v>0.6</v>
      </c>
      <c r="F38" s="3102" t="s">
        <v>2474</v>
      </c>
      <c r="G38" s="3102"/>
    </row>
    <row r="39" spans="1:7" ht="19.5" customHeight="1" thickBot="1">
      <c r="A39" s="3830"/>
      <c r="B39" s="3827"/>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32" t="s">
        <v>2609</v>
      </c>
      <c r="B41" s="3825" t="s">
        <v>2633</v>
      </c>
      <c r="C41" s="3099" t="s">
        <v>2478</v>
      </c>
      <c r="D41" s="3100"/>
      <c r="E41" s="3101">
        <v>1</v>
      </c>
      <c r="F41" s="3102" t="s">
        <v>2479</v>
      </c>
      <c r="G41" s="3102"/>
    </row>
    <row r="42" spans="1:7" ht="19.5" customHeight="1">
      <c r="A42" s="3833"/>
      <c r="B42" s="3826"/>
      <c r="C42" s="3103" t="s">
        <v>2480</v>
      </c>
      <c r="D42" s="3104"/>
      <c r="E42" s="3105">
        <v>1</v>
      </c>
      <c r="F42" s="3102" t="s">
        <v>2481</v>
      </c>
      <c r="G42" s="3102"/>
    </row>
    <row r="43" spans="1:7" ht="19.5" customHeight="1">
      <c r="A43" s="3833"/>
      <c r="B43" s="3835"/>
      <c r="C43" s="3103" t="s">
        <v>2482</v>
      </c>
      <c r="D43" s="3104"/>
      <c r="E43" s="3105">
        <v>1.5</v>
      </c>
      <c r="F43" s="3102" t="s">
        <v>2483</v>
      </c>
      <c r="G43" s="3102"/>
    </row>
    <row r="44" spans="1:7" ht="19.5" customHeight="1">
      <c r="A44" s="3833"/>
      <c r="B44" s="3114" t="s">
        <v>2634</v>
      </c>
      <c r="C44" s="3103" t="s">
        <v>2635</v>
      </c>
      <c r="D44" s="3104"/>
      <c r="E44" s="3105">
        <v>2</v>
      </c>
      <c r="F44" s="3102" t="s">
        <v>2484</v>
      </c>
      <c r="G44" s="3102"/>
    </row>
    <row r="45" spans="1:7" ht="19.5" customHeight="1">
      <c r="A45" s="3833"/>
      <c r="B45" s="3831" t="s">
        <v>2636</v>
      </c>
      <c r="C45" s="3103" t="s">
        <v>2485</v>
      </c>
      <c r="D45" s="3104"/>
      <c r="E45" s="3105">
        <v>1</v>
      </c>
      <c r="F45" s="3102" t="s">
        <v>2486</v>
      </c>
      <c r="G45" s="3102"/>
    </row>
    <row r="46" spans="1:7" ht="19.5" customHeight="1">
      <c r="A46" s="3833"/>
      <c r="B46" s="3826"/>
      <c r="C46" s="3103" t="s">
        <v>2487</v>
      </c>
      <c r="D46" s="3104"/>
      <c r="E46" s="3105">
        <v>1</v>
      </c>
      <c r="F46" s="3102" t="s">
        <v>2488</v>
      </c>
      <c r="G46" s="3102"/>
    </row>
    <row r="47" spans="1:7" ht="19.5" customHeight="1">
      <c r="A47" s="3833"/>
      <c r="B47" s="3826"/>
      <c r="C47" s="3103" t="s">
        <v>2489</v>
      </c>
      <c r="D47" s="3104"/>
      <c r="E47" s="3105">
        <v>1</v>
      </c>
      <c r="F47" s="3102" t="s">
        <v>2490</v>
      </c>
      <c r="G47" s="3102"/>
    </row>
    <row r="48" spans="1:7" ht="19.5" customHeight="1">
      <c r="A48" s="3833"/>
      <c r="B48" s="3826"/>
      <c r="C48" s="3103" t="s">
        <v>2491</v>
      </c>
      <c r="D48" s="3104"/>
      <c r="E48" s="3105">
        <v>1</v>
      </c>
      <c r="F48" s="3102" t="s">
        <v>2492</v>
      </c>
      <c r="G48" s="3102"/>
    </row>
    <row r="49" spans="1:7" ht="19.5" customHeight="1">
      <c r="A49" s="3833"/>
      <c r="B49" s="3826"/>
      <c r="C49" s="3103" t="s">
        <v>2493</v>
      </c>
      <c r="D49" s="3104"/>
      <c r="E49" s="3105">
        <v>1</v>
      </c>
      <c r="F49" s="3102" t="s">
        <v>2494</v>
      </c>
      <c r="G49" s="3102"/>
    </row>
    <row r="50" spans="1:7" ht="19.5" customHeight="1">
      <c r="A50" s="3833"/>
      <c r="B50" s="3826"/>
      <c r="C50" s="3103" t="s">
        <v>2495</v>
      </c>
      <c r="D50" s="3104"/>
      <c r="E50" s="3105">
        <v>1</v>
      </c>
      <c r="F50" s="3102" t="s">
        <v>2496</v>
      </c>
      <c r="G50" s="3102"/>
    </row>
    <row r="51" spans="1:7" ht="19.5" customHeight="1" thickBot="1">
      <c r="A51" s="3834"/>
      <c r="B51" s="3827"/>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31" t="s">
        <v>2650</v>
      </c>
      <c r="C73" s="3088" t="s">
        <v>2651</v>
      </c>
      <c r="D73" s="3088" t="s">
        <v>2652</v>
      </c>
      <c r="E73" s="3114">
        <v>0.2</v>
      </c>
      <c r="F73" s="3114">
        <v>25</v>
      </c>
    </row>
    <row r="74" spans="1:7" ht="24">
      <c r="A74" s="3114">
        <v>2</v>
      </c>
      <c r="B74" s="3826"/>
      <c r="C74" s="3088" t="s">
        <v>2653</v>
      </c>
      <c r="D74" s="3088" t="s">
        <v>2654</v>
      </c>
      <c r="E74" s="3114">
        <v>0.2</v>
      </c>
      <c r="F74" s="3114">
        <v>25</v>
      </c>
    </row>
    <row r="75" spans="1:7" ht="24">
      <c r="A75" s="3114">
        <v>3</v>
      </c>
      <c r="B75" s="3826"/>
      <c r="C75" s="3088" t="s">
        <v>2655</v>
      </c>
      <c r="D75" s="3088" t="s">
        <v>2656</v>
      </c>
      <c r="E75" s="3114">
        <v>0.2</v>
      </c>
      <c r="F75" s="3114">
        <v>25</v>
      </c>
    </row>
    <row r="76" spans="1:7" ht="13.5">
      <c r="A76" s="3114">
        <v>4</v>
      </c>
      <c r="B76" s="3826"/>
      <c r="C76" s="3088" t="s">
        <v>2657</v>
      </c>
      <c r="D76" s="3088" t="s">
        <v>2658</v>
      </c>
      <c r="E76" s="3114">
        <v>0.15</v>
      </c>
      <c r="F76" s="3114">
        <v>20</v>
      </c>
    </row>
    <row r="77" spans="1:7" ht="24">
      <c r="A77" s="3114">
        <v>5</v>
      </c>
      <c r="B77" s="3826"/>
      <c r="C77" s="3088" t="s">
        <v>2659</v>
      </c>
      <c r="D77" s="3088" t="s">
        <v>2660</v>
      </c>
      <c r="E77" s="3114">
        <v>0.15</v>
      </c>
      <c r="F77" s="3114">
        <v>20</v>
      </c>
    </row>
    <row r="78" spans="1:7" ht="24">
      <c r="A78" s="3114">
        <v>6</v>
      </c>
      <c r="B78" s="3826"/>
      <c r="C78" s="3088" t="s">
        <v>2661</v>
      </c>
      <c r="D78" s="3088" t="s">
        <v>2662</v>
      </c>
      <c r="E78" s="3114">
        <v>0.15</v>
      </c>
      <c r="F78" s="3114">
        <v>20</v>
      </c>
    </row>
    <row r="79" spans="1:7" ht="24">
      <c r="A79" s="3114">
        <v>7</v>
      </c>
      <c r="B79" s="3826"/>
      <c r="C79" s="3088" t="s">
        <v>2663</v>
      </c>
      <c r="D79" s="3088" t="s">
        <v>2664</v>
      </c>
      <c r="E79" s="3114">
        <v>0.15</v>
      </c>
      <c r="F79" s="3114">
        <v>20</v>
      </c>
    </row>
    <row r="80" spans="1:7" ht="24">
      <c r="A80" s="3114">
        <v>8</v>
      </c>
      <c r="B80" s="3826"/>
      <c r="C80" s="3088" t="s">
        <v>2665</v>
      </c>
      <c r="D80" s="3088" t="s">
        <v>2666</v>
      </c>
      <c r="E80" s="3114">
        <v>0.1</v>
      </c>
      <c r="F80" s="3114">
        <v>15</v>
      </c>
    </row>
    <row r="81" spans="1:6" ht="24">
      <c r="A81" s="3114">
        <v>9</v>
      </c>
      <c r="B81" s="3826"/>
      <c r="C81" s="3088" t="s">
        <v>2667</v>
      </c>
      <c r="D81" s="3088" t="s">
        <v>2668</v>
      </c>
      <c r="E81" s="3114">
        <v>0.1</v>
      </c>
      <c r="F81" s="3114">
        <v>15</v>
      </c>
    </row>
    <row r="82" spans="1:6" ht="24">
      <c r="A82" s="3114">
        <v>10</v>
      </c>
      <c r="B82" s="3826"/>
      <c r="C82" s="3088" t="s">
        <v>2669</v>
      </c>
      <c r="D82" s="3088" t="s">
        <v>2670</v>
      </c>
      <c r="E82" s="3114">
        <v>0.1</v>
      </c>
      <c r="F82" s="3114">
        <v>15</v>
      </c>
    </row>
    <row r="83" spans="1:6" ht="24">
      <c r="A83" s="3114">
        <v>11</v>
      </c>
      <c r="B83" s="3826"/>
      <c r="C83" s="3088" t="s">
        <v>2671</v>
      </c>
      <c r="D83" s="3088" t="s">
        <v>2672</v>
      </c>
      <c r="E83" s="3114">
        <v>0.1</v>
      </c>
      <c r="F83" s="3114">
        <v>15</v>
      </c>
    </row>
    <row r="84" spans="1:6" ht="24">
      <c r="A84" s="3114">
        <v>12</v>
      </c>
      <c r="B84" s="3826"/>
      <c r="C84" s="3088" t="s">
        <v>2673</v>
      </c>
      <c r="D84" s="3088" t="s">
        <v>2674</v>
      </c>
      <c r="E84" s="3114">
        <v>0.1</v>
      </c>
      <c r="F84" s="3114">
        <v>15</v>
      </c>
    </row>
    <row r="85" spans="1:6" ht="13.5">
      <c r="A85" s="3114">
        <v>13</v>
      </c>
      <c r="B85" s="3826"/>
      <c r="C85" s="3088" t="s">
        <v>2675</v>
      </c>
      <c r="D85" s="3088" t="s">
        <v>2676</v>
      </c>
      <c r="E85" s="3114">
        <v>0.1</v>
      </c>
      <c r="F85" s="3114">
        <v>15</v>
      </c>
    </row>
    <row r="86" spans="1:6" ht="13.5">
      <c r="A86" s="3114">
        <v>14</v>
      </c>
      <c r="B86" s="3826"/>
      <c r="C86" s="3088" t="s">
        <v>2677</v>
      </c>
      <c r="D86" s="3088" t="s">
        <v>2678</v>
      </c>
      <c r="E86" s="3114">
        <v>0.1</v>
      </c>
      <c r="F86" s="3114">
        <v>15</v>
      </c>
    </row>
    <row r="87" spans="1:6" ht="13.5">
      <c r="A87" s="3114">
        <v>15</v>
      </c>
      <c r="B87" s="3826"/>
      <c r="C87" s="3088" t="s">
        <v>2679</v>
      </c>
      <c r="D87" s="3088" t="s">
        <v>2680</v>
      </c>
      <c r="E87" s="3114">
        <v>0.1</v>
      </c>
      <c r="F87" s="3114">
        <v>15</v>
      </c>
    </row>
    <row r="88" spans="1:6" ht="24">
      <c r="A88" s="3114">
        <v>16</v>
      </c>
      <c r="B88" s="3826"/>
      <c r="C88" s="3088" t="s">
        <v>2681</v>
      </c>
      <c r="D88" s="3088" t="s">
        <v>2682</v>
      </c>
      <c r="E88" s="3114">
        <v>0.1</v>
      </c>
      <c r="F88" s="3114">
        <v>15</v>
      </c>
    </row>
    <row r="89" spans="1:6" ht="24">
      <c r="A89" s="3114">
        <v>17</v>
      </c>
      <c r="B89" s="3835"/>
      <c r="C89" s="3088" t="s">
        <v>2683</v>
      </c>
      <c r="D89" s="3088" t="s">
        <v>2684</v>
      </c>
      <c r="E89" s="3114">
        <v>0.1</v>
      </c>
      <c r="F89" s="3114">
        <v>15</v>
      </c>
    </row>
    <row r="90" spans="1:6" ht="13.5">
      <c r="A90" s="3114">
        <v>18</v>
      </c>
      <c r="B90" s="3831" t="s">
        <v>2685</v>
      </c>
      <c r="C90" s="3088" t="s">
        <v>2686</v>
      </c>
      <c r="D90" s="3088" t="s">
        <v>2687</v>
      </c>
      <c r="E90" s="3114">
        <v>0.2</v>
      </c>
      <c r="F90" s="3114">
        <v>25</v>
      </c>
    </row>
    <row r="91" spans="1:6" ht="24">
      <c r="A91" s="3114">
        <v>19</v>
      </c>
      <c r="B91" s="3826"/>
      <c r="C91" s="3088" t="s">
        <v>2688</v>
      </c>
      <c r="D91" s="3088" t="s">
        <v>2689</v>
      </c>
      <c r="E91" s="3114">
        <v>0.2</v>
      </c>
      <c r="F91" s="3114">
        <v>25</v>
      </c>
    </row>
    <row r="92" spans="1:6" ht="13.5">
      <c r="A92" s="3114">
        <v>20</v>
      </c>
      <c r="B92" s="3826"/>
      <c r="C92" s="3088" t="s">
        <v>2690</v>
      </c>
      <c r="D92" s="3088" t="s">
        <v>2691</v>
      </c>
      <c r="E92" s="3114">
        <v>0.15</v>
      </c>
      <c r="F92" s="3114">
        <v>20</v>
      </c>
    </row>
    <row r="93" spans="1:6" ht="13.5">
      <c r="A93" s="3114">
        <v>21</v>
      </c>
      <c r="B93" s="3826"/>
      <c r="C93" s="3088" t="s">
        <v>2692</v>
      </c>
      <c r="D93" s="3088" t="s">
        <v>2693</v>
      </c>
      <c r="E93" s="3114">
        <v>0.15</v>
      </c>
      <c r="F93" s="3114">
        <v>20</v>
      </c>
    </row>
    <row r="94" spans="1:6" ht="13.5">
      <c r="A94" s="3114">
        <v>22</v>
      </c>
      <c r="B94" s="3826"/>
      <c r="C94" s="3088" t="s">
        <v>2694</v>
      </c>
      <c r="D94" s="3088" t="s">
        <v>2695</v>
      </c>
      <c r="E94" s="3114">
        <v>0.15</v>
      </c>
      <c r="F94" s="3114">
        <v>20</v>
      </c>
    </row>
    <row r="95" spans="1:6" ht="36">
      <c r="A95" s="3114">
        <v>23</v>
      </c>
      <c r="B95" s="3826"/>
      <c r="C95" s="3088" t="s">
        <v>2696</v>
      </c>
      <c r="D95" s="3088" t="s">
        <v>2697</v>
      </c>
      <c r="E95" s="3114">
        <v>0.15</v>
      </c>
      <c r="F95" s="3114">
        <v>20</v>
      </c>
    </row>
    <row r="96" spans="1:6" ht="13.5">
      <c r="A96" s="3114">
        <v>24</v>
      </c>
      <c r="B96" s="3826"/>
      <c r="C96" s="3088" t="s">
        <v>2698</v>
      </c>
      <c r="D96" s="3088" t="s">
        <v>2699</v>
      </c>
      <c r="E96" s="3114">
        <v>0.1</v>
      </c>
      <c r="F96" s="3114">
        <v>15</v>
      </c>
    </row>
    <row r="97" spans="1:6" ht="13.5">
      <c r="A97" s="3114">
        <v>25</v>
      </c>
      <c r="B97" s="3826"/>
      <c r="C97" s="3088" t="s">
        <v>2700</v>
      </c>
      <c r="D97" s="3088" t="s">
        <v>2701</v>
      </c>
      <c r="E97" s="3114">
        <v>0.1</v>
      </c>
      <c r="F97" s="3114">
        <v>15</v>
      </c>
    </row>
    <row r="98" spans="1:6" ht="24">
      <c r="A98" s="3114">
        <v>26</v>
      </c>
      <c r="B98" s="3826"/>
      <c r="C98" s="3088" t="s">
        <v>2702</v>
      </c>
      <c r="D98" s="3088" t="s">
        <v>2703</v>
      </c>
      <c r="E98" s="3114">
        <v>0.1</v>
      </c>
      <c r="F98" s="3114">
        <v>15</v>
      </c>
    </row>
    <row r="99" spans="1:6" ht="24">
      <c r="A99" s="3114">
        <v>27</v>
      </c>
      <c r="B99" s="3826"/>
      <c r="C99" s="3088" t="s">
        <v>2704</v>
      </c>
      <c r="D99" s="3088" t="s">
        <v>2705</v>
      </c>
      <c r="E99" s="3114">
        <v>0.1</v>
      </c>
      <c r="F99" s="3114">
        <v>15</v>
      </c>
    </row>
    <row r="100" spans="1:6" ht="13.5">
      <c r="A100" s="3114">
        <v>28</v>
      </c>
      <c r="B100" s="3826"/>
      <c r="C100" s="3088" t="s">
        <v>2706</v>
      </c>
      <c r="D100" s="3088" t="s">
        <v>2707</v>
      </c>
      <c r="E100" s="3114">
        <v>0.1</v>
      </c>
      <c r="F100" s="3114">
        <v>15</v>
      </c>
    </row>
    <row r="101" spans="1:6" ht="13.5">
      <c r="A101" s="3114">
        <v>29</v>
      </c>
      <c r="B101" s="3826"/>
      <c r="C101" s="3088" t="s">
        <v>2708</v>
      </c>
      <c r="D101" s="3088" t="s">
        <v>2709</v>
      </c>
      <c r="E101" s="3114">
        <v>0.1</v>
      </c>
      <c r="F101" s="3114">
        <v>15</v>
      </c>
    </row>
    <row r="102" spans="1:6" ht="13.5">
      <c r="A102" s="3114">
        <v>30</v>
      </c>
      <c r="B102" s="3826"/>
      <c r="C102" s="3088" t="s">
        <v>2710</v>
      </c>
      <c r="D102" s="3088" t="s">
        <v>2711</v>
      </c>
      <c r="E102" s="3114">
        <v>0.1</v>
      </c>
      <c r="F102" s="3114">
        <v>15</v>
      </c>
    </row>
    <row r="103" spans="1:6" ht="24">
      <c r="A103" s="3114">
        <v>31</v>
      </c>
      <c r="B103" s="3826"/>
      <c r="C103" s="3088" t="s">
        <v>2712</v>
      </c>
      <c r="D103" s="3088" t="s">
        <v>2713</v>
      </c>
      <c r="E103" s="3114">
        <v>0.1</v>
      </c>
      <c r="F103" s="3114">
        <v>15</v>
      </c>
    </row>
    <row r="104" spans="1:6" ht="24">
      <c r="A104" s="3114">
        <v>32</v>
      </c>
      <c r="B104" s="3826"/>
      <c r="C104" s="3088" t="s">
        <v>2714</v>
      </c>
      <c r="D104" s="3088" t="s">
        <v>2715</v>
      </c>
      <c r="E104" s="3114">
        <v>0.1</v>
      </c>
      <c r="F104" s="3114">
        <v>15</v>
      </c>
    </row>
    <row r="105" spans="1:6" ht="24">
      <c r="A105" s="3114">
        <v>33</v>
      </c>
      <c r="B105" s="3826"/>
      <c r="C105" s="3088" t="s">
        <v>2716</v>
      </c>
      <c r="D105" s="3088" t="s">
        <v>2717</v>
      </c>
      <c r="E105" s="3114">
        <v>0.1</v>
      </c>
      <c r="F105" s="3114">
        <v>15</v>
      </c>
    </row>
    <row r="106" spans="1:6" ht="24">
      <c r="A106" s="3114">
        <v>34</v>
      </c>
      <c r="B106" s="3835"/>
      <c r="C106" s="3088" t="s">
        <v>2718</v>
      </c>
      <c r="D106" s="3088" t="s">
        <v>2719</v>
      </c>
      <c r="E106" s="3114">
        <v>0.1</v>
      </c>
      <c r="F106" s="3114">
        <v>15</v>
      </c>
    </row>
    <row r="107" spans="1:6" ht="24">
      <c r="A107" s="3114">
        <v>35</v>
      </c>
      <c r="B107" s="3831" t="s">
        <v>2720</v>
      </c>
      <c r="C107" s="3114" t="s">
        <v>2721</v>
      </c>
      <c r="D107" s="3088" t="s">
        <v>2722</v>
      </c>
      <c r="E107" s="3114">
        <v>0.15</v>
      </c>
      <c r="F107" s="3114">
        <v>20</v>
      </c>
    </row>
    <row r="108" spans="1:6" ht="13.5">
      <c r="A108" s="3114">
        <v>36</v>
      </c>
      <c r="B108" s="3826"/>
      <c r="C108" s="3114" t="s">
        <v>2723</v>
      </c>
      <c r="D108" s="3088" t="s">
        <v>2724</v>
      </c>
      <c r="E108" s="3114">
        <v>0.15</v>
      </c>
      <c r="F108" s="3114">
        <v>20</v>
      </c>
    </row>
    <row r="109" spans="1:6" ht="13.5">
      <c r="A109" s="3114">
        <v>37</v>
      </c>
      <c r="B109" s="3826"/>
      <c r="C109" s="3114" t="s">
        <v>2725</v>
      </c>
      <c r="D109" s="3088" t="s">
        <v>2726</v>
      </c>
      <c r="E109" s="3114">
        <v>0.15</v>
      </c>
      <c r="F109" s="3114">
        <v>20</v>
      </c>
    </row>
    <row r="110" spans="1:6" ht="13.5">
      <c r="A110" s="3114">
        <v>38</v>
      </c>
      <c r="B110" s="3826"/>
      <c r="C110" s="3114" t="s">
        <v>2727</v>
      </c>
      <c r="D110" s="3088" t="s">
        <v>2728</v>
      </c>
      <c r="E110" s="3114">
        <v>0.1</v>
      </c>
      <c r="F110" s="3114">
        <v>15</v>
      </c>
    </row>
    <row r="111" spans="1:6" ht="24">
      <c r="A111" s="3114">
        <v>39</v>
      </c>
      <c r="B111" s="3826"/>
      <c r="C111" s="3114" t="s">
        <v>2729</v>
      </c>
      <c r="D111" s="3088" t="s">
        <v>2730</v>
      </c>
      <c r="E111" s="3114">
        <v>0.1</v>
      </c>
      <c r="F111" s="3114">
        <v>15</v>
      </c>
    </row>
    <row r="112" spans="1:6" ht="24">
      <c r="A112" s="3114">
        <v>40</v>
      </c>
      <c r="B112" s="3835"/>
      <c r="C112" s="3114" t="s">
        <v>2731</v>
      </c>
      <c r="D112" s="3088" t="s">
        <v>2732</v>
      </c>
      <c r="E112" s="3114">
        <v>0.1</v>
      </c>
      <c r="F112" s="3114">
        <v>15</v>
      </c>
    </row>
    <row r="113" spans="1:6" ht="13.5">
      <c r="A113" s="3114">
        <v>41</v>
      </c>
      <c r="B113" s="3836" t="s">
        <v>2733</v>
      </c>
      <c r="C113" s="3114" t="s">
        <v>2734</v>
      </c>
      <c r="D113" s="3088" t="s">
        <v>2735</v>
      </c>
      <c r="E113" s="3114">
        <v>0.1</v>
      </c>
      <c r="F113" s="3114">
        <v>15</v>
      </c>
    </row>
    <row r="114" spans="1:6" ht="13.5">
      <c r="A114" s="3114">
        <v>42</v>
      </c>
      <c r="B114" s="3836"/>
      <c r="C114" s="3114" t="s">
        <v>2736</v>
      </c>
      <c r="D114" s="3088" t="s">
        <v>2737</v>
      </c>
      <c r="E114" s="3114">
        <v>0.1</v>
      </c>
      <c r="F114" s="3114">
        <v>15</v>
      </c>
    </row>
    <row r="115" spans="1:6" ht="24">
      <c r="A115" s="3114">
        <v>43</v>
      </c>
      <c r="B115" s="3836"/>
      <c r="C115" s="3114" t="s">
        <v>2738</v>
      </c>
      <c r="D115" s="3088" t="s">
        <v>2739</v>
      </c>
      <c r="E115" s="3114">
        <v>0.1</v>
      </c>
      <c r="F115" s="3114">
        <v>15</v>
      </c>
    </row>
    <row r="116" spans="1:6" ht="13.5">
      <c r="A116" s="3114">
        <v>44</v>
      </c>
      <c r="B116" s="3831" t="s">
        <v>2740</v>
      </c>
      <c r="C116" s="3114" t="s">
        <v>2741</v>
      </c>
      <c r="D116" s="3088" t="s">
        <v>2742</v>
      </c>
      <c r="E116" s="3114">
        <v>0.1</v>
      </c>
      <c r="F116" s="3114">
        <v>15</v>
      </c>
    </row>
    <row r="117" spans="1:6" ht="24">
      <c r="A117" s="3114">
        <v>45</v>
      </c>
      <c r="B117" s="3835"/>
      <c r="C117" s="3088" t="s">
        <v>2743</v>
      </c>
      <c r="D117" s="3088" t="s">
        <v>2744</v>
      </c>
      <c r="E117" s="3114">
        <v>0.1</v>
      </c>
      <c r="F117" s="3114">
        <v>15</v>
      </c>
    </row>
    <row r="118" spans="1:6" ht="24">
      <c r="A118" s="3114">
        <v>46</v>
      </c>
      <c r="B118" s="3831" t="s">
        <v>2745</v>
      </c>
      <c r="C118" s="3114" t="s">
        <v>2746</v>
      </c>
      <c r="D118" s="3088" t="s">
        <v>2747</v>
      </c>
      <c r="E118" s="3114">
        <v>0.1</v>
      </c>
      <c r="F118" s="3114">
        <v>15</v>
      </c>
    </row>
    <row r="119" spans="1:6" ht="24">
      <c r="A119" s="3114">
        <v>47</v>
      </c>
      <c r="B119" s="3835"/>
      <c r="C119" s="3114" t="s">
        <v>2748</v>
      </c>
      <c r="D119" s="3088" t="s">
        <v>2749</v>
      </c>
      <c r="E119" s="3114">
        <v>0.1</v>
      </c>
      <c r="F119" s="3114">
        <v>15</v>
      </c>
    </row>
    <row r="120" spans="1:6" ht="13.5">
      <c r="A120" s="3114">
        <v>48</v>
      </c>
      <c r="B120" s="3831" t="s">
        <v>2750</v>
      </c>
      <c r="C120" s="3114" t="s">
        <v>2751</v>
      </c>
      <c r="D120" s="3088" t="s">
        <v>2752</v>
      </c>
      <c r="E120" s="3114">
        <v>0.1</v>
      </c>
      <c r="F120" s="3114">
        <v>15</v>
      </c>
    </row>
    <row r="121" spans="1:6" ht="13.5">
      <c r="A121" s="3114">
        <v>49</v>
      </c>
      <c r="B121" s="3835"/>
      <c r="C121" s="3114" t="s">
        <v>2753</v>
      </c>
      <c r="D121" s="3088" t="s">
        <v>2754</v>
      </c>
      <c r="E121" s="3114">
        <v>0.1</v>
      </c>
      <c r="F121" s="3114">
        <v>15</v>
      </c>
    </row>
    <row r="122" spans="1:6" ht="24">
      <c r="A122" s="3114">
        <v>50</v>
      </c>
      <c r="B122" s="3836" t="s">
        <v>2755</v>
      </c>
      <c r="C122" s="3114" t="s">
        <v>2756</v>
      </c>
      <c r="D122" s="3088" t="s">
        <v>2757</v>
      </c>
      <c r="E122" s="3114">
        <v>0.1</v>
      </c>
      <c r="F122" s="3114">
        <v>15</v>
      </c>
    </row>
    <row r="123" spans="1:6" ht="24">
      <c r="A123" s="3114">
        <v>51</v>
      </c>
      <c r="B123" s="3836"/>
      <c r="C123" s="3114" t="s">
        <v>2758</v>
      </c>
      <c r="D123" s="3088" t="s">
        <v>2759</v>
      </c>
      <c r="E123" s="3114">
        <v>0.1</v>
      </c>
      <c r="F123" s="3114">
        <v>15</v>
      </c>
    </row>
    <row r="124" spans="1:6" ht="24">
      <c r="A124" s="3114">
        <v>52</v>
      </c>
      <c r="B124" s="3836" t="s">
        <v>2760</v>
      </c>
      <c r="C124" s="3114" t="s">
        <v>2761</v>
      </c>
      <c r="D124" s="3088" t="s">
        <v>2762</v>
      </c>
      <c r="E124" s="3114">
        <v>0.1</v>
      </c>
      <c r="F124" s="3114">
        <v>15</v>
      </c>
    </row>
    <row r="125" spans="1:6" ht="24">
      <c r="A125" s="3114">
        <v>53</v>
      </c>
      <c r="B125" s="3836"/>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36" t="s">
        <v>2768</v>
      </c>
      <c r="C127" s="3114" t="s">
        <v>2769</v>
      </c>
      <c r="D127" s="3088" t="s">
        <v>2770</v>
      </c>
      <c r="E127" s="3114">
        <v>0.1</v>
      </c>
      <c r="F127" s="3114">
        <v>15</v>
      </c>
    </row>
    <row r="128" spans="1:6" ht="13.5">
      <c r="A128" s="3114">
        <v>56</v>
      </c>
      <c r="B128" s="3836"/>
      <c r="C128" s="3114" t="s">
        <v>2771</v>
      </c>
      <c r="D128" s="3088" t="s">
        <v>2772</v>
      </c>
      <c r="E128" s="3114">
        <v>0.1</v>
      </c>
      <c r="F128" s="3114">
        <v>15</v>
      </c>
    </row>
    <row r="129" spans="1:6" ht="24">
      <c r="A129" s="3114">
        <v>57</v>
      </c>
      <c r="B129" s="3836"/>
      <c r="C129" s="3114" t="s">
        <v>2773</v>
      </c>
      <c r="D129" s="3088" t="s">
        <v>2774</v>
      </c>
      <c r="E129" s="3114">
        <v>0.1</v>
      </c>
      <c r="F129" s="3114">
        <v>15</v>
      </c>
    </row>
    <row r="130" spans="1:6" ht="24">
      <c r="A130" s="3114">
        <v>58</v>
      </c>
      <c r="B130" s="3836" t="s">
        <v>2775</v>
      </c>
      <c r="C130" s="3114" t="s">
        <v>2776</v>
      </c>
      <c r="D130" s="3088" t="s">
        <v>2777</v>
      </c>
      <c r="E130" s="3114">
        <v>0.1</v>
      </c>
      <c r="F130" s="3114">
        <v>15</v>
      </c>
    </row>
    <row r="131" spans="1:6" ht="13.5">
      <c r="A131" s="3114">
        <v>59</v>
      </c>
      <c r="B131" s="3836"/>
      <c r="C131" s="3114" t="s">
        <v>2778</v>
      </c>
      <c r="D131" s="3088" t="s">
        <v>2779</v>
      </c>
      <c r="E131" s="3114">
        <v>0.1</v>
      </c>
      <c r="F131" s="3114">
        <v>15</v>
      </c>
    </row>
    <row r="132" spans="1:6" ht="13.5">
      <c r="A132" s="3114">
        <v>60</v>
      </c>
      <c r="B132" s="3831" t="s">
        <v>2780</v>
      </c>
      <c r="C132" s="3114" t="s">
        <v>2781</v>
      </c>
      <c r="D132" s="3088" t="s">
        <v>2782</v>
      </c>
      <c r="E132" s="3114">
        <v>0.1</v>
      </c>
      <c r="F132" s="3114">
        <v>15</v>
      </c>
    </row>
    <row r="133" spans="1:6" ht="13.5">
      <c r="A133" s="3114">
        <v>61</v>
      </c>
      <c r="B133" s="3835"/>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36" t="s">
        <v>2788</v>
      </c>
      <c r="C135" s="3114" t="s">
        <v>2789</v>
      </c>
      <c r="D135" s="3088" t="s">
        <v>2790</v>
      </c>
      <c r="E135" s="3114">
        <v>0.1</v>
      </c>
      <c r="F135" s="3114">
        <v>15</v>
      </c>
    </row>
    <row r="136" spans="1:6" ht="13.5">
      <c r="A136" s="3114">
        <v>64</v>
      </c>
      <c r="B136" s="3836"/>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64451</v>
      </c>
      <c r="C2" s="2" t="s">
        <v>106</v>
      </c>
      <c r="D2" s="199"/>
      <c r="E2" s="199"/>
      <c r="F2" s="199"/>
      <c r="G2" s="199"/>
    </row>
    <row r="3" spans="1:7" s="200" customFormat="1" ht="18" customHeight="1" thickBot="1">
      <c r="A3" s="203" t="s">
        <v>58</v>
      </c>
      <c r="B3" s="204">
        <f ca="1">ROUND(B2*10000/'数据-汇总表'!E3,0)</f>
        <v>12819</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648</v>
      </c>
      <c r="D20" s="232"/>
      <c r="E20" s="232"/>
      <c r="F20" s="233">
        <f>'数据-取费表'!B37</f>
        <v>0.03</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1540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22</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3340</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3340</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29410</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27904</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1257</v>
      </c>
      <c r="D35" s="220"/>
      <c r="E35" s="220"/>
      <c r="F35" s="259">
        <f>'数据-取费表'!B33</f>
        <v>0.05</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837</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992</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963</v>
      </c>
      <c r="D42" s="238"/>
      <c r="E42" s="238"/>
      <c r="F42" s="239"/>
      <c r="G42" s="3701" t="s">
        <v>94</v>
      </c>
    </row>
    <row r="43" spans="1:7" ht="13.5" customHeight="1">
      <c r="A43" s="776" t="s">
        <v>346</v>
      </c>
      <c r="B43" s="215" t="s">
        <v>425</v>
      </c>
      <c r="C43" s="238">
        <f ca="1">ROUND(IF('数据-取费表'!B22&lt;=1,C39*F22*'数据-取费表'!B21/2,C39*(POWER((1+F22),'数据-取费表'!B21/2)-1)),0)</f>
        <v>29</v>
      </c>
      <c r="D43" s="238"/>
      <c r="E43" s="238"/>
      <c r="F43" s="239"/>
      <c r="G43" s="3702"/>
    </row>
    <row r="44" spans="1:7" ht="13.5" customHeight="1">
      <c r="A44" s="776" t="s">
        <v>347</v>
      </c>
      <c r="B44" s="215" t="s">
        <v>427</v>
      </c>
      <c r="C44" s="238">
        <f ca="1">ROUND(IF('数据-取费表'!B22&lt;=1,C40*F22*'数据-取费表'!B21/2,C40*(POWER((1+F22),'数据-取费表'!B21/2)-1)),4)</f>
        <v>6.9999999999999999E-4</v>
      </c>
      <c r="D44" s="238"/>
      <c r="E44" s="238"/>
      <c r="F44" s="239"/>
      <c r="G44" s="3703"/>
    </row>
    <row r="45" spans="1:7" s="214" customFormat="1" ht="13.5" customHeight="1">
      <c r="A45" s="773" t="s">
        <v>340</v>
      </c>
      <c r="B45" s="244" t="s">
        <v>85</v>
      </c>
      <c r="C45" s="245">
        <f>C46</f>
        <v>4311</v>
      </c>
      <c r="D45" s="235">
        <f>C47</f>
        <v>3.0000000000000001E-3</v>
      </c>
      <c r="E45" s="236" t="s">
        <v>102</v>
      </c>
      <c r="F45" s="246"/>
      <c r="G45" s="247" t="s">
        <v>433</v>
      </c>
    </row>
    <row r="46" spans="1:7" s="214" customFormat="1" ht="13.5" customHeight="1">
      <c r="A46" s="776" t="s">
        <v>348</v>
      </c>
      <c r="B46" s="248" t="s">
        <v>426</v>
      </c>
      <c r="C46" s="249">
        <f>ROUND((C33+C39)*F27,0)</f>
        <v>4311</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36885</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35041</v>
      </c>
      <c r="D51" s="232"/>
      <c r="E51" s="232"/>
      <c r="F51" s="264"/>
      <c r="G51" s="234" t="s">
        <v>37</v>
      </c>
    </row>
    <row r="52" spans="1:7" s="208" customFormat="1" ht="16.5" thickBot="1">
      <c r="A52" s="265" t="s">
        <v>38</v>
      </c>
      <c r="B52" s="266"/>
      <c r="C52" s="267">
        <f ca="1">C31+C51</f>
        <v>64451</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74" t="str">
        <f>项目基本情况!S2</f>
        <v>北京市房地产</v>
      </c>
      <c r="B2" s="3675"/>
      <c r="C2" s="3675"/>
      <c r="D2" s="3675"/>
      <c r="E2" s="3675"/>
      <c r="F2" s="3675"/>
      <c r="G2" s="3675"/>
      <c r="H2" s="3675"/>
      <c r="I2" s="3676"/>
    </row>
    <row r="3" spans="1:12" ht="12.75">
      <c r="A3" s="3678" t="s">
        <v>1261</v>
      </c>
      <c r="B3" s="3679"/>
      <c r="C3" s="3679"/>
      <c r="D3" s="3679"/>
      <c r="E3" s="3679"/>
      <c r="F3" s="3679"/>
      <c r="G3" s="3679"/>
      <c r="H3" s="3679"/>
      <c r="I3" s="3679"/>
    </row>
    <row r="4" spans="1:12" ht="14.25">
      <c r="A4" s="1750" t="s">
        <v>1262</v>
      </c>
      <c r="B4" s="1751" t="s">
        <v>1263</v>
      </c>
      <c r="C4" s="1752" t="s">
        <v>3454</v>
      </c>
      <c r="D4" s="1752" t="s">
        <v>3450</v>
      </c>
      <c r="E4" s="3683" t="s">
        <v>1264</v>
      </c>
      <c r="F4" s="3684"/>
      <c r="G4" s="3684"/>
      <c r="H4" s="3684"/>
      <c r="I4" s="3685"/>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22" t="s">
        <v>1265</v>
      </c>
      <c r="B5" s="3677">
        <v>25</v>
      </c>
      <c r="C5" s="3680"/>
      <c r="D5" s="3668"/>
      <c r="E5" s="131" t="s">
        <v>1266</v>
      </c>
      <c r="F5" s="1753"/>
      <c r="G5" s="1753"/>
      <c r="H5" s="1753"/>
      <c r="I5" s="1369"/>
    </row>
    <row r="6" spans="1:12" ht="12.75">
      <c r="A6" s="3622"/>
      <c r="B6" s="3677"/>
      <c r="C6" s="3682"/>
      <c r="D6" s="3668"/>
      <c r="E6" s="131" t="s">
        <v>1267</v>
      </c>
      <c r="F6" s="1753"/>
      <c r="G6" s="1753"/>
      <c r="H6" s="1753"/>
      <c r="I6" s="1369"/>
    </row>
    <row r="7" spans="1:12" ht="12.75">
      <c r="A7" s="3622"/>
      <c r="B7" s="3677"/>
      <c r="C7" s="3681"/>
      <c r="D7" s="3668"/>
      <c r="E7" s="131" t="s">
        <v>1268</v>
      </c>
      <c r="F7" s="1753"/>
      <c r="G7" s="1753"/>
      <c r="H7" s="1753"/>
      <c r="I7" s="1369"/>
    </row>
    <row r="8" spans="1:12" ht="12.75">
      <c r="A8" s="3622" t="s">
        <v>1269</v>
      </c>
      <c r="B8" s="3677">
        <v>15</v>
      </c>
      <c r="C8" s="3680"/>
      <c r="D8" s="3668"/>
      <c r="E8" s="131" t="s">
        <v>1270</v>
      </c>
      <c r="F8" s="1753"/>
      <c r="G8" s="1753"/>
      <c r="H8" s="1753"/>
      <c r="I8" s="1369"/>
    </row>
    <row r="9" spans="1:12" ht="12.75">
      <c r="A9" s="3622"/>
      <c r="B9" s="3677"/>
      <c r="C9" s="3681"/>
      <c r="D9" s="3668"/>
      <c r="E9" s="131" t="s">
        <v>1271</v>
      </c>
      <c r="F9" s="1753"/>
      <c r="G9" s="1753"/>
      <c r="H9" s="1753"/>
      <c r="I9" s="1369"/>
    </row>
    <row r="10" spans="1:12" ht="12.75">
      <c r="A10" s="3622" t="s">
        <v>1272</v>
      </c>
      <c r="B10" s="3677">
        <v>15</v>
      </c>
      <c r="C10" s="3680"/>
      <c r="D10" s="3668"/>
      <c r="E10" s="131" t="s">
        <v>1273</v>
      </c>
      <c r="F10" s="1753"/>
      <c r="G10" s="1753"/>
      <c r="H10" s="1753"/>
      <c r="I10" s="1369"/>
    </row>
    <row r="11" spans="1:12" ht="12.75">
      <c r="A11" s="3622"/>
      <c r="B11" s="3677"/>
      <c r="C11" s="3681"/>
      <c r="D11" s="3668"/>
      <c r="E11" s="131" t="s">
        <v>1274</v>
      </c>
      <c r="F11" s="1753"/>
      <c r="G11" s="1753"/>
      <c r="H11" s="1753"/>
      <c r="I11" s="1369"/>
    </row>
    <row r="12" spans="1:12" ht="12.75">
      <c r="A12" s="3622" t="s">
        <v>1275</v>
      </c>
      <c r="B12" s="3677">
        <v>15</v>
      </c>
      <c r="C12" s="3680"/>
      <c r="D12" s="3668"/>
      <c r="E12" s="131" t="s">
        <v>1276</v>
      </c>
      <c r="F12" s="1753"/>
      <c r="G12" s="1753"/>
      <c r="H12" s="1753"/>
      <c r="I12" s="1369"/>
    </row>
    <row r="13" spans="1:12" ht="12.75">
      <c r="A13" s="3622"/>
      <c r="B13" s="3677"/>
      <c r="C13" s="3681"/>
      <c r="D13" s="3668"/>
      <c r="E13" s="131" t="s">
        <v>1277</v>
      </c>
      <c r="F13" s="1753"/>
      <c r="G13" s="1753"/>
      <c r="H13" s="1753"/>
      <c r="I13" s="1369"/>
    </row>
    <row r="14" spans="1:12" ht="12.75">
      <c r="A14" s="3622" t="s">
        <v>1278</v>
      </c>
      <c r="B14" s="3677">
        <v>30</v>
      </c>
      <c r="C14" s="3837">
        <v>55</v>
      </c>
      <c r="D14" s="3840">
        <v>45</v>
      </c>
      <c r="E14" s="131" t="s">
        <v>1279</v>
      </c>
      <c r="F14" s="1753"/>
      <c r="G14" s="1753"/>
      <c r="H14" s="1753"/>
      <c r="I14" s="1369"/>
    </row>
    <row r="15" spans="1:12" ht="12.75">
      <c r="A15" s="3622"/>
      <c r="B15" s="3677"/>
      <c r="C15" s="3838"/>
      <c r="D15" s="3840"/>
      <c r="E15" s="131" t="s">
        <v>1280</v>
      </c>
      <c r="F15" s="1753"/>
      <c r="G15" s="1753"/>
      <c r="H15" s="1753"/>
      <c r="I15" s="1369"/>
    </row>
    <row r="16" spans="1:12" ht="12.75">
      <c r="A16" s="3622"/>
      <c r="B16" s="3677"/>
      <c r="C16" s="3839"/>
      <c r="D16" s="3840"/>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99" t="s">
        <v>2126</v>
      </c>
      <c r="F18" s="3700"/>
      <c r="G18" s="3700"/>
      <c r="H18" s="3700"/>
      <c r="I18" s="3700"/>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92" t="s">
        <v>1296</v>
      </c>
      <c r="B24" s="1758" t="s">
        <v>1288</v>
      </c>
      <c r="C24" s="136">
        <f>IF(B30=0,0,D30)</f>
        <v>0</v>
      </c>
      <c r="D24" s="1765"/>
      <c r="E24" s="129"/>
      <c r="F24" s="129"/>
      <c r="G24" s="129"/>
      <c r="H24" s="129"/>
      <c r="I24" s="129"/>
    </row>
    <row r="25" spans="1:36" ht="14.25">
      <c r="A25" s="3693"/>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69" t="s">
        <v>1309</v>
      </c>
      <c r="B36" s="1783" t="s">
        <v>1310</v>
      </c>
      <c r="C36" s="145"/>
      <c r="D36" s="1784"/>
      <c r="E36" s="1785"/>
      <c r="F36" s="1786"/>
      <c r="G36" s="129"/>
      <c r="H36" s="129"/>
      <c r="I36" s="129"/>
    </row>
    <row r="37" spans="1:15" ht="15.75" thickBot="1">
      <c r="A37" s="3670"/>
      <c r="B37" s="1670" t="s">
        <v>1311</v>
      </c>
      <c r="C37" s="147"/>
      <c r="D37" s="1135"/>
      <c r="E37" s="1135"/>
      <c r="F37" s="1786"/>
      <c r="G37" s="129"/>
      <c r="H37" s="129"/>
      <c r="I37" s="129"/>
    </row>
    <row r="38" spans="1:15" ht="15.75" thickBot="1">
      <c r="A38" s="3671"/>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9" t="s">
        <v>1323</v>
      </c>
      <c r="B45" s="3690"/>
      <c r="C45" s="3691"/>
      <c r="D45" s="155" t="e">
        <f ca="1">ROUND(H101*F45,0)</f>
        <v>#N/A</v>
      </c>
      <c r="E45" s="156" t="s">
        <v>1324</v>
      </c>
      <c r="F45" s="157">
        <v>1</v>
      </c>
      <c r="G45" s="158" t="s">
        <v>1325</v>
      </c>
      <c r="H45" s="129"/>
      <c r="I45" s="129"/>
      <c r="J45" s="3609" t="s">
        <v>1326</v>
      </c>
      <c r="K45" s="3609"/>
      <c r="L45" s="3609"/>
      <c r="M45" s="3609"/>
      <c r="N45" s="3609"/>
      <c r="O45" s="3609"/>
    </row>
    <row r="46" spans="1:15" ht="14.25" customHeight="1">
      <c r="A46" s="3686" t="s">
        <v>1327</v>
      </c>
      <c r="B46" s="3687"/>
      <c r="C46" s="3687"/>
      <c r="D46" s="3687"/>
      <c r="E46" s="3687"/>
      <c r="F46" s="3687"/>
      <c r="G46" s="3688"/>
      <c r="H46" s="1802"/>
      <c r="I46" s="159"/>
      <c r="J46" s="3462">
        <v>1</v>
      </c>
      <c r="K46" s="3610" t="s">
        <v>1328</v>
      </c>
      <c r="L46" s="3610"/>
      <c r="M46" s="3611"/>
      <c r="N46" s="3611"/>
      <c r="O46" s="3611"/>
    </row>
    <row r="47" spans="1:15" ht="12" customHeight="1">
      <c r="A47" s="160" t="s">
        <v>1329</v>
      </c>
      <c r="B47" s="161"/>
      <c r="C47" s="162"/>
      <c r="D47" s="1083" t="s">
        <v>1330</v>
      </c>
      <c r="E47" s="302" t="s">
        <v>1331</v>
      </c>
      <c r="F47" s="163" t="s">
        <v>1332</v>
      </c>
      <c r="G47" s="2542" t="s">
        <v>1333</v>
      </c>
      <c r="H47" s="2543"/>
      <c r="I47" s="159"/>
      <c r="J47" s="3462">
        <v>2</v>
      </c>
      <c r="K47" s="3610" t="s">
        <v>1334</v>
      </c>
      <c r="L47" s="3610"/>
      <c r="M47" s="3612">
        <f>'数据-取费表'!B2</f>
        <v>45457</v>
      </c>
      <c r="N47" s="3612"/>
      <c r="O47" s="3612"/>
    </row>
    <row r="48" spans="1:15" ht="25.5">
      <c r="A48" s="3672" t="s">
        <v>1335</v>
      </c>
      <c r="B48" s="3673"/>
      <c r="C48" s="3673"/>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10" t="s">
        <v>1337</v>
      </c>
      <c r="L48" s="3610"/>
      <c r="M48" s="3613" t="e">
        <f ca="1">H101</f>
        <v>#N/A</v>
      </c>
      <c r="N48" s="3613"/>
      <c r="O48" s="3613"/>
    </row>
    <row r="49" spans="1:35" ht="25.5" customHeight="1">
      <c r="A49" s="3472" t="s">
        <v>1338</v>
      </c>
      <c r="B49" s="3658" t="s">
        <v>1339</v>
      </c>
      <c r="C49" s="3658"/>
      <c r="D49" s="1586">
        <v>0</v>
      </c>
      <c r="E49" s="324" t="s">
        <v>1340</v>
      </c>
      <c r="F49" s="3455" t="s">
        <v>28</v>
      </c>
      <c r="G49" s="3641"/>
      <c r="H49" s="2306" t="s">
        <v>2129</v>
      </c>
      <c r="I49" s="2307"/>
      <c r="J49" s="3462">
        <v>4</v>
      </c>
      <c r="K49" s="3610" t="str">
        <f>IF(项目基本情况!E8="房地产抵押价值","房地产抵押价值","抵押担保权已注销时的房地产抵押价值")</f>
        <v>房地产抵押价值</v>
      </c>
      <c r="L49" s="3610"/>
      <c r="M49" s="3613" t="e">
        <f ca="1">IF(项目基本情况!E8="房地产抵押价值",H107,H109)</f>
        <v>#N/A</v>
      </c>
      <c r="N49" s="3613"/>
      <c r="O49" s="3613"/>
    </row>
    <row r="50" spans="1:35" ht="25.5" customHeight="1">
      <c r="A50" s="2547"/>
      <c r="B50" s="3658" t="s">
        <v>1341</v>
      </c>
      <c r="C50" s="3658"/>
      <c r="D50" s="2548"/>
      <c r="E50" s="332"/>
      <c r="F50" s="3455"/>
      <c r="G50" s="3642"/>
      <c r="H50" s="2308" t="s">
        <v>2130</v>
      </c>
      <c r="I50" s="2307"/>
      <c r="J50" s="3609" t="s">
        <v>1342</v>
      </c>
      <c r="K50" s="3609"/>
      <c r="L50" s="3609"/>
      <c r="M50" s="3609"/>
      <c r="N50" s="3609"/>
      <c r="O50" s="3609"/>
    </row>
    <row r="51" spans="1:35" ht="20.45" customHeight="1">
      <c r="A51" s="2549"/>
      <c r="B51" s="3658" t="s">
        <v>1343</v>
      </c>
      <c r="C51" s="3658"/>
      <c r="D51" s="1083"/>
      <c r="E51" s="327"/>
      <c r="F51" s="3455"/>
      <c r="G51" s="3643"/>
      <c r="H51" s="2308" t="s">
        <v>2131</v>
      </c>
      <c r="I51" s="2307"/>
      <c r="J51" s="3456" t="s">
        <v>1344</v>
      </c>
      <c r="K51" s="3610" t="s">
        <v>1345</v>
      </c>
      <c r="L51" s="3610"/>
      <c r="M51" s="3456" t="s">
        <v>1346</v>
      </c>
      <c r="N51" s="3456" t="s">
        <v>1347</v>
      </c>
      <c r="O51" s="3456" t="s">
        <v>1348</v>
      </c>
    </row>
    <row r="52" spans="1:35" ht="24" customHeight="1">
      <c r="A52" s="3475" t="s">
        <v>1349</v>
      </c>
      <c r="B52" s="3658" t="s">
        <v>1350</v>
      </c>
      <c r="C52" s="3658"/>
      <c r="D52" s="1083" t="e">
        <f ca="1">ROUND(D45*'数据-取费表'!B41/(1+'数据-取费表'!C42),0)</f>
        <v>#N/A</v>
      </c>
      <c r="E52" s="3473" t="s">
        <v>1351</v>
      </c>
      <c r="F52" s="2550">
        <f>'数据-取费表'!B41</f>
        <v>5.6000000000000001E-2</v>
      </c>
      <c r="G52" s="2551"/>
      <c r="H52" s="2540"/>
      <c r="I52" s="1803"/>
      <c r="J52" s="3462">
        <v>1</v>
      </c>
      <c r="K52" s="3635" t="s">
        <v>1352</v>
      </c>
      <c r="L52" s="3635"/>
      <c r="M52" s="2521" t="b">
        <f>D48</f>
        <v>0</v>
      </c>
      <c r="N52" s="3462" t="str">
        <f>E48</f>
        <v>销售额×税（费）率</v>
      </c>
      <c r="O52" s="2522">
        <f>F48</f>
        <v>5.6000000000000001E-2</v>
      </c>
    </row>
    <row r="53" spans="1:35" ht="12" customHeight="1">
      <c r="A53" s="3475" t="s">
        <v>1353</v>
      </c>
      <c r="B53" s="3659" t="s">
        <v>2286</v>
      </c>
      <c r="C53" s="3660"/>
      <c r="D53" s="1083" t="e">
        <f ca="1">ROUND(D45*'数据-取费表'!B41/(1+'数据-取费表'!C42),0)</f>
        <v>#N/A</v>
      </c>
      <c r="E53" s="3473" t="s">
        <v>1351</v>
      </c>
      <c r="F53" s="2550">
        <f>'数据-取费表'!B41</f>
        <v>5.6000000000000001E-2</v>
      </c>
      <c r="G53" s="2551"/>
      <c r="H53" s="2540"/>
      <c r="I53" s="1803"/>
      <c r="J53" s="3462">
        <v>2</v>
      </c>
      <c r="K53" s="3635" t="s">
        <v>1354</v>
      </c>
      <c r="L53" s="3635"/>
      <c r="M53" s="2521" t="e">
        <f t="shared" ref="M53:O54" ca="1" si="0">D55</f>
        <v>#N/A</v>
      </c>
      <c r="N53" s="3462" t="str">
        <f t="shared" si="0"/>
        <v>销售额×税（费）率</v>
      </c>
      <c r="O53" s="2522" t="str">
        <f t="shared" si="0"/>
        <v>免征</v>
      </c>
    </row>
    <row r="54" spans="1:35" ht="12" customHeight="1">
      <c r="A54" s="3475" t="s">
        <v>1355</v>
      </c>
      <c r="B54" s="3659" t="s">
        <v>2287</v>
      </c>
      <c r="C54" s="3660"/>
      <c r="D54" s="1083" t="e">
        <f ca="1">C68</f>
        <v>#N/A</v>
      </c>
      <c r="E54" s="327" t="s">
        <v>1356</v>
      </c>
      <c r="F54" s="2550">
        <f>'数据-取费表'!B41</f>
        <v>5.6000000000000001E-2</v>
      </c>
      <c r="G54" s="2551"/>
      <c r="H54" s="2552"/>
      <c r="I54" s="1803"/>
      <c r="J54" s="3462">
        <v>3</v>
      </c>
      <c r="K54" s="3635" t="s">
        <v>1357</v>
      </c>
      <c r="L54" s="3635"/>
      <c r="M54" s="2521" t="e">
        <f t="shared" ca="1" si="0"/>
        <v>#N/A</v>
      </c>
      <c r="N54" s="3462" t="str">
        <f t="shared" si="0"/>
        <v>增值额×税（费）率</v>
      </c>
      <c r="O54" s="2523" t="str">
        <f t="shared" si="0"/>
        <v>免征</v>
      </c>
    </row>
    <row r="55" spans="1:35" ht="24" customHeight="1">
      <c r="A55" s="3695" t="s">
        <v>1358</v>
      </c>
      <c r="B55" s="3673"/>
      <c r="C55" s="3673"/>
      <c r="D55" s="3457" t="e">
        <f ca="1">IF(H55="个人住宅",0,ROUND(D45*I55,0))</f>
        <v>#N/A</v>
      </c>
      <c r="E55" s="3473" t="s">
        <v>1359</v>
      </c>
      <c r="F55" s="2550" t="str">
        <f>IF(H55="正常",I55,"免征")</f>
        <v>免征</v>
      </c>
      <c r="G55" s="2551"/>
      <c r="H55" s="2546"/>
      <c r="I55" s="165">
        <f>'数据-取费表'!B49</f>
        <v>5.0000000000000001E-4</v>
      </c>
      <c r="J55" s="3462">
        <f>IF(H59="非个人房产","",4)</f>
        <v>4</v>
      </c>
      <c r="K55" s="3635" t="str">
        <f>IF(H59="非个人房产","——","个人所得税")</f>
        <v>个人所得税</v>
      </c>
      <c r="L55" s="3635"/>
      <c r="M55" s="2524" t="e">
        <f ca="1">D59</f>
        <v>#N/A</v>
      </c>
      <c r="N55" s="3463" t="str">
        <f>E59</f>
        <v>差额计税</v>
      </c>
      <c r="O55" s="2525">
        <f>F59</f>
        <v>0.01</v>
      </c>
    </row>
    <row r="56" spans="1:35" ht="24.75">
      <c r="A56" s="3695" t="s">
        <v>1360</v>
      </c>
      <c r="B56" s="3673"/>
      <c r="C56" s="3673"/>
      <c r="D56" s="3457" t="e">
        <f ca="1">IF(H56="个人住宅",D57,D58)</f>
        <v>#N/A</v>
      </c>
      <c r="E56" s="3473" t="s">
        <v>1361</v>
      </c>
      <c r="F56" s="2550" t="str">
        <f>IF(H56="正常",F58,"免征")</f>
        <v>免征</v>
      </c>
      <c r="G56" s="2553" t="s">
        <v>1362</v>
      </c>
      <c r="H56" s="2554"/>
      <c r="I56" s="1804"/>
      <c r="J56" s="3462"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3475" t="s">
        <v>1338</v>
      </c>
      <c r="B57" s="3659" t="s">
        <v>1363</v>
      </c>
      <c r="C57" s="3660"/>
      <c r="D57" s="1586">
        <v>0</v>
      </c>
      <c r="E57" s="324" t="s">
        <v>1340</v>
      </c>
      <c r="F57" s="302"/>
      <c r="G57" s="2551"/>
      <c r="H57" s="2555"/>
      <c r="I57" s="1804"/>
      <c r="J57" s="3635">
        <f>IF(AND(J55="",J56=""),4,IF(项目基本情况!K6="上海银行",'结果表-6号楼'!J56+1,'结果表-6号楼'!J55+1))</f>
        <v>5</v>
      </c>
      <c r="K57" s="3635" t="s">
        <v>1364</v>
      </c>
      <c r="L57" s="2526" t="s">
        <v>1365</v>
      </c>
      <c r="M57" s="2527"/>
      <c r="N57" s="2528">
        <f ca="1">SUMIF(M52:M56,"&lt;9e307")</f>
        <v>0</v>
      </c>
      <c r="O57" s="2529"/>
      <c r="P57" s="2686" t="e">
        <f ca="1">N57/M49</f>
        <v>#N/A</v>
      </c>
    </row>
    <row r="58" spans="1:35" ht="24.75">
      <c r="A58" s="3475" t="s">
        <v>1349</v>
      </c>
      <c r="B58" s="3659" t="s">
        <v>1366</v>
      </c>
      <c r="C58" s="3658"/>
      <c r="D58" s="3457" t="e">
        <f ca="1">IF(H58="转让取得",C81,C97)</f>
        <v>#N/A</v>
      </c>
      <c r="E58" s="3473" t="s">
        <v>1361</v>
      </c>
      <c r="F58" s="302" t="s">
        <v>28</v>
      </c>
      <c r="G58" s="2551"/>
      <c r="H58" s="2554"/>
      <c r="I58" s="1804"/>
      <c r="J58" s="3635"/>
      <c r="K58" s="3635"/>
      <c r="L58" s="2526" t="s">
        <v>1367</v>
      </c>
      <c r="M58" s="2530"/>
      <c r="N58" s="2531" t="str">
        <f ca="1">NUMBERSTRING(INT(N57*10000),2)&amp;"元整"</f>
        <v>零元整</v>
      </c>
      <c r="O58" s="2532"/>
    </row>
    <row r="59" spans="1:35" ht="24.75" thickBot="1">
      <c r="A59" s="3639" t="s">
        <v>1368</v>
      </c>
      <c r="B59" s="3640"/>
      <c r="C59" s="3640"/>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37">
        <f>J57+1</f>
        <v>6</v>
      </c>
      <c r="K59" s="3635" t="s">
        <v>1369</v>
      </c>
      <c r="L59" s="3462" t="s">
        <v>1365</v>
      </c>
      <c r="M59" s="2533"/>
      <c r="N59" s="2534" t="e">
        <f ca="1">M49-N57</f>
        <v>#N/A</v>
      </c>
      <c r="O59" s="2535"/>
    </row>
    <row r="60" spans="1:35" ht="12" customHeight="1">
      <c r="A60" s="1805"/>
      <c r="B60" s="1743"/>
      <c r="C60" s="1743"/>
      <c r="D60" s="1743"/>
      <c r="E60" s="1574"/>
      <c r="F60" s="1804"/>
      <c r="G60" s="1804"/>
      <c r="H60" s="1806"/>
      <c r="I60" s="129"/>
      <c r="J60" s="3638"/>
      <c r="K60" s="3635"/>
      <c r="L60" s="2526" t="s">
        <v>1367</v>
      </c>
      <c r="M60" s="2530"/>
      <c r="N60" s="2531" t="e">
        <f ca="1">NUMBERSTRING(INT(N59*10000),2)&amp;"元整"</f>
        <v>#N/A</v>
      </c>
      <c r="O60" s="2532"/>
    </row>
    <row r="61" spans="1:35" ht="13.5" thickBot="1">
      <c r="A61" s="3694" t="s">
        <v>1370</v>
      </c>
      <c r="B61" s="3694"/>
      <c r="C61" s="3694"/>
      <c r="D61" s="3694"/>
      <c r="E61" s="3694"/>
      <c r="F61" s="1804"/>
      <c r="G61" s="1804"/>
      <c r="H61" s="1806"/>
      <c r="I61" s="129"/>
      <c r="J61" s="3462">
        <f>J59+1</f>
        <v>7</v>
      </c>
      <c r="K61" s="3635" t="s">
        <v>1371</v>
      </c>
      <c r="L61" s="3635"/>
      <c r="M61" s="2536"/>
      <c r="N61" s="2537" t="e">
        <f ca="1">ROUND(N59*10000/'数据-汇总表'!E3,0)</f>
        <v>#N/A</v>
      </c>
      <c r="O61" s="2538"/>
    </row>
    <row r="62" spans="1:35" ht="12.75">
      <c r="A62" s="3654" t="s">
        <v>1372</v>
      </c>
      <c r="B62" s="3655"/>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18"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18"/>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18"/>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18"/>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18"/>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18"/>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18"/>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2" t="s">
        <v>1391</v>
      </c>
      <c r="B70" s="3663"/>
      <c r="C70" s="3663"/>
      <c r="D70" s="3663"/>
      <c r="E70" s="3663"/>
      <c r="F70" s="3663"/>
      <c r="G70" s="3663"/>
      <c r="H70" s="366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1372</v>
      </c>
      <c r="B71" s="3655"/>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9" t="s">
        <v>1399</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51" t="s">
        <v>1403</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1407</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1372</v>
      </c>
      <c r="B84" s="3655"/>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20" t="s">
        <v>2124</v>
      </c>
      <c r="H90" s="362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51" t="s">
        <v>1416</v>
      </c>
      <c r="F91" s="3652"/>
      <c r="G91" s="365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51" t="s">
        <v>1419</v>
      </c>
      <c r="F92" s="3652"/>
      <c r="G92" s="3652"/>
      <c r="H92" s="365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51" t="s">
        <v>1403</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96" t="s">
        <v>1423</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36"/>
      <c r="E100" s="3602" t="s">
        <v>1426</v>
      </c>
      <c r="F100" s="3602"/>
      <c r="G100" s="3602"/>
      <c r="H100" s="3636"/>
      <c r="I100" s="129"/>
    </row>
    <row r="101" spans="1:35" ht="18.75" customHeight="1">
      <c r="A101" s="3644" t="s">
        <v>1427</v>
      </c>
      <c r="B101" s="3645"/>
      <c r="C101" s="2581" t="str">
        <f>C4</f>
        <v>成本法-6号楼</v>
      </c>
      <c r="D101" s="2582" t="str">
        <f>D4</f>
        <v>收益法-6号楼</v>
      </c>
      <c r="E101" s="3614" t="s">
        <v>1428</v>
      </c>
      <c r="F101" s="3615"/>
      <c r="G101" s="1823" t="s">
        <v>1429</v>
      </c>
      <c r="H101" s="2591" t="e">
        <f ca="1">H118</f>
        <v>#N/A</v>
      </c>
      <c r="I101" s="129"/>
    </row>
    <row r="102" spans="1:35" ht="18.75" customHeight="1">
      <c r="A102" s="3646" t="s">
        <v>1430</v>
      </c>
      <c r="B102" s="2580" t="s">
        <v>1429</v>
      </c>
      <c r="C102" s="2581" t="e">
        <f ca="1">IF(D32="楼面单价",ROUND(C19,0),C19)</f>
        <v>#N/A</v>
      </c>
      <c r="D102" s="2582" t="e">
        <f ca="1">IF(D32="楼面单价",ROUND(D19,0),D19)</f>
        <v>#N/A</v>
      </c>
      <c r="E102" s="3614"/>
      <c r="F102" s="3615"/>
      <c r="G102" s="1823" t="s">
        <v>1431</v>
      </c>
      <c r="H102" s="2551" t="e">
        <f ca="1">I118</f>
        <v>#N/A</v>
      </c>
      <c r="I102" s="129"/>
    </row>
    <row r="103" spans="1:35" ht="42.75" customHeight="1">
      <c r="A103" s="3646"/>
      <c r="B103" s="2580" t="s">
        <v>1431</v>
      </c>
      <c r="C103" s="2583" t="e">
        <f ca="1">C20</f>
        <v>#N/A</v>
      </c>
      <c r="D103" s="2584">
        <f ca="1">D20</f>
        <v>0</v>
      </c>
      <c r="E103" s="3607" t="s">
        <v>1432</v>
      </c>
      <c r="F103" s="3608"/>
      <c r="G103" s="1824" t="s">
        <v>1433</v>
      </c>
      <c r="H103" s="2591">
        <f>IF(D36="正常操作",H104+H105+H106,H105+H106)</f>
        <v>0</v>
      </c>
      <c r="I103" s="129"/>
    </row>
    <row r="104" spans="1:35" ht="18.75" customHeight="1">
      <c r="A104" s="3646"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6"/>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7" t="str">
        <f>IF(项目基本情况!E8="已注销","——","3.房地产抵押价值")</f>
        <v>3.房地产抵押价值</v>
      </c>
      <c r="F107" s="3615"/>
      <c r="G107" s="1823" t="s">
        <v>1429</v>
      </c>
      <c r="H107" s="2591" t="e">
        <f ca="1">IF(E107="——","——",H101-H103)</f>
        <v>#N/A</v>
      </c>
      <c r="I107" s="129"/>
    </row>
    <row r="108" spans="1:35" ht="18.75" customHeight="1">
      <c r="A108" s="129"/>
      <c r="B108" s="129"/>
      <c r="C108" s="129"/>
      <c r="D108" s="129"/>
      <c r="E108" s="3647"/>
      <c r="F108" s="3615"/>
      <c r="G108" s="1823" t="s">
        <v>1431</v>
      </c>
      <c r="H108" s="2551" t="e">
        <f ca="1">IF(H107=H101,H102,ROUND(H107*10000/'数据-汇总表'!E3,0))</f>
        <v>#N/A</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3" t="s">
        <v>1429</v>
      </c>
      <c r="H109" s="2594" t="str">
        <f>IF(E109="——","——",H101-H105-H106)</f>
        <v>——</v>
      </c>
      <c r="I109" s="129"/>
    </row>
    <row r="110" spans="1:35" ht="18.75" customHeight="1">
      <c r="A110" s="129"/>
      <c r="B110" s="129"/>
      <c r="C110" s="129"/>
      <c r="D110" s="129"/>
      <c r="E110" s="3647"/>
      <c r="F110" s="3615"/>
      <c r="G110" s="1823" t="s">
        <v>1431</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3" t="s">
        <v>1429</v>
      </c>
      <c r="H111" s="2591" t="e">
        <f ca="1">IF(E111="——","——",N59)</f>
        <v>#N/A</v>
      </c>
      <c r="I111" s="129"/>
    </row>
    <row r="112" spans="1:35" ht="18.75" customHeight="1" thickBot="1">
      <c r="A112" s="129"/>
      <c r="B112" s="129"/>
      <c r="C112" s="129"/>
      <c r="D112" s="129"/>
      <c r="E112" s="3649"/>
      <c r="F112" s="3650"/>
      <c r="G112" s="1826" t="s">
        <v>1431</v>
      </c>
      <c r="H112" s="2595" t="e">
        <f ca="1">IF(E111="——","——",N61)</f>
        <v>#N/A</v>
      </c>
      <c r="I112" s="129"/>
    </row>
    <row r="113" spans="1:27" ht="18.75" customHeight="1">
      <c r="A113" s="129"/>
      <c r="B113" s="129"/>
      <c r="C113" s="129"/>
      <c r="D113" s="129"/>
      <c r="E113" s="3657" t="s">
        <v>1437</v>
      </c>
      <c r="F113" s="3657"/>
      <c r="G113" s="3657"/>
      <c r="H113" s="3657"/>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2" t="s">
        <v>1440</v>
      </c>
      <c r="B116" s="3626" t="s">
        <v>1441</v>
      </c>
      <c r="C116" s="3626" t="s">
        <v>1442</v>
      </c>
      <c r="D116" s="3632" t="s">
        <v>1443</v>
      </c>
      <c r="E116" s="3633"/>
      <c r="F116" s="3664" t="s">
        <v>1444</v>
      </c>
      <c r="G116" s="3664"/>
      <c r="H116" s="3622" t="s">
        <v>1445</v>
      </c>
      <c r="I116" s="3622"/>
    </row>
    <row r="117" spans="1:27" ht="18.75" customHeight="1">
      <c r="A117" s="3622"/>
      <c r="B117" s="3627"/>
      <c r="C117" s="3627"/>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22" t="s">
        <v>1449</v>
      </c>
      <c r="B119" s="3622"/>
      <c r="C119" s="3622"/>
      <c r="D119" s="3628" t="e">
        <f ca="1">NUMBERSTRING(INT(D118*10000),2)&amp;"元整"</f>
        <v>#N/A</v>
      </c>
      <c r="E119" s="3629"/>
      <c r="F119" s="3628" t="e">
        <f ca="1">NUMBERSTRING(INT(F118*10000),2)&amp;"元整"</f>
        <v>#N/A</v>
      </c>
      <c r="G119" s="3629"/>
      <c r="H119" s="3628" t="e">
        <f ca="1">NUMBERSTRING(INT(H118*10000),2)&amp;"元整"</f>
        <v>#N/A</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8" t="s">
        <v>1449</v>
      </c>
      <c r="B121" s="3630"/>
      <c r="C121" s="3629"/>
      <c r="D121" s="3628" t="str">
        <f>IF(D120=0,"零元整",NUMBERSTRING(INT(D120*10000),2)&amp;"元整")</f>
        <v>零元整</v>
      </c>
      <c r="E121" s="3630"/>
      <c r="F121" s="3630"/>
      <c r="G121" s="3630"/>
      <c r="H121" s="3630"/>
      <c r="I121" s="3629"/>
      <c r="AA121" s="724"/>
    </row>
    <row r="122" spans="1:27" ht="18.75" customHeight="1">
      <c r="A122" s="3634" t="str">
        <f>IF(项目基本情况!B9="房地产市场价值","",MID(E107,3,LEN(E107)-2))</f>
        <v>房地产抵押价值</v>
      </c>
      <c r="B122" s="3634"/>
      <c r="C122" s="3634"/>
      <c r="D122" s="3623" t="e">
        <f ca="1">H107</f>
        <v>#N/A</v>
      </c>
      <c r="E122" s="3624"/>
      <c r="F122" s="3624"/>
      <c r="G122" s="3624"/>
      <c r="H122" s="3624"/>
      <c r="I122" s="3625"/>
      <c r="AA122" s="724"/>
    </row>
    <row r="123" spans="1:27" ht="18.75" customHeight="1">
      <c r="A123" s="3622" t="s">
        <v>1449</v>
      </c>
      <c r="B123" s="3622"/>
      <c r="C123" s="3622"/>
      <c r="D123" s="3628" t="e">
        <f ca="1">NUMBERSTRING(INT(D122*10000),2)&amp;"元整"</f>
        <v>#N/A</v>
      </c>
      <c r="E123" s="3630"/>
      <c r="F123" s="3630"/>
      <c r="G123" s="3630"/>
      <c r="H123" s="3630"/>
      <c r="I123" s="3629"/>
      <c r="AA123" s="724"/>
    </row>
    <row r="124" spans="1:27" ht="18.75" customHeight="1">
      <c r="A124" s="3634" t="str">
        <f>IF(项目基本情况!B9="房地产市场价值","",MID(E109,3,LEN(E109)-2))</f>
        <v/>
      </c>
      <c r="B124" s="3634"/>
      <c r="C124" s="3634"/>
      <c r="D124" s="3623" t="str">
        <f>H109</f>
        <v>——</v>
      </c>
      <c r="E124" s="3624"/>
      <c r="F124" s="3624"/>
      <c r="G124" s="3624"/>
      <c r="H124" s="3624"/>
      <c r="I124" s="3625"/>
      <c r="AA124" s="724"/>
    </row>
    <row r="125" spans="1:27" ht="18.75" customHeight="1">
      <c r="A125" s="3622" t="s">
        <v>1449</v>
      </c>
      <c r="B125" s="3622"/>
      <c r="C125" s="3622"/>
      <c r="D125" s="3628" t="e">
        <f>NUMBERSTRING(INT(D124*10000),2)&amp;"元整"</f>
        <v>#VALUE!</v>
      </c>
      <c r="E125" s="3630"/>
      <c r="F125" s="3630"/>
      <c r="G125" s="3630"/>
      <c r="H125" s="3630"/>
      <c r="I125" s="3629"/>
      <c r="AA125" s="724"/>
    </row>
    <row r="126" spans="1:27" ht="18.75" customHeight="1">
      <c r="A126" s="3634" t="str">
        <f>IF(项目基本情况!B9="房地产市场价值","",MID(E111,3,LEN(E111)-2))</f>
        <v>抵押净值</v>
      </c>
      <c r="B126" s="3634"/>
      <c r="C126" s="3634"/>
      <c r="D126" s="3623" t="e">
        <f ca="1">H111</f>
        <v>#N/A</v>
      </c>
      <c r="E126" s="3624"/>
      <c r="F126" s="3624"/>
      <c r="G126" s="3624"/>
      <c r="H126" s="3624"/>
      <c r="I126" s="3625"/>
      <c r="AA126" s="724"/>
    </row>
    <row r="127" spans="1:27" ht="18.75" customHeight="1">
      <c r="A127" s="3622" t="s">
        <v>1449</v>
      </c>
      <c r="B127" s="3622"/>
      <c r="C127" s="3622"/>
      <c r="D127" s="3628" t="e">
        <f ca="1">NUMBERSTRING(INT(D126*10000),2)&amp;"元整"</f>
        <v>#N/A</v>
      </c>
      <c r="E127" s="3630"/>
      <c r="F127" s="3630"/>
      <c r="G127" s="3630"/>
      <c r="H127" s="3630"/>
      <c r="I127" s="3629"/>
      <c r="AA127" s="724"/>
    </row>
    <row r="128" spans="1:27" ht="21.75" customHeight="1">
      <c r="A128" s="3631" t="s">
        <v>1450</v>
      </c>
      <c r="B128" s="3631"/>
      <c r="C128" s="3631"/>
      <c r="D128" s="3631"/>
      <c r="E128" s="3631"/>
      <c r="F128" s="3631"/>
      <c r="G128" s="3631"/>
      <c r="H128" s="3631"/>
      <c r="I128" s="363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0.05</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0.03</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701" t="s">
        <v>1541</v>
      </c>
    </row>
    <row r="43" spans="1:7" ht="13.5" customHeight="1">
      <c r="A43" s="776" t="s">
        <v>346</v>
      </c>
      <c r="B43" s="215" t="s">
        <v>1503</v>
      </c>
      <c r="C43" s="238" t="e">
        <f ca="1">ROUND(IF('数据-取费表'!B22&lt;=1,C39*F22*'数据-取费表'!B21/2,C39*(POWER((1+F22),'数据-取费表'!B21/2)-1)),0)</f>
        <v>#N/A</v>
      </c>
      <c r="D43" s="238"/>
      <c r="E43" s="238"/>
      <c r="F43" s="239"/>
      <c r="G43" s="3702"/>
    </row>
    <row r="44" spans="1:7" ht="13.5" customHeight="1">
      <c r="A44" s="776" t="s">
        <v>347</v>
      </c>
      <c r="B44" s="215" t="s">
        <v>1506</v>
      </c>
      <c r="C44" s="238">
        <f ca="1">ROUND(IF('数据-取费表'!B22&lt;=1,C40*F22*'数据-取费表'!B21/2,C40*(POWER((1+F22),'数据-取费表'!B21/2)-1)),4)</f>
        <v>6.9999999999999999E-4</v>
      </c>
      <c r="D44" s="238"/>
      <c r="E44" s="238"/>
      <c r="F44" s="239"/>
      <c r="G44" s="3703"/>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6" t="s">
        <v>693</v>
      </c>
      <c r="C6" s="1070" t="e">
        <f ca="1">ROUND(F6*F8*F7*(1-F9)/10000,0)</f>
        <v>#N/A</v>
      </c>
      <c r="D6" s="155" t="s">
        <v>2104</v>
      </c>
      <c r="E6" s="302" t="s">
        <v>695</v>
      </c>
      <c r="F6" s="303" t="e">
        <f ca="1">INDIRECT("'数据-取费表'!u"&amp;$G$1)</f>
        <v>#N/A</v>
      </c>
      <c r="G6" s="1380"/>
      <c r="H6" s="1065" t="s">
        <v>397</v>
      </c>
      <c r="I6" s="3706" t="s">
        <v>693</v>
      </c>
      <c r="J6" s="301" t="e">
        <f ca="1">ROUND(M6*M8*M7*(1-M9)/10000,0)</f>
        <v>#N/A</v>
      </c>
      <c r="K6" s="155" t="s">
        <v>2103</v>
      </c>
      <c r="L6" s="302" t="s">
        <v>695</v>
      </c>
      <c r="M6" s="303" t="e">
        <f ca="1">INDIRECT("'数据-取费表'!z"&amp;$G$1)</f>
        <v>#N/A</v>
      </c>
    </row>
    <row r="7" spans="1:37" ht="18" customHeight="1">
      <c r="A7" s="1069"/>
      <c r="B7" s="3707"/>
      <c r="C7" s="1071"/>
      <c r="D7" s="307"/>
      <c r="E7" s="3459" t="s">
        <v>696</v>
      </c>
      <c r="F7" s="303" t="e">
        <f ca="1">IF(INDIRECT("'数据-取费表'!ah"&amp;$G$1)="",INDIRECT("'数据-取费表'!k"&amp;$G$1),INDIRECT("'数据-取费表'!ah"&amp;$G$1))</f>
        <v>#N/A</v>
      </c>
      <c r="G7" s="1380"/>
      <c r="H7" s="304"/>
      <c r="I7" s="3707"/>
      <c r="J7" s="306"/>
      <c r="K7" s="307"/>
      <c r="L7" s="302" t="s">
        <v>696</v>
      </c>
      <c r="M7" s="303" t="e">
        <f ca="1">F7</f>
        <v>#N/A</v>
      </c>
    </row>
    <row r="8" spans="1:37" ht="18" customHeight="1">
      <c r="A8" s="304"/>
      <c r="B8" s="3707"/>
      <c r="C8" s="306"/>
      <c r="D8" s="307"/>
      <c r="E8" s="302" t="s">
        <v>697</v>
      </c>
      <c r="F8" s="303" t="e">
        <f ca="1">INDIRECT("'数据-取费表'!ai"&amp;$G$1)</f>
        <v>#N/A</v>
      </c>
      <c r="G8" s="1380"/>
      <c r="H8" s="304"/>
      <c r="I8" s="3707"/>
      <c r="J8" s="306"/>
      <c r="K8" s="307"/>
      <c r="L8" s="302" t="s">
        <v>697</v>
      </c>
      <c r="M8" s="303" t="e">
        <f ca="1">INDIRECT("'数据-取费表'!ai"&amp;$G$1)</f>
        <v>#N/A</v>
      </c>
    </row>
    <row r="9" spans="1:37" ht="18" customHeight="1">
      <c r="A9" s="304"/>
      <c r="B9" s="3708"/>
      <c r="C9" s="306"/>
      <c r="D9" s="307"/>
      <c r="E9" s="302" t="s">
        <v>698</v>
      </c>
      <c r="F9" s="312" t="e">
        <f ca="1">INDIRECT("'数据-取费表'!w"&amp;$G$1)</f>
        <v>#N/A</v>
      </c>
      <c r="G9" s="1380"/>
      <c r="H9" s="304"/>
      <c r="I9" s="3708"/>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9" t="s">
        <v>836</v>
      </c>
      <c r="L53" s="3710"/>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38710</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36071</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22038</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28431</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24029</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21192</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20366</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45457</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38710</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24017</v>
      </c>
      <c r="D33" s="2094">
        <f>'数据-汇总表'!F20</f>
        <v>13947.579999999998</v>
      </c>
      <c r="E33" s="769">
        <f>ROUND(C33*D33/10000,0)</f>
        <v>33498</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6004</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14410</v>
      </c>
      <c r="D37" s="2094">
        <f>'数据-汇总表'!G20</f>
        <v>3617.18</v>
      </c>
      <c r="E37" s="171">
        <f>ROUND(C37*D37/10000,0)</f>
        <v>5212</v>
      </c>
      <c r="F37" s="171">
        <f>SUMIF(修正!A57:A68,G2,修正!B57:B68)</f>
        <v>0.6</v>
      </c>
      <c r="G37" s="171">
        <f>ROUND(IF(E2="工业",C37*$M$42,C37*$M$41),0)</f>
        <v>3603</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7205</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6004</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6004</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480"/>
      <c r="L103" s="3480"/>
      <c r="M103" s="3480"/>
      <c r="N103" s="3480"/>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6"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7"/>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7"/>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7"/>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7"/>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7"/>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3" t="s">
        <v>2838</v>
      </c>
      <c r="B1" s="3843"/>
      <c r="C1" s="3843"/>
      <c r="D1" s="3843"/>
      <c r="E1" s="3843"/>
      <c r="F1" s="3843"/>
      <c r="G1" s="384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4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4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927</v>
      </c>
      <c r="B2" s="3530" t="s">
        <v>928</v>
      </c>
      <c r="C2" s="3530" t="s">
        <v>929</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31"/>
      <c r="B3" s="3531"/>
      <c r="C3" s="3531"/>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105576</v>
      </c>
      <c r="E4" s="850">
        <f ca="1">结果表!E118</f>
        <v>20999</v>
      </c>
      <c r="F4" s="850">
        <f ca="1">结果表!F118</f>
        <v>31003</v>
      </c>
      <c r="G4" s="850">
        <f ca="1">结果表!G118</f>
        <v>6166</v>
      </c>
      <c r="H4" s="850">
        <f ca="1">结果表!H118</f>
        <v>136579</v>
      </c>
      <c r="I4" s="850">
        <f ca="1">结果表!I118</f>
        <v>27165</v>
      </c>
    </row>
    <row r="5" spans="1:9" ht="30" customHeight="1">
      <c r="A5" s="3531" t="s">
        <v>926</v>
      </c>
      <c r="B5" s="3531"/>
      <c r="C5" s="3531"/>
      <c r="D5" s="3531" t="str">
        <f ca="1">结果表!D119</f>
        <v>壹拾亿伍仟伍佰柒拾陆万元整</v>
      </c>
      <c r="E5" s="3531"/>
      <c r="F5" s="3531" t="str">
        <f ca="1">结果表!F119</f>
        <v>叁亿壹仟零叁万元整</v>
      </c>
      <c r="G5" s="3531"/>
      <c r="H5" s="3531" t="str">
        <f ca="1">结果表!H119</f>
        <v>壹拾叁亿陆仟伍佰柒拾玖万元整</v>
      </c>
      <c r="I5" s="3531"/>
    </row>
    <row r="6" spans="1:9" ht="15.75">
      <c r="A6" s="3532" t="str">
        <f>结果表!A120</f>
        <v>估价师知悉的法定优先受偿款</v>
      </c>
      <c r="B6" s="3532"/>
      <c r="C6" s="3532"/>
      <c r="D6" s="3532">
        <f>结果表!D120</f>
        <v>0</v>
      </c>
      <c r="E6" s="3532"/>
      <c r="F6" s="3532"/>
      <c r="G6" s="3532"/>
      <c r="H6" s="3532"/>
      <c r="I6" s="3532"/>
    </row>
    <row r="7" spans="1:9" ht="15">
      <c r="A7" s="3531" t="s">
        <v>926</v>
      </c>
      <c r="B7" s="3531"/>
      <c r="C7" s="3531"/>
      <c r="D7" s="3533" t="str">
        <f>结果表!D121</f>
        <v>零元整</v>
      </c>
      <c r="E7" s="3534"/>
      <c r="F7" s="3534"/>
      <c r="G7" s="3534"/>
      <c r="H7" s="3534"/>
      <c r="I7" s="3535"/>
    </row>
    <row r="8" spans="1:9" ht="15.75">
      <c r="A8" s="3532" t="str">
        <f>结果表!A122</f>
        <v>房地产抵押价值</v>
      </c>
      <c r="B8" s="3532"/>
      <c r="C8" s="3532"/>
      <c r="D8" s="3532">
        <f ca="1">结果表!D122</f>
        <v>136579</v>
      </c>
      <c r="E8" s="3532"/>
      <c r="F8" s="3532"/>
      <c r="G8" s="3532"/>
      <c r="H8" s="3532"/>
      <c r="I8" s="3532"/>
    </row>
    <row r="9" spans="1:9" ht="15">
      <c r="A9" s="3531" t="s">
        <v>926</v>
      </c>
      <c r="B9" s="3531"/>
      <c r="C9" s="3531"/>
      <c r="D9" s="3531" t="str">
        <f ca="1">结果表!D123</f>
        <v>壹拾叁亿陆仟伍佰柒拾玖万元整</v>
      </c>
      <c r="E9" s="3531"/>
      <c r="F9" s="3531"/>
      <c r="G9" s="3531"/>
      <c r="H9" s="3531"/>
      <c r="I9" s="3531"/>
    </row>
    <row r="10" spans="1:9" ht="15.75">
      <c r="A10" s="3532" t="str">
        <f>结果表!A124</f>
        <v/>
      </c>
      <c r="B10" s="3532"/>
      <c r="C10" s="3532"/>
      <c r="D10" s="3532" t="str">
        <f>结果表!D124</f>
        <v>——</v>
      </c>
      <c r="E10" s="3532"/>
      <c r="F10" s="3532"/>
      <c r="G10" s="3532"/>
      <c r="H10" s="3532"/>
      <c r="I10" s="3532"/>
    </row>
    <row r="11" spans="1:9" ht="15">
      <c r="A11" s="3531" t="s">
        <v>926</v>
      </c>
      <c r="B11" s="3531"/>
      <c r="C11" s="3531"/>
      <c r="D11" s="3531" t="e">
        <f>结果表!D125</f>
        <v>#VALUE!</v>
      </c>
      <c r="E11" s="3531"/>
      <c r="F11" s="3531"/>
      <c r="G11" s="3531"/>
      <c r="H11" s="3531"/>
      <c r="I11" s="3531"/>
    </row>
    <row r="12" spans="1:9" ht="15.75">
      <c r="A12" s="3532" t="str">
        <f>结果表!A126</f>
        <v>抵押净值</v>
      </c>
      <c r="B12" s="3532"/>
      <c r="C12" s="3532"/>
      <c r="D12" s="3532">
        <f ca="1">结果表!D126</f>
        <v>103496</v>
      </c>
      <c r="E12" s="3532"/>
      <c r="F12" s="3532"/>
      <c r="G12" s="3532"/>
      <c r="H12" s="3532"/>
      <c r="I12" s="3532"/>
    </row>
    <row r="13" spans="1:9" ht="15.75" thickBot="1">
      <c r="A13" s="3536" t="s">
        <v>926</v>
      </c>
      <c r="B13" s="3536"/>
      <c r="C13" s="3536"/>
      <c r="D13" s="3536" t="str">
        <f ca="1">结果表!D127</f>
        <v>壹拾亿叁仟肆佰玖拾陆万元整</v>
      </c>
      <c r="E13" s="3536"/>
      <c r="F13" s="3536"/>
      <c r="G13" s="3536"/>
      <c r="H13" s="3536"/>
      <c r="I13" s="3536"/>
    </row>
    <row r="14" spans="1:9" ht="15" thickTop="1">
      <c r="A14" s="3537" t="s">
        <v>931</v>
      </c>
      <c r="B14" s="3537"/>
      <c r="C14" s="3537"/>
      <c r="D14" s="3537"/>
      <c r="E14" s="3537"/>
      <c r="F14" s="3537"/>
      <c r="G14" s="3537"/>
      <c r="H14" s="3537"/>
      <c r="I14" s="3537"/>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5" t="s">
        <v>3180</v>
      </c>
      <c r="B1" s="3845"/>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ht="14.25">
      <c r="A1" s="3846" t="s">
        <v>3231</v>
      </c>
      <c r="B1" s="3846"/>
      <c r="C1" s="3846"/>
      <c r="D1" s="3846"/>
      <c r="E1" s="3846"/>
      <c r="F1" s="3847"/>
    </row>
    <row r="2" spans="1:6" ht="14.25">
      <c r="A2" s="3287" t="s">
        <v>3232</v>
      </c>
      <c r="B2" s="3288"/>
      <c r="C2" s="3288"/>
      <c r="D2" s="3288"/>
      <c r="E2" s="3288"/>
      <c r="F2" s="3288"/>
    </row>
    <row r="3" spans="1:6" ht="14.25">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45457</v>
      </c>
      <c r="B1" s="3206" t="s">
        <v>3368</v>
      </c>
      <c r="C1" s="3207"/>
      <c r="D1" s="3207"/>
      <c r="E1" s="3207"/>
      <c r="F1" s="3207"/>
      <c r="G1" s="3207"/>
      <c r="H1" s="3207"/>
      <c r="I1" s="3207"/>
      <c r="J1" s="3161"/>
      <c r="K1" s="3207" t="s">
        <v>453</v>
      </c>
      <c r="L1" s="3207"/>
      <c r="M1" s="3207"/>
      <c r="N1" s="3207"/>
      <c r="O1" s="3207"/>
      <c r="P1" s="3207"/>
      <c r="Q1" s="3161"/>
      <c r="R1" s="3848" t="s">
        <v>455</v>
      </c>
      <c r="S1" s="3849"/>
      <c r="T1" s="3849"/>
      <c r="U1" s="3849"/>
      <c r="V1" s="3849"/>
      <c r="W1" s="3849"/>
      <c r="X1" s="3161"/>
      <c r="Y1" s="3848" t="s">
        <v>456</v>
      </c>
      <c r="Z1" s="3849"/>
      <c r="AA1" s="3849"/>
      <c r="AB1" s="3849"/>
      <c r="AC1" s="3849"/>
      <c r="AD1" s="3849"/>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8" t="s">
        <v>2826</v>
      </c>
      <c r="S23" s="3849"/>
      <c r="T23" s="3849"/>
      <c r="U23" s="3849"/>
      <c r="V23" s="3849"/>
      <c r="W23" s="3849"/>
      <c r="X23" s="3161"/>
      <c r="Y23" s="3848" t="s">
        <v>2827</v>
      </c>
      <c r="Z23" s="3849"/>
      <c r="AA23" s="3849"/>
      <c r="AB23" s="3849"/>
      <c r="AC23" s="3849"/>
      <c r="AD23" s="3849"/>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5" t="s">
        <v>451</v>
      </c>
      <c r="C1" s="3855"/>
      <c r="D1" s="3855"/>
      <c r="E1" s="3855"/>
      <c r="F1" s="3855"/>
      <c r="G1" s="3851" t="s">
        <v>452</v>
      </c>
      <c r="H1" s="3851"/>
      <c r="I1" s="3851"/>
      <c r="J1" s="3851"/>
      <c r="K1" s="3851"/>
      <c r="L1" s="3851"/>
      <c r="N1" s="3851" t="s">
        <v>453</v>
      </c>
      <c r="O1" s="3851"/>
      <c r="P1" s="3851"/>
      <c r="Q1" s="3851"/>
      <c r="S1" s="3851" t="s">
        <v>454</v>
      </c>
      <c r="T1" s="3851"/>
      <c r="U1" s="3851"/>
      <c r="V1" s="3851"/>
      <c r="X1" s="3850" t="s">
        <v>455</v>
      </c>
      <c r="Y1" s="3851"/>
      <c r="Z1" s="3851"/>
      <c r="AA1" s="3851"/>
      <c r="AB1" s="3851"/>
      <c r="AD1" s="3850" t="s">
        <v>456</v>
      </c>
      <c r="AE1" s="3851"/>
      <c r="AF1" s="3851"/>
      <c r="AG1" s="3851"/>
      <c r="AH1" s="3851"/>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5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6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5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5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5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5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5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5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5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5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5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5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5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5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5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5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5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5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5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5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5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5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5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5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5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5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5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5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5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5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52">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53">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53">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54">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52">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53">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53">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5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45457</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topLeftCell="A4" workbookViewId="0">
      <selection activeCell="M42" sqref="M42"/>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4"/>
  <sheetViews>
    <sheetView zoomScale="85" zoomScaleNormal="85" workbookViewId="0">
      <pane xSplit="4" ySplit="1" topLeftCell="E74" activePane="bottomRight" state="frozen"/>
      <selection pane="topRight"/>
      <selection pane="bottomLeft"/>
      <selection pane="bottomRight" activeCell="H83" sqref="H83"/>
    </sheetView>
  </sheetViews>
  <sheetFormatPr defaultColWidth="9" defaultRowHeight="16.5"/>
  <cols>
    <col min="1" max="1" width="6.75" style="3880" customWidth="1"/>
    <col min="2" max="2" width="30.875" style="3880" customWidth="1"/>
    <col min="3" max="3" width="14.125" style="3880" customWidth="1"/>
    <col min="4" max="4" width="9.75" style="3880" customWidth="1"/>
    <col min="5" max="5" width="7.5" style="3880" customWidth="1"/>
    <col min="6" max="6" width="10.875" style="3880" customWidth="1"/>
    <col min="7" max="7" width="10.75" style="3880" customWidth="1"/>
    <col min="8" max="8" width="9" style="3880"/>
    <col min="9" max="9" width="16.125" style="3880" customWidth="1"/>
    <col min="10" max="10" width="11.375" style="3880" customWidth="1"/>
    <col min="11" max="11" width="10.875" style="3880" customWidth="1"/>
    <col min="12" max="12" width="12" style="3880" customWidth="1"/>
    <col min="13" max="15" width="11.375" style="3880" customWidth="1"/>
    <col min="16" max="16" width="9.625" style="4112" customWidth="1"/>
    <col min="17" max="17" width="9" style="3880" customWidth="1"/>
    <col min="18" max="18" width="19" style="3880" customWidth="1"/>
    <col min="19" max="19" width="12.375" style="3880" customWidth="1"/>
    <col min="20" max="20" width="11.75" style="3880" customWidth="1"/>
    <col min="21" max="21" width="21.375" style="3880" customWidth="1"/>
    <col min="22" max="22" width="16.25" style="3880" customWidth="1"/>
    <col min="23" max="23" width="16.375" style="3880" customWidth="1"/>
    <col min="24" max="24" width="27.75" style="3880" customWidth="1"/>
    <col min="25" max="25" width="13.625" style="3880" customWidth="1"/>
    <col min="26" max="27" width="9" style="3880" customWidth="1"/>
    <col min="28" max="28" width="19.5" style="3880" customWidth="1"/>
    <col min="29" max="29" width="12.625" style="3880" customWidth="1"/>
    <col min="30" max="30" width="12.75" style="3880" customWidth="1"/>
    <col min="31" max="31" width="19.375" style="3880" customWidth="1"/>
    <col min="32" max="32" width="12.125" style="3880" customWidth="1"/>
    <col min="33" max="33" width="14.25" style="3880" customWidth="1"/>
    <col min="34" max="34" width="11.875" style="3880" customWidth="1"/>
    <col min="35" max="35" width="12.25" style="3880" customWidth="1"/>
    <col min="36" max="36" width="11.875" style="3880" customWidth="1"/>
    <col min="37" max="37" width="9" style="3880" customWidth="1"/>
    <col min="38" max="39" width="9" style="3880"/>
    <col min="40" max="40" width="10.875" style="3880" bestFit="1" customWidth="1"/>
    <col min="41" max="41" width="9.5" style="3880" bestFit="1" customWidth="1"/>
    <col min="42" max="16384" width="9" style="3880"/>
  </cols>
  <sheetData>
    <row r="1" spans="1:41" ht="30.95" customHeight="1">
      <c r="A1" s="3863" t="s">
        <v>3515</v>
      </c>
      <c r="B1" s="3864" t="s">
        <v>3516</v>
      </c>
      <c r="C1" s="3863" t="s">
        <v>3517</v>
      </c>
      <c r="D1" s="3863" t="s">
        <v>3518</v>
      </c>
      <c r="E1" s="3863" t="s">
        <v>3519</v>
      </c>
      <c r="F1" s="3865" t="s">
        <v>3520</v>
      </c>
      <c r="G1" s="3866" t="s">
        <v>3521</v>
      </c>
      <c r="H1" s="3866" t="s">
        <v>3522</v>
      </c>
      <c r="I1" s="3867" t="s">
        <v>3523</v>
      </c>
      <c r="J1" s="3866" t="s">
        <v>3524</v>
      </c>
      <c r="K1" s="3868" t="s">
        <v>3525</v>
      </c>
      <c r="L1" s="3869" t="s">
        <v>3526</v>
      </c>
      <c r="M1" s="3870" t="s">
        <v>3527</v>
      </c>
      <c r="N1" s="3870" t="s">
        <v>3528</v>
      </c>
      <c r="O1" s="3871" t="s">
        <v>3529</v>
      </c>
      <c r="P1" s="3872" t="s">
        <v>3530</v>
      </c>
      <c r="Q1" s="3872" t="s">
        <v>3531</v>
      </c>
      <c r="R1" s="3873" t="s">
        <v>3532</v>
      </c>
      <c r="S1" s="3874" t="s">
        <v>3533</v>
      </c>
      <c r="T1" s="3874" t="s">
        <v>3534</v>
      </c>
      <c r="U1" s="3875" t="s">
        <v>3535</v>
      </c>
      <c r="V1" s="3875" t="s">
        <v>3536</v>
      </c>
      <c r="W1" s="3863" t="s">
        <v>3537</v>
      </c>
      <c r="X1" s="3863" t="s">
        <v>3538</v>
      </c>
      <c r="Y1" s="3863" t="s">
        <v>3539</v>
      </c>
      <c r="Z1" s="3876" t="s">
        <v>3540</v>
      </c>
      <c r="AA1" s="3876" t="s">
        <v>3541</v>
      </c>
      <c r="AB1" s="3876" t="s">
        <v>3542</v>
      </c>
      <c r="AC1" s="3876" t="s">
        <v>3543</v>
      </c>
      <c r="AD1" s="3876" t="s">
        <v>3544</v>
      </c>
      <c r="AE1" s="3876" t="s">
        <v>3545</v>
      </c>
      <c r="AF1" s="3877" t="s">
        <v>3546</v>
      </c>
      <c r="AG1" s="3878" t="s">
        <v>3547</v>
      </c>
      <c r="AH1" s="3879" t="s">
        <v>3548</v>
      </c>
      <c r="AI1" s="3878" t="s">
        <v>3549</v>
      </c>
      <c r="AJ1" s="3878" t="s">
        <v>3550</v>
      </c>
      <c r="AK1" s="3878" t="s">
        <v>3551</v>
      </c>
    </row>
    <row r="2" spans="1:41">
      <c r="A2" s="3881">
        <v>1</v>
      </c>
      <c r="B2" s="3882" t="s">
        <v>3552</v>
      </c>
      <c r="C2" s="3883" t="s">
        <v>3553</v>
      </c>
      <c r="D2" s="3884">
        <v>3404.04</v>
      </c>
      <c r="E2" s="3881" t="s">
        <v>3554</v>
      </c>
      <c r="F2" s="3885">
        <v>5.97</v>
      </c>
      <c r="G2" s="3886">
        <v>1182043.4099999999</v>
      </c>
      <c r="H2" s="3887">
        <v>14184520.98</v>
      </c>
      <c r="I2" s="3888" t="s">
        <v>3555</v>
      </c>
      <c r="J2" s="3887">
        <v>3546130.24</v>
      </c>
      <c r="K2" s="3889">
        <v>1.48</v>
      </c>
      <c r="L2" s="3890" t="s">
        <v>3556</v>
      </c>
      <c r="M2" s="3890">
        <v>283093.59999999998</v>
      </c>
      <c r="N2" s="3890">
        <v>3397123.32</v>
      </c>
      <c r="O2" s="3891">
        <v>0</v>
      </c>
      <c r="P2" s="3892">
        <v>0</v>
      </c>
      <c r="Q2" s="3893">
        <v>0</v>
      </c>
      <c r="R2" s="3894">
        <v>195676105.56</v>
      </c>
      <c r="S2" s="3895">
        <v>158174007.5</v>
      </c>
      <c r="T2" s="3895">
        <v>36014098.060000002</v>
      </c>
      <c r="U2" s="3896" t="s">
        <v>3557</v>
      </c>
      <c r="V2" s="3896" t="s">
        <v>3558</v>
      </c>
      <c r="W2" s="3897" t="s">
        <v>3559</v>
      </c>
      <c r="X2" s="3898" t="s">
        <v>3560</v>
      </c>
      <c r="Y2" s="3897">
        <v>0</v>
      </c>
      <c r="Z2" s="3899" t="s">
        <v>3561</v>
      </c>
      <c r="AA2" s="3900">
        <v>14184520.98</v>
      </c>
      <c r="AB2" s="3901" t="s">
        <v>3562</v>
      </c>
      <c r="AC2" s="3900">
        <v>3546130.24</v>
      </c>
      <c r="AD2" s="3900">
        <v>3397123.32</v>
      </c>
      <c r="AE2" s="3901" t="s">
        <v>3562</v>
      </c>
      <c r="AF2" s="3900">
        <v>0</v>
      </c>
      <c r="AG2" s="3902">
        <v>45193</v>
      </c>
      <c r="AH2" s="3903" t="e">
        <f>AI2+AJ2+AK2+#REF!</f>
        <v>#REF!</v>
      </c>
      <c r="AI2" s="3904">
        <v>10894153.439999999</v>
      </c>
      <c r="AJ2" s="3904">
        <v>2547842.5</v>
      </c>
      <c r="AK2" s="3905"/>
      <c r="AM2" s="3906">
        <v>10</v>
      </c>
      <c r="AN2" s="3880">
        <f>S2+T2</f>
        <v>194188105.56</v>
      </c>
      <c r="AO2" s="3880">
        <f>AN2/AM2</f>
        <v>19418810.556000002</v>
      </c>
    </row>
    <row r="3" spans="1:41">
      <c r="A3" s="3881"/>
      <c r="B3" s="3907"/>
      <c r="C3" s="3906" t="s">
        <v>3563</v>
      </c>
      <c r="D3" s="3884">
        <v>2694.17</v>
      </c>
      <c r="E3" s="3881"/>
      <c r="F3" s="3885">
        <v>6.47</v>
      </c>
      <c r="G3" s="3886"/>
      <c r="H3" s="3887"/>
      <c r="I3" s="3887"/>
      <c r="J3" s="3887"/>
      <c r="K3" s="3908"/>
      <c r="L3" s="3890"/>
      <c r="M3" s="3890"/>
      <c r="N3" s="3890"/>
      <c r="O3" s="3891"/>
      <c r="P3" s="3909"/>
      <c r="Q3" s="3910"/>
      <c r="R3" s="3894"/>
      <c r="S3" s="3895"/>
      <c r="T3" s="3895"/>
      <c r="U3" s="3911"/>
      <c r="V3" s="3911"/>
      <c r="W3" s="3912"/>
      <c r="X3" s="3898"/>
      <c r="Y3" s="3912"/>
      <c r="Z3" s="3913"/>
      <c r="AA3" s="3914"/>
      <c r="AB3" s="3915"/>
      <c r="AC3" s="3914"/>
      <c r="AD3" s="3914"/>
      <c r="AE3" s="3915"/>
      <c r="AF3" s="3914"/>
      <c r="AG3" s="3916"/>
      <c r="AH3" s="3917"/>
      <c r="AI3" s="3918"/>
      <c r="AJ3" s="3918"/>
      <c r="AK3" s="3919"/>
    </row>
    <row r="4" spans="1:41">
      <c r="A4" s="3881"/>
      <c r="B4" s="3920"/>
      <c r="C4" s="3906" t="s">
        <v>3564</v>
      </c>
      <c r="D4" s="3884">
        <v>190.43</v>
      </c>
      <c r="E4" s="3881"/>
      <c r="F4" s="3885">
        <v>5.82</v>
      </c>
      <c r="G4" s="3886"/>
      <c r="H4" s="3887"/>
      <c r="I4" s="3887"/>
      <c r="J4" s="3887"/>
      <c r="K4" s="3921"/>
      <c r="L4" s="3890"/>
      <c r="M4" s="3890"/>
      <c r="N4" s="3890"/>
      <c r="O4" s="3891"/>
      <c r="P4" s="3922"/>
      <c r="Q4" s="3923"/>
      <c r="R4" s="3894"/>
      <c r="S4" s="3895"/>
      <c r="T4" s="3895"/>
      <c r="U4" s="3924"/>
      <c r="V4" s="3924"/>
      <c r="W4" s="3925"/>
      <c r="X4" s="3898"/>
      <c r="Y4" s="3925"/>
      <c r="Z4" s="3926"/>
      <c r="AA4" s="3927"/>
      <c r="AB4" s="3928"/>
      <c r="AC4" s="3927"/>
      <c r="AD4" s="3927"/>
      <c r="AE4" s="3928"/>
      <c r="AF4" s="3927"/>
      <c r="AG4" s="3929"/>
      <c r="AH4" s="3930"/>
      <c r="AI4" s="3931"/>
      <c r="AJ4" s="3931"/>
      <c r="AK4" s="3932"/>
    </row>
    <row r="5" spans="1:41" ht="32.1" customHeight="1">
      <c r="A5" s="3906">
        <v>2</v>
      </c>
      <c r="B5" s="3933" t="s">
        <v>3565</v>
      </c>
      <c r="C5" s="3906" t="s">
        <v>3566</v>
      </c>
      <c r="D5" s="3906">
        <v>711.88</v>
      </c>
      <c r="E5" s="3906" t="s">
        <v>3567</v>
      </c>
      <c r="F5" s="3934">
        <v>4.7</v>
      </c>
      <c r="G5" s="3934">
        <v>101769.18</v>
      </c>
      <c r="H5" s="3934">
        <v>1017691.78</v>
      </c>
      <c r="I5" s="3934" t="s">
        <v>3568</v>
      </c>
      <c r="J5" s="3934">
        <v>305307.53999999998</v>
      </c>
      <c r="K5" s="3935">
        <v>1.1000000000000001</v>
      </c>
      <c r="L5" s="3935">
        <v>0</v>
      </c>
      <c r="M5" s="3935">
        <v>23818.32</v>
      </c>
      <c r="N5" s="3935">
        <v>285819.84000000003</v>
      </c>
      <c r="O5" s="3936">
        <v>71454.960000000006</v>
      </c>
      <c r="P5" s="3937">
        <v>0</v>
      </c>
      <c r="Q5" s="3938">
        <v>0</v>
      </c>
      <c r="R5" s="3937" t="e">
        <f>S5+T5+#REF!</f>
        <v>#REF!</v>
      </c>
      <c r="S5" s="3939">
        <v>5726573.3200000003</v>
      </c>
      <c r="T5" s="3940">
        <v>1429099.2</v>
      </c>
      <c r="U5" s="3941" t="s">
        <v>3557</v>
      </c>
      <c r="V5" s="3941" t="s">
        <v>3569</v>
      </c>
      <c r="W5" s="3906" t="s">
        <v>3570</v>
      </c>
      <c r="X5" s="3906" t="s">
        <v>3571</v>
      </c>
      <c r="Y5" s="3906" t="s">
        <v>3572</v>
      </c>
      <c r="Z5" s="3876" t="s">
        <v>3573</v>
      </c>
      <c r="AA5" s="3942">
        <v>1017691.78</v>
      </c>
      <c r="AB5" s="3876" t="s">
        <v>3562</v>
      </c>
      <c r="AC5" s="3942">
        <v>305307.53999999998</v>
      </c>
      <c r="AD5" s="3942">
        <v>357274.8</v>
      </c>
      <c r="AE5" s="3876" t="s">
        <v>3562</v>
      </c>
      <c r="AF5" s="3942">
        <v>71454.960000000006</v>
      </c>
      <c r="AG5" s="3943">
        <v>45193</v>
      </c>
      <c r="AH5" s="3944" t="e">
        <f>AI5+AJ5+AK5+#REF!</f>
        <v>#REF!</v>
      </c>
      <c r="AI5" s="3878">
        <v>1119460.96</v>
      </c>
      <c r="AJ5" s="3878">
        <v>285819.84000000003</v>
      </c>
      <c r="AK5" s="3878"/>
      <c r="AM5" s="3906">
        <v>5</v>
      </c>
      <c r="AN5" s="3880">
        <f>S5+T5</f>
        <v>7155672.5200000005</v>
      </c>
      <c r="AO5" s="3880">
        <f>AN5/AM5</f>
        <v>1431134.5040000002</v>
      </c>
    </row>
    <row r="6" spans="1:41" ht="24.95" customHeight="1">
      <c r="A6" s="3881">
        <v>3</v>
      </c>
      <c r="B6" s="3945" t="s">
        <v>3574</v>
      </c>
      <c r="C6" s="3906" t="s">
        <v>3575</v>
      </c>
      <c r="D6" s="3906">
        <v>3403.95</v>
      </c>
      <c r="E6" s="3946" t="s">
        <v>3567</v>
      </c>
      <c r="F6" s="3947">
        <f>6-1.48</f>
        <v>4.5199999999999996</v>
      </c>
      <c r="G6" s="3948">
        <v>500745.75</v>
      </c>
      <c r="H6" s="3949">
        <v>5004713.7</v>
      </c>
      <c r="I6" s="3950" t="s">
        <v>3576</v>
      </c>
      <c r="J6" s="3951">
        <v>1502237.25</v>
      </c>
      <c r="K6" s="3889">
        <v>1.48</v>
      </c>
      <c r="L6" s="3889">
        <v>0</v>
      </c>
      <c r="M6" s="3889">
        <v>165602.81</v>
      </c>
      <c r="N6" s="3889">
        <v>1987233.74</v>
      </c>
      <c r="O6" s="3952">
        <v>0</v>
      </c>
      <c r="P6" s="3892">
        <v>0</v>
      </c>
      <c r="Q6" s="3893">
        <v>0</v>
      </c>
      <c r="R6" s="3892" t="e">
        <f>S6+T6+#REF!</f>
        <v>#REF!</v>
      </c>
      <c r="S6" s="3953">
        <v>29598437.420000002</v>
      </c>
      <c r="T6" s="3954">
        <v>9936168.6999999993</v>
      </c>
      <c r="U6" s="3955" t="s">
        <v>3557</v>
      </c>
      <c r="V6" s="3955" t="s">
        <v>3577</v>
      </c>
      <c r="W6" s="3946" t="s">
        <v>3578</v>
      </c>
      <c r="X6" s="3946" t="s">
        <v>3579</v>
      </c>
      <c r="Y6" s="3946" t="s">
        <v>3580</v>
      </c>
      <c r="Z6" s="3899" t="s">
        <v>3581</v>
      </c>
      <c r="AA6" s="3956">
        <v>11013662.706</v>
      </c>
      <c r="AB6" s="3957" t="s">
        <v>3582</v>
      </c>
      <c r="AC6" s="3900">
        <v>1502237.25</v>
      </c>
      <c r="AD6" s="3900">
        <v>3974467.48</v>
      </c>
      <c r="AE6" s="3901" t="s">
        <v>3582</v>
      </c>
      <c r="AF6" s="3958">
        <v>0</v>
      </c>
      <c r="AG6" s="3902">
        <v>45579</v>
      </c>
      <c r="AH6" s="3959" t="e">
        <f>AI6+AJ6+AK6+#REF!</f>
        <v>#REF!</v>
      </c>
      <c r="AI6" s="3960">
        <v>6008949.0099999998</v>
      </c>
      <c r="AJ6" s="3905">
        <v>1987233.74</v>
      </c>
      <c r="AK6" s="3905"/>
      <c r="AM6" s="3906">
        <v>5</v>
      </c>
      <c r="AN6" s="3880">
        <f>S6+T6</f>
        <v>39534606.120000005</v>
      </c>
      <c r="AO6" s="3880">
        <f>AN6/AM6</f>
        <v>7906921.2240000013</v>
      </c>
    </row>
    <row r="7" spans="1:41" ht="24.95" customHeight="1">
      <c r="A7" s="3881"/>
      <c r="B7" s="3961"/>
      <c r="C7" s="3906" t="s">
        <v>3583</v>
      </c>
      <c r="D7" s="3906">
        <v>274.75</v>
      </c>
      <c r="E7" s="3962"/>
      <c r="F7" s="3947">
        <f>5.4-1.48</f>
        <v>3.9200000000000004</v>
      </c>
      <c r="G7" s="3963"/>
      <c r="H7" s="3964"/>
      <c r="I7" s="3965"/>
      <c r="J7" s="3966"/>
      <c r="K7" s="3921"/>
      <c r="L7" s="3921"/>
      <c r="M7" s="3921"/>
      <c r="N7" s="3921"/>
      <c r="O7" s="3967"/>
      <c r="P7" s="3922"/>
      <c r="Q7" s="3923"/>
      <c r="R7" s="3922"/>
      <c r="S7" s="3968"/>
      <c r="T7" s="3969"/>
      <c r="U7" s="3970"/>
      <c r="V7" s="3970"/>
      <c r="W7" s="3962"/>
      <c r="X7" s="3962"/>
      <c r="Y7" s="3962"/>
      <c r="Z7" s="3926"/>
      <c r="AA7" s="3971"/>
      <c r="AB7" s="3972"/>
      <c r="AC7" s="3927"/>
      <c r="AD7" s="3927"/>
      <c r="AE7" s="3928"/>
      <c r="AF7" s="3973"/>
      <c r="AG7" s="3929"/>
      <c r="AH7" s="3974"/>
      <c r="AI7" s="3960"/>
      <c r="AJ7" s="3932"/>
      <c r="AK7" s="3932"/>
      <c r="AM7" s="3906"/>
    </row>
    <row r="8" spans="1:41" s="3985" customFormat="1" ht="17.100000000000001" customHeight="1">
      <c r="A8" s="3975">
        <v>4</v>
      </c>
      <c r="B8" s="3976" t="s">
        <v>3584</v>
      </c>
      <c r="C8" s="3977" t="s">
        <v>3427</v>
      </c>
      <c r="D8" s="3978">
        <v>4160.68</v>
      </c>
      <c r="E8" s="3975" t="s">
        <v>3585</v>
      </c>
      <c r="F8" s="3886">
        <v>3</v>
      </c>
      <c r="G8" s="3886">
        <v>386662.05</v>
      </c>
      <c r="H8" s="3887">
        <v>4639944.5999999996</v>
      </c>
      <c r="I8" s="3887" t="s">
        <v>3586</v>
      </c>
      <c r="J8" s="3887">
        <v>386662.05</v>
      </c>
      <c r="K8" s="3889">
        <v>0</v>
      </c>
      <c r="L8" s="3979">
        <v>0</v>
      </c>
      <c r="M8" s="3889">
        <v>0</v>
      </c>
      <c r="N8" s="3980">
        <v>0</v>
      </c>
      <c r="O8" s="3952">
        <v>0</v>
      </c>
      <c r="P8" s="3892">
        <v>0</v>
      </c>
      <c r="Q8" s="3893">
        <v>0</v>
      </c>
      <c r="R8" s="3894">
        <f>S8+T8</f>
        <v>42951166.079999998</v>
      </c>
      <c r="S8" s="3895">
        <v>42951166.079999998</v>
      </c>
      <c r="T8" s="3895">
        <v>0</v>
      </c>
      <c r="U8" s="3896" t="s">
        <v>3587</v>
      </c>
      <c r="V8" s="3896" t="s">
        <v>3588</v>
      </c>
      <c r="W8" s="3981" t="s">
        <v>3589</v>
      </c>
      <c r="X8" s="3982" t="s">
        <v>3590</v>
      </c>
      <c r="Y8" s="3981" t="s">
        <v>3591</v>
      </c>
      <c r="Z8" s="3901" t="s">
        <v>3592</v>
      </c>
      <c r="AA8" s="3900"/>
      <c r="AB8" s="3901"/>
      <c r="AC8" s="3900"/>
      <c r="AD8" s="3900"/>
      <c r="AE8" s="3901"/>
      <c r="AF8" s="3900"/>
      <c r="AG8" s="3902">
        <v>45100</v>
      </c>
      <c r="AH8" s="3983">
        <f>AI8+AJ8</f>
        <v>2319972.2999999998</v>
      </c>
      <c r="AI8" s="3984">
        <v>2319972.2999999998</v>
      </c>
      <c r="AJ8" s="3905">
        <v>0</v>
      </c>
      <c r="AK8" s="3905"/>
      <c r="AM8" s="3906">
        <v>8</v>
      </c>
      <c r="AN8" s="3880">
        <f>S8+T8</f>
        <v>42951166.079999998</v>
      </c>
      <c r="AO8" s="3880">
        <f>AN8/AM8</f>
        <v>5368895.7599999998</v>
      </c>
    </row>
    <row r="9" spans="1:41" s="3985" customFormat="1">
      <c r="A9" s="3986"/>
      <c r="B9" s="3987"/>
      <c r="C9" s="3977" t="s">
        <v>3593</v>
      </c>
      <c r="D9" s="3988"/>
      <c r="E9" s="3986"/>
      <c r="F9" s="3886"/>
      <c r="G9" s="3886"/>
      <c r="H9" s="3887"/>
      <c r="I9" s="3887"/>
      <c r="J9" s="3887"/>
      <c r="K9" s="3908"/>
      <c r="L9" s="3989"/>
      <c r="M9" s="3908"/>
      <c r="N9" s="3908"/>
      <c r="O9" s="3990"/>
      <c r="P9" s="3909"/>
      <c r="Q9" s="3910"/>
      <c r="R9" s="3894"/>
      <c r="S9" s="3895"/>
      <c r="T9" s="3895"/>
      <c r="U9" s="3911"/>
      <c r="V9" s="3911"/>
      <c r="W9" s="3991"/>
      <c r="X9" s="3982"/>
      <c r="Y9" s="3991"/>
      <c r="Z9" s="3915"/>
      <c r="AA9" s="3914"/>
      <c r="AB9" s="3915"/>
      <c r="AC9" s="3914"/>
      <c r="AD9" s="3914"/>
      <c r="AE9" s="3915"/>
      <c r="AF9" s="3914"/>
      <c r="AG9" s="3916"/>
      <c r="AH9" s="3992"/>
      <c r="AI9" s="3919"/>
      <c r="AJ9" s="3919"/>
      <c r="AK9" s="3919"/>
      <c r="AM9" s="3906"/>
    </row>
    <row r="10" spans="1:41" s="3985" customFormat="1">
      <c r="A10" s="3993"/>
      <c r="B10" s="3994"/>
      <c r="C10" s="3977" t="s">
        <v>3594</v>
      </c>
      <c r="D10" s="3995"/>
      <c r="E10" s="3993"/>
      <c r="F10" s="3886"/>
      <c r="G10" s="3886"/>
      <c r="H10" s="3887"/>
      <c r="I10" s="3887"/>
      <c r="J10" s="3887"/>
      <c r="K10" s="3921"/>
      <c r="L10" s="3996"/>
      <c r="M10" s="3921"/>
      <c r="N10" s="3921"/>
      <c r="O10" s="3967"/>
      <c r="P10" s="3922"/>
      <c r="Q10" s="3923"/>
      <c r="R10" s="3894"/>
      <c r="S10" s="3895"/>
      <c r="T10" s="3895"/>
      <c r="U10" s="3924"/>
      <c r="V10" s="3924"/>
      <c r="W10" s="3997"/>
      <c r="X10" s="3982"/>
      <c r="Y10" s="3997"/>
      <c r="Z10" s="3928"/>
      <c r="AA10" s="3927"/>
      <c r="AB10" s="3928"/>
      <c r="AC10" s="3927"/>
      <c r="AD10" s="3927"/>
      <c r="AE10" s="3928"/>
      <c r="AF10" s="3927"/>
      <c r="AG10" s="3929"/>
      <c r="AH10" s="3998"/>
      <c r="AI10" s="3932"/>
      <c r="AJ10" s="3932"/>
      <c r="AK10" s="3932"/>
      <c r="AM10" s="3906"/>
    </row>
    <row r="11" spans="1:41" ht="84.95" customHeight="1">
      <c r="A11" s="3906">
        <v>5</v>
      </c>
      <c r="B11" s="3933" t="s">
        <v>3595</v>
      </c>
      <c r="C11" s="3906" t="s">
        <v>3596</v>
      </c>
      <c r="D11" s="3906">
        <v>430.11</v>
      </c>
      <c r="E11" s="3906" t="s">
        <v>3597</v>
      </c>
      <c r="F11" s="3934"/>
      <c r="G11" s="3934"/>
      <c r="H11" s="3999">
        <f>6000000*0.06</f>
        <v>360000</v>
      </c>
      <c r="I11" s="3934"/>
      <c r="J11" s="3934">
        <v>200000</v>
      </c>
      <c r="K11" s="3935">
        <v>0.75</v>
      </c>
      <c r="L11" s="4000" t="s">
        <v>3598</v>
      </c>
      <c r="M11" s="3935">
        <v>9811.8799999999992</v>
      </c>
      <c r="N11" s="3935">
        <v>117742.61</v>
      </c>
      <c r="O11" s="3936">
        <v>0</v>
      </c>
      <c r="P11" s="3937">
        <v>0</v>
      </c>
      <c r="Q11" s="3938">
        <v>0</v>
      </c>
      <c r="R11" s="3937"/>
      <c r="S11" s="3939"/>
      <c r="T11" s="3939"/>
      <c r="U11" s="4001" t="s">
        <v>3599</v>
      </c>
      <c r="V11" s="4002" t="s">
        <v>3600</v>
      </c>
      <c r="W11" s="3906" t="s">
        <v>3601</v>
      </c>
      <c r="X11" s="3906" t="s">
        <v>3602</v>
      </c>
      <c r="Y11" s="3906">
        <v>0</v>
      </c>
      <c r="Z11" s="3876"/>
      <c r="AA11" s="3942"/>
      <c r="AB11" s="3876"/>
      <c r="AC11" s="3942">
        <v>200000</v>
      </c>
      <c r="AD11" s="3942"/>
      <c r="AE11" s="3876"/>
      <c r="AF11" s="3942"/>
      <c r="AG11" s="3943"/>
      <c r="AH11" s="3944"/>
      <c r="AI11" s="3878"/>
      <c r="AJ11" s="3878"/>
      <c r="AK11" s="3878"/>
      <c r="AM11" s="3906">
        <v>15</v>
      </c>
      <c r="AN11" s="3880">
        <f t="shared" ref="AN11:AN74" si="0">S11+T11</f>
        <v>0</v>
      </c>
      <c r="AO11" s="3880">
        <f>AN11/AM11</f>
        <v>0</v>
      </c>
    </row>
    <row r="12" spans="1:41" ht="24.95" customHeight="1">
      <c r="A12" s="3906">
        <v>6</v>
      </c>
      <c r="B12" s="4003" t="s">
        <v>3603</v>
      </c>
      <c r="C12" s="3906" t="s">
        <v>3604</v>
      </c>
      <c r="D12" s="3906">
        <v>392.52</v>
      </c>
      <c r="E12" s="3906" t="s">
        <v>3567</v>
      </c>
      <c r="F12" s="3934">
        <v>0</v>
      </c>
      <c r="G12" s="3934">
        <v>0</v>
      </c>
      <c r="H12" s="3999">
        <v>0</v>
      </c>
      <c r="I12" s="3934">
        <v>0</v>
      </c>
      <c r="J12" s="3934">
        <v>0</v>
      </c>
      <c r="K12" s="3935">
        <v>4</v>
      </c>
      <c r="L12" s="3979" t="s">
        <v>3605</v>
      </c>
      <c r="M12" s="4004">
        <v>47756.6</v>
      </c>
      <c r="N12" s="4004">
        <v>573079.19999999995</v>
      </c>
      <c r="O12" s="4005">
        <v>47756.6</v>
      </c>
      <c r="P12" s="4006">
        <f>63.31*D12</f>
        <v>24850.441200000001</v>
      </c>
      <c r="Q12" s="3938">
        <f>42*D12</f>
        <v>16485.84</v>
      </c>
      <c r="R12" s="3937">
        <v>3248298.24</v>
      </c>
      <c r="S12" s="3939">
        <v>0</v>
      </c>
      <c r="T12" s="3939">
        <v>3248298.24</v>
      </c>
      <c r="U12" s="3896" t="s">
        <v>3587</v>
      </c>
      <c r="V12" s="3896" t="s">
        <v>3588</v>
      </c>
      <c r="W12" s="3906" t="s">
        <v>3606</v>
      </c>
      <c r="X12" s="3946" t="s">
        <v>3607</v>
      </c>
      <c r="Y12" s="3946" t="s">
        <v>3608</v>
      </c>
      <c r="Z12" s="3901" t="s">
        <v>3609</v>
      </c>
      <c r="AA12" s="3942">
        <v>95513.2</v>
      </c>
      <c r="AB12" s="3876" t="s">
        <v>3610</v>
      </c>
      <c r="AC12" s="3942">
        <v>47756.6</v>
      </c>
      <c r="AD12" s="4007" t="s">
        <v>3611</v>
      </c>
      <c r="AE12" s="4008"/>
      <c r="AF12" s="3942"/>
      <c r="AG12" s="3943" t="s">
        <v>3612</v>
      </c>
      <c r="AH12" s="4009">
        <f>AI12+AJ12+AK12</f>
        <v>47756.6</v>
      </c>
      <c r="AI12" s="4010">
        <v>47756.6</v>
      </c>
      <c r="AJ12" s="4010"/>
      <c r="AK12" s="3878"/>
      <c r="AM12" s="3906">
        <v>5</v>
      </c>
      <c r="AN12" s="3880">
        <f t="shared" si="0"/>
        <v>3248298.24</v>
      </c>
      <c r="AO12" s="3880">
        <f t="shared" ref="AO12:AO75" si="1">AN12/AM12</f>
        <v>649659.64800000004</v>
      </c>
    </row>
    <row r="13" spans="1:41" ht="24.95" customHeight="1">
      <c r="A13" s="3906">
        <v>7</v>
      </c>
      <c r="B13" s="3906" t="s">
        <v>3613</v>
      </c>
      <c r="C13" s="3906" t="s">
        <v>3614</v>
      </c>
      <c r="D13" s="3906">
        <v>179.4</v>
      </c>
      <c r="E13" s="3906" t="s">
        <v>3567</v>
      </c>
      <c r="F13" s="3934">
        <v>0</v>
      </c>
      <c r="G13" s="3934">
        <v>0</v>
      </c>
      <c r="H13" s="3999">
        <v>0</v>
      </c>
      <c r="I13" s="3934">
        <v>0</v>
      </c>
      <c r="J13" s="3934">
        <v>0</v>
      </c>
      <c r="K13" s="3935">
        <v>4</v>
      </c>
      <c r="L13" s="3996"/>
      <c r="M13" s="4004">
        <v>21827</v>
      </c>
      <c r="N13" s="4004">
        <v>261924</v>
      </c>
      <c r="O13" s="4005">
        <v>21827</v>
      </c>
      <c r="P13" s="4006">
        <f>63.31*D13</f>
        <v>11357.814</v>
      </c>
      <c r="Q13" s="3938">
        <f>42*D13</f>
        <v>7534.8</v>
      </c>
      <c r="R13" s="3937">
        <v>1484624.77</v>
      </c>
      <c r="S13" s="3939">
        <v>0</v>
      </c>
      <c r="T13" s="3939">
        <v>1484624.77</v>
      </c>
      <c r="U13" s="3924"/>
      <c r="V13" s="3924"/>
      <c r="W13" s="3906" t="s">
        <v>3606</v>
      </c>
      <c r="X13" s="3962"/>
      <c r="Y13" s="3962"/>
      <c r="Z13" s="3928"/>
      <c r="AA13" s="3942">
        <v>43654</v>
      </c>
      <c r="AB13" s="3876" t="s">
        <v>3610</v>
      </c>
      <c r="AC13" s="3942">
        <v>21827</v>
      </c>
      <c r="AD13" s="4007" t="s">
        <v>3615</v>
      </c>
      <c r="AE13" s="4008"/>
      <c r="AF13" s="3942"/>
      <c r="AG13" s="3943" t="s">
        <v>3616</v>
      </c>
      <c r="AH13" s="4009">
        <f>AI13+AJ13+AK13</f>
        <v>21827</v>
      </c>
      <c r="AI13" s="4010">
        <v>21827</v>
      </c>
      <c r="AJ13" s="4010"/>
      <c r="AK13" s="3878"/>
      <c r="AM13" s="3906">
        <v>5</v>
      </c>
      <c r="AN13" s="3880">
        <f t="shared" si="0"/>
        <v>1484624.77</v>
      </c>
      <c r="AO13" s="3880">
        <f t="shared" si="1"/>
        <v>296924.95400000003</v>
      </c>
    </row>
    <row r="14" spans="1:41" s="3985" customFormat="1" ht="84" customHeight="1">
      <c r="A14" s="4011">
        <v>8</v>
      </c>
      <c r="B14" s="4012" t="s">
        <v>3617</v>
      </c>
      <c r="C14" s="4013" t="s">
        <v>3618</v>
      </c>
      <c r="D14" s="4011">
        <v>563.91</v>
      </c>
      <c r="E14" s="4011" t="s">
        <v>3567</v>
      </c>
      <c r="F14" s="4014"/>
      <c r="G14" s="4014"/>
      <c r="H14" s="4015">
        <f>1.4*365*D14</f>
        <v>288158.00999999995</v>
      </c>
      <c r="I14" s="4014"/>
      <c r="J14" s="4014"/>
      <c r="K14" s="4016"/>
      <c r="L14" s="4016"/>
      <c r="M14" s="4016"/>
      <c r="N14" s="4016"/>
      <c r="O14" s="4017"/>
      <c r="P14" s="4018">
        <f>63.31*D14</f>
        <v>35701.142099999997</v>
      </c>
      <c r="Q14" s="4019">
        <f>42*D14</f>
        <v>23684.219999999998</v>
      </c>
      <c r="R14" s="3937"/>
      <c r="S14" s="3939"/>
      <c r="T14" s="3939"/>
      <c r="U14" s="4020" t="s">
        <v>3619</v>
      </c>
      <c r="V14" s="4021" t="s">
        <v>3620</v>
      </c>
      <c r="W14" s="4011" t="s">
        <v>3621</v>
      </c>
      <c r="X14" s="4011" t="s">
        <v>3571</v>
      </c>
      <c r="Y14" s="4011"/>
      <c r="Z14" s="3876"/>
      <c r="AA14" s="3942"/>
      <c r="AB14" s="3876"/>
      <c r="AC14" s="3942"/>
      <c r="AD14" s="3942"/>
      <c r="AE14" s="3876"/>
      <c r="AF14" s="3942"/>
      <c r="AG14" s="4022" t="s">
        <v>3622</v>
      </c>
      <c r="AH14" s="3944"/>
      <c r="AI14" s="3878"/>
      <c r="AJ14" s="3878"/>
      <c r="AK14" s="3878">
        <v>59385.36</v>
      </c>
      <c r="AM14" s="3906">
        <v>5</v>
      </c>
      <c r="AN14" s="3880">
        <f t="shared" si="0"/>
        <v>0</v>
      </c>
      <c r="AO14" s="3880">
        <f t="shared" si="1"/>
        <v>0</v>
      </c>
    </row>
    <row r="15" spans="1:41" ht="36" customHeight="1">
      <c r="A15" s="3906">
        <v>9</v>
      </c>
      <c r="B15" s="3933" t="s">
        <v>3623</v>
      </c>
      <c r="C15" s="4003" t="s">
        <v>3624</v>
      </c>
      <c r="D15" s="3906">
        <v>967.55</v>
      </c>
      <c r="E15" s="3906" t="s">
        <v>3625</v>
      </c>
      <c r="F15" s="3934"/>
      <c r="G15" s="3934"/>
      <c r="H15" s="3999">
        <f>12*100000*0.05</f>
        <v>60000</v>
      </c>
      <c r="I15" s="3934"/>
      <c r="J15" s="3934"/>
      <c r="K15" s="3935"/>
      <c r="L15" s="3935"/>
      <c r="M15" s="3935"/>
      <c r="N15" s="3935"/>
      <c r="O15" s="3936"/>
      <c r="P15" s="3937"/>
      <c r="Q15" s="3938"/>
      <c r="R15" s="3937"/>
      <c r="S15" s="3939"/>
      <c r="T15" s="3939"/>
      <c r="U15" s="4020" t="s">
        <v>3626</v>
      </c>
      <c r="V15" s="4020"/>
      <c r="W15" s="3906"/>
      <c r="X15" s="3906"/>
      <c r="Y15" s="3906"/>
      <c r="Z15" s="3876"/>
      <c r="AA15" s="3942"/>
      <c r="AB15" s="3876"/>
      <c r="AC15" s="3942"/>
      <c r="AD15" s="3942"/>
      <c r="AE15" s="3876"/>
      <c r="AF15" s="3942"/>
      <c r="AG15" s="3943"/>
      <c r="AH15" s="3944"/>
      <c r="AI15" s="3878"/>
      <c r="AJ15" s="3878"/>
      <c r="AK15" s="3878">
        <v>0</v>
      </c>
      <c r="AM15" s="3906">
        <v>1</v>
      </c>
      <c r="AN15" s="3880">
        <f t="shared" si="0"/>
        <v>0</v>
      </c>
      <c r="AO15" s="3880">
        <f t="shared" si="1"/>
        <v>0</v>
      </c>
    </row>
    <row r="16" spans="1:41" ht="60.95" customHeight="1">
      <c r="A16" s="3906">
        <v>10</v>
      </c>
      <c r="B16" s="3933" t="s">
        <v>3627</v>
      </c>
      <c r="C16" s="4003" t="s">
        <v>3628</v>
      </c>
      <c r="D16" s="3906">
        <v>160.88</v>
      </c>
      <c r="E16" s="3906" t="s">
        <v>3554</v>
      </c>
      <c r="F16" s="3934"/>
      <c r="G16" s="3934"/>
      <c r="H16" s="3999">
        <f>12*50000*0.05</f>
        <v>30000</v>
      </c>
      <c r="I16" s="3934"/>
      <c r="J16" s="3934"/>
      <c r="K16" s="3935"/>
      <c r="L16" s="3935"/>
      <c r="M16" s="3935"/>
      <c r="N16" s="3935"/>
      <c r="O16" s="3936"/>
      <c r="P16" s="3937"/>
      <c r="Q16" s="3938"/>
      <c r="R16" s="3937"/>
      <c r="S16" s="3939"/>
      <c r="T16" s="3939"/>
      <c r="U16" s="4020" t="s">
        <v>3629</v>
      </c>
      <c r="V16" s="4021" t="s">
        <v>3620</v>
      </c>
      <c r="W16" s="3906" t="s">
        <v>3621</v>
      </c>
      <c r="X16" s="3906" t="s">
        <v>3630</v>
      </c>
      <c r="Y16" s="3906"/>
      <c r="Z16" s="3876"/>
      <c r="AA16" s="3942"/>
      <c r="AB16" s="3876"/>
      <c r="AC16" s="3942"/>
      <c r="AD16" s="3942"/>
      <c r="AE16" s="3876"/>
      <c r="AF16" s="3942"/>
      <c r="AG16" s="3943"/>
      <c r="AH16" s="3944"/>
      <c r="AI16" s="3878"/>
      <c r="AJ16" s="3878"/>
      <c r="AK16" s="3878">
        <v>0</v>
      </c>
      <c r="AM16" s="3906">
        <v>10</v>
      </c>
      <c r="AN16" s="3880">
        <f t="shared" si="0"/>
        <v>0</v>
      </c>
      <c r="AO16" s="3880">
        <f t="shared" si="1"/>
        <v>0</v>
      </c>
    </row>
    <row r="17" spans="1:41" ht="24.95" customHeight="1">
      <c r="A17" s="3906">
        <v>11</v>
      </c>
      <c r="B17" s="3933" t="s">
        <v>3631</v>
      </c>
      <c r="C17" s="4003" t="s">
        <v>3632</v>
      </c>
      <c r="D17" s="3906">
        <v>34.29</v>
      </c>
      <c r="E17" s="3906" t="s">
        <v>3554</v>
      </c>
      <c r="F17" s="3934">
        <v>3.4</v>
      </c>
      <c r="G17" s="3934">
        <v>3546.16</v>
      </c>
      <c r="H17" s="3934">
        <v>42553.919999999998</v>
      </c>
      <c r="I17" s="3934" t="s">
        <v>3633</v>
      </c>
      <c r="J17" s="3934">
        <v>3546.16</v>
      </c>
      <c r="K17" s="3935"/>
      <c r="L17" s="3935"/>
      <c r="M17" s="3935"/>
      <c r="N17" s="3935"/>
      <c r="O17" s="3936"/>
      <c r="P17" s="3937">
        <v>0</v>
      </c>
      <c r="Q17" s="3938">
        <v>0</v>
      </c>
      <c r="R17" s="3937" t="e">
        <f>S17+T17+#REF!</f>
        <v>#REF!</v>
      </c>
      <c r="S17" s="3939">
        <v>487992.94</v>
      </c>
      <c r="T17" s="3939">
        <v>0</v>
      </c>
      <c r="U17" s="3941" t="s">
        <v>3587</v>
      </c>
      <c r="V17" s="3941" t="s">
        <v>3620</v>
      </c>
      <c r="W17" s="3906" t="s">
        <v>3621</v>
      </c>
      <c r="X17" s="4023" t="s">
        <v>3634</v>
      </c>
      <c r="Y17" s="3906" t="s">
        <v>3635</v>
      </c>
      <c r="Z17" s="3876" t="s">
        <v>3609</v>
      </c>
      <c r="AA17" s="3942">
        <v>7092.32</v>
      </c>
      <c r="AB17" s="3876" t="s">
        <v>3636</v>
      </c>
      <c r="AC17" s="3942">
        <v>3546.16</v>
      </c>
      <c r="AD17" s="3942"/>
      <c r="AE17" s="3876"/>
      <c r="AF17" s="3942">
        <v>50000</v>
      </c>
      <c r="AG17" s="3943" t="s">
        <v>3637</v>
      </c>
      <c r="AH17" s="3878">
        <v>3546.16</v>
      </c>
      <c r="AI17" s="3878"/>
      <c r="AJ17" s="3878"/>
      <c r="AK17" s="3878">
        <v>0</v>
      </c>
      <c r="AM17" s="3906">
        <v>10</v>
      </c>
      <c r="AN17" s="3880">
        <f t="shared" si="0"/>
        <v>487992.94</v>
      </c>
      <c r="AO17" s="3880">
        <f t="shared" si="1"/>
        <v>48799.294000000002</v>
      </c>
    </row>
    <row r="18" spans="1:41" ht="24.95" customHeight="1">
      <c r="A18" s="3906">
        <v>12</v>
      </c>
      <c r="B18" s="3933" t="s">
        <v>3638</v>
      </c>
      <c r="C18" s="4003" t="s">
        <v>3639</v>
      </c>
      <c r="D18" s="3906">
        <v>2531.5700000000002</v>
      </c>
      <c r="E18" s="3906" t="s">
        <v>3567</v>
      </c>
      <c r="F18" s="3934">
        <v>4.4000000000000004</v>
      </c>
      <c r="G18" s="3934">
        <v>338808.45</v>
      </c>
      <c r="H18" s="3934">
        <f>G18*9</f>
        <v>3049276.0500000003</v>
      </c>
      <c r="I18" s="3934" t="s">
        <v>3640</v>
      </c>
      <c r="J18" s="3934">
        <v>1366722.06</v>
      </c>
      <c r="K18" s="3935">
        <v>1.1000000000000001</v>
      </c>
      <c r="L18" s="3935">
        <v>0</v>
      </c>
      <c r="M18" s="3935">
        <v>84702.11</v>
      </c>
      <c r="N18" s="3935">
        <v>1016425.32</v>
      </c>
      <c r="O18" s="3936">
        <v>341680.5</v>
      </c>
      <c r="P18" s="3937">
        <v>0</v>
      </c>
      <c r="Q18" s="3938">
        <v>0</v>
      </c>
      <c r="R18" s="3937" t="e">
        <f>S18+T18+#REF!</f>
        <v>#REF!</v>
      </c>
      <c r="S18" s="3939">
        <v>20356227.690000001</v>
      </c>
      <c r="T18" s="3940">
        <v>5082126.5999999996</v>
      </c>
      <c r="U18" s="3941" t="s">
        <v>3557</v>
      </c>
      <c r="V18" s="3941" t="s">
        <v>3569</v>
      </c>
      <c r="W18" s="3906" t="s">
        <v>3641</v>
      </c>
      <c r="X18" s="3906" t="s">
        <v>3642</v>
      </c>
      <c r="Y18" s="3906" t="s">
        <v>630</v>
      </c>
      <c r="Z18" s="3876" t="s">
        <v>3643</v>
      </c>
      <c r="AA18" s="3942">
        <v>1016425.35</v>
      </c>
      <c r="AB18" s="3876" t="s">
        <v>3644</v>
      </c>
      <c r="AC18" s="3942">
        <v>1016425.35</v>
      </c>
      <c r="AD18" s="3942">
        <v>508212.66</v>
      </c>
      <c r="AE18" s="3876" t="s">
        <v>3645</v>
      </c>
      <c r="AF18" s="3942">
        <v>254106.33</v>
      </c>
      <c r="AG18" s="3943">
        <v>45078</v>
      </c>
      <c r="AH18" s="3944">
        <f>AI18+AJ18</f>
        <v>1270531.68</v>
      </c>
      <c r="AI18" s="3878">
        <v>1016425.35</v>
      </c>
      <c r="AJ18" s="4024">
        <v>254106.33</v>
      </c>
      <c r="AK18" s="3878">
        <v>0</v>
      </c>
      <c r="AM18" s="3906">
        <v>5</v>
      </c>
      <c r="AN18" s="3880">
        <f t="shared" si="0"/>
        <v>25438354.289999999</v>
      </c>
      <c r="AO18" s="3880">
        <f t="shared" si="1"/>
        <v>5087670.858</v>
      </c>
    </row>
    <row r="19" spans="1:41" ht="24.95" customHeight="1">
      <c r="A19" s="3906">
        <v>13</v>
      </c>
      <c r="B19" s="3933" t="s">
        <v>3646</v>
      </c>
      <c r="C19" s="4003" t="s">
        <v>3647</v>
      </c>
      <c r="D19" s="3906">
        <v>526.4</v>
      </c>
      <c r="E19" s="3906" t="s">
        <v>3554</v>
      </c>
      <c r="F19" s="3934">
        <v>4.0999999999999996</v>
      </c>
      <c r="G19" s="4025">
        <v>65646.47</v>
      </c>
      <c r="H19" s="3934">
        <f>G19*6</f>
        <v>393878.82</v>
      </c>
      <c r="I19" s="3934" t="s">
        <v>3648</v>
      </c>
      <c r="J19" s="3934">
        <f>G19*2</f>
        <v>131292.94</v>
      </c>
      <c r="K19" s="3935">
        <v>1.4</v>
      </c>
      <c r="L19" s="3935">
        <v>0</v>
      </c>
      <c r="M19" s="3935">
        <v>22415.87</v>
      </c>
      <c r="N19" s="3935">
        <f>M19*12</f>
        <v>268990.44</v>
      </c>
      <c r="O19" s="3935">
        <v>44831.74</v>
      </c>
      <c r="P19" s="3937">
        <v>0</v>
      </c>
      <c r="Q19" s="3938">
        <v>0</v>
      </c>
      <c r="R19" s="3937" t="e">
        <f>S19+T19+#REF!</f>
        <v>#REF!</v>
      </c>
      <c r="S19" s="4026">
        <v>8632670.4600000009</v>
      </c>
      <c r="T19" s="4026">
        <v>2689904.4</v>
      </c>
      <c r="U19" s="3941" t="s">
        <v>3557</v>
      </c>
      <c r="V19" s="3941" t="s">
        <v>3649</v>
      </c>
      <c r="W19" s="3906" t="s">
        <v>3650</v>
      </c>
      <c r="X19" s="3906" t="s">
        <v>3651</v>
      </c>
      <c r="Y19" s="3906" t="s">
        <v>3652</v>
      </c>
      <c r="Z19" s="3876" t="s">
        <v>3653</v>
      </c>
      <c r="AA19" s="4007" t="s">
        <v>3654</v>
      </c>
      <c r="AB19" s="4008"/>
      <c r="AC19" s="3942">
        <v>131292.94</v>
      </c>
      <c r="AD19" s="3942">
        <v>67247.61</v>
      </c>
      <c r="AE19" s="3876" t="s">
        <v>3655</v>
      </c>
      <c r="AF19" s="3942">
        <v>44831.74</v>
      </c>
      <c r="AG19" s="3943">
        <v>45069</v>
      </c>
      <c r="AH19" s="3944">
        <v>67247.61</v>
      </c>
      <c r="AI19" s="4027" t="s">
        <v>3656</v>
      </c>
      <c r="AJ19" s="3944">
        <v>67247.61</v>
      </c>
      <c r="AK19" s="3878">
        <v>0</v>
      </c>
      <c r="AM19" s="3906">
        <v>10</v>
      </c>
      <c r="AN19" s="3880">
        <f t="shared" si="0"/>
        <v>11322574.860000001</v>
      </c>
      <c r="AO19" s="3880">
        <f t="shared" si="1"/>
        <v>1132257.486</v>
      </c>
    </row>
    <row r="20" spans="1:41" ht="24.95" customHeight="1">
      <c r="A20" s="3906">
        <v>14</v>
      </c>
      <c r="B20" s="3933" t="s">
        <v>3574</v>
      </c>
      <c r="C20" s="4003" t="s">
        <v>3657</v>
      </c>
      <c r="D20" s="3906">
        <v>825.06</v>
      </c>
      <c r="E20" s="3906" t="s">
        <v>3567</v>
      </c>
      <c r="F20" s="3934">
        <v>4.5199999999999996</v>
      </c>
      <c r="G20" s="4025">
        <v>113432</v>
      </c>
      <c r="H20" s="4025">
        <v>906212.9</v>
      </c>
      <c r="I20" s="4028" t="s">
        <v>3576</v>
      </c>
      <c r="J20" s="4025">
        <v>340295.99699999997</v>
      </c>
      <c r="K20" s="4029">
        <v>1.48</v>
      </c>
      <c r="L20" s="3935">
        <v>0</v>
      </c>
      <c r="M20" s="3935">
        <v>37141.449999999997</v>
      </c>
      <c r="N20" s="4004">
        <v>445697.4</v>
      </c>
      <c r="O20" s="3936">
        <v>0</v>
      </c>
      <c r="P20" s="3937">
        <v>0</v>
      </c>
      <c r="Q20" s="3938">
        <v>0</v>
      </c>
      <c r="R20" s="3937" t="e">
        <f>S20+T20+#REF!</f>
        <v>#REF!</v>
      </c>
      <c r="S20" s="4026">
        <v>6477430.5515999999</v>
      </c>
      <c r="T20" s="3940">
        <v>2228487.06</v>
      </c>
      <c r="U20" s="3941" t="s">
        <v>3557</v>
      </c>
      <c r="V20" s="3941" t="s">
        <v>3577</v>
      </c>
      <c r="W20" s="3906" t="s">
        <v>3658</v>
      </c>
      <c r="X20" s="3906" t="s">
        <v>3659</v>
      </c>
      <c r="Y20" s="3906" t="s">
        <v>3660</v>
      </c>
      <c r="Z20" s="3876" t="s">
        <v>3573</v>
      </c>
      <c r="AA20" s="4030">
        <v>906212.9</v>
      </c>
      <c r="AB20" s="3876" t="s">
        <v>3661</v>
      </c>
      <c r="AC20" s="3942">
        <v>340296</v>
      </c>
      <c r="AD20" s="4031">
        <v>445697.4</v>
      </c>
      <c r="AE20" s="3876" t="s">
        <v>3662</v>
      </c>
      <c r="AF20" s="4031"/>
      <c r="AG20" s="3943">
        <v>45344</v>
      </c>
      <c r="AH20" s="4032">
        <f t="shared" ref="AH20:AH25" si="2">AI20+AJ20</f>
        <v>1806881.3900000001</v>
      </c>
      <c r="AI20" s="4033">
        <v>1361183.99</v>
      </c>
      <c r="AJ20" s="4034">
        <v>445697.4</v>
      </c>
      <c r="AK20" s="3878">
        <v>0</v>
      </c>
      <c r="AM20" s="3906">
        <v>5</v>
      </c>
      <c r="AN20" s="3880">
        <f t="shared" si="0"/>
        <v>8705917.6116000004</v>
      </c>
      <c r="AO20" s="3880">
        <f t="shared" si="1"/>
        <v>1741183.52232</v>
      </c>
    </row>
    <row r="21" spans="1:41" ht="33" customHeight="1">
      <c r="A21" s="3906">
        <v>15</v>
      </c>
      <c r="B21" s="3906" t="s">
        <v>3663</v>
      </c>
      <c r="C21" s="4003" t="s">
        <v>3664</v>
      </c>
      <c r="D21" s="3906">
        <v>74.040000000000006</v>
      </c>
      <c r="E21" s="3906" t="s">
        <v>3665</v>
      </c>
      <c r="F21" s="3947">
        <v>3.4</v>
      </c>
      <c r="G21" s="3934">
        <v>7656.97</v>
      </c>
      <c r="H21" s="3934">
        <f>G21*11</f>
        <v>84226.67</v>
      </c>
      <c r="I21" s="4035" t="s">
        <v>3666</v>
      </c>
      <c r="J21" s="3934">
        <f>G21*2</f>
        <v>15313.94</v>
      </c>
      <c r="K21" s="3935">
        <v>1.4</v>
      </c>
      <c r="L21" s="3935">
        <v>0</v>
      </c>
      <c r="M21" s="3935">
        <v>3152.87</v>
      </c>
      <c r="N21" s="3935">
        <f>M21*12</f>
        <v>37834.44</v>
      </c>
      <c r="O21" s="3936">
        <f>M21*2</f>
        <v>6305.74</v>
      </c>
      <c r="P21" s="3937">
        <v>0</v>
      </c>
      <c r="Q21" s="3938">
        <v>0</v>
      </c>
      <c r="R21" s="3937" t="e">
        <f>S21+T21+#REF!</f>
        <v>#REF!</v>
      </c>
      <c r="S21" s="4026">
        <v>629042.63</v>
      </c>
      <c r="T21" s="4026">
        <v>227006.64</v>
      </c>
      <c r="U21" s="3941" t="s">
        <v>3557</v>
      </c>
      <c r="V21" s="3941" t="s">
        <v>3649</v>
      </c>
      <c r="W21" s="3906" t="s">
        <v>3667</v>
      </c>
      <c r="X21" s="3906" t="s">
        <v>3668</v>
      </c>
      <c r="Y21" s="3906" t="s">
        <v>3669</v>
      </c>
      <c r="Z21" s="3876" t="s">
        <v>3653</v>
      </c>
      <c r="AA21" s="3942">
        <v>15313.94</v>
      </c>
      <c r="AB21" s="3876" t="s">
        <v>3670</v>
      </c>
      <c r="AC21" s="3942">
        <v>15313.94</v>
      </c>
      <c r="AD21" s="3942">
        <v>9458.61</v>
      </c>
      <c r="AE21" s="3876" t="s">
        <v>3671</v>
      </c>
      <c r="AF21" s="3942">
        <v>6305.74</v>
      </c>
      <c r="AG21" s="3943">
        <v>45141</v>
      </c>
      <c r="AH21" s="4032">
        <f t="shared" si="2"/>
        <v>32429.52</v>
      </c>
      <c r="AI21" s="3878">
        <v>22970.91</v>
      </c>
      <c r="AJ21" s="4024">
        <v>9458.61</v>
      </c>
      <c r="AK21" s="3878">
        <v>0</v>
      </c>
      <c r="AM21" s="3906">
        <v>6</v>
      </c>
      <c r="AN21" s="3880">
        <f t="shared" si="0"/>
        <v>856049.27</v>
      </c>
      <c r="AO21" s="3880">
        <f t="shared" si="1"/>
        <v>142674.87833333333</v>
      </c>
    </row>
    <row r="22" spans="1:41" ht="24.95" customHeight="1">
      <c r="A22" s="3906">
        <v>16</v>
      </c>
      <c r="B22" s="3906" t="s">
        <v>3672</v>
      </c>
      <c r="C22" s="4003" t="s">
        <v>3673</v>
      </c>
      <c r="D22" s="3906">
        <v>190.28</v>
      </c>
      <c r="E22" s="3906" t="s">
        <v>3674</v>
      </c>
      <c r="F22" s="4036">
        <v>6</v>
      </c>
      <c r="G22" s="3947">
        <v>34726.1</v>
      </c>
      <c r="H22" s="3947">
        <v>416713.2</v>
      </c>
      <c r="I22" s="3934">
        <v>0</v>
      </c>
      <c r="J22" s="3947">
        <v>104178.3</v>
      </c>
      <c r="K22" s="3935">
        <v>0</v>
      </c>
      <c r="L22" s="3935">
        <v>0</v>
      </c>
      <c r="M22" s="3935">
        <v>0</v>
      </c>
      <c r="N22" s="3935">
        <v>0</v>
      </c>
      <c r="O22" s="3936">
        <v>0</v>
      </c>
      <c r="P22" s="3937">
        <v>0</v>
      </c>
      <c r="Q22" s="3938">
        <v>0</v>
      </c>
      <c r="R22" s="4006" t="e">
        <f>S22+T22+#REF!</f>
        <v>#REF!</v>
      </c>
      <c r="S22" s="3939">
        <v>833426.4</v>
      </c>
      <c r="T22" s="3940">
        <v>0</v>
      </c>
      <c r="U22" s="3941" t="s">
        <v>3675</v>
      </c>
      <c r="V22" s="3941" t="s">
        <v>3588</v>
      </c>
      <c r="W22" s="3906" t="s">
        <v>3667</v>
      </c>
      <c r="X22" s="3906" t="s">
        <v>3676</v>
      </c>
      <c r="Y22" s="3906">
        <v>0</v>
      </c>
      <c r="Z22" s="3876" t="s">
        <v>3643</v>
      </c>
      <c r="AA22" s="4030">
        <v>104178.3</v>
      </c>
      <c r="AB22" s="3876" t="s">
        <v>3671</v>
      </c>
      <c r="AC22" s="4030">
        <v>104178.3</v>
      </c>
      <c r="AD22" s="3942">
        <v>0</v>
      </c>
      <c r="AE22" s="3876">
        <v>0</v>
      </c>
      <c r="AF22" s="3942">
        <v>0</v>
      </c>
      <c r="AG22" s="3943">
        <v>45141</v>
      </c>
      <c r="AH22" s="3944">
        <f t="shared" si="2"/>
        <v>104178.3</v>
      </c>
      <c r="AI22" s="4010">
        <v>104178.3</v>
      </c>
      <c r="AJ22" s="4024">
        <v>0</v>
      </c>
      <c r="AK22" s="3878">
        <v>0</v>
      </c>
      <c r="AM22" s="3906">
        <v>2</v>
      </c>
      <c r="AN22" s="3880">
        <f t="shared" si="0"/>
        <v>833426.4</v>
      </c>
      <c r="AO22" s="3880">
        <f t="shared" si="1"/>
        <v>416713.2</v>
      </c>
    </row>
    <row r="23" spans="1:41" ht="24.95" customHeight="1">
      <c r="A23" s="3906">
        <v>17</v>
      </c>
      <c r="B23" s="3906" t="s">
        <v>3677</v>
      </c>
      <c r="C23" s="4003" t="s">
        <v>3678</v>
      </c>
      <c r="D23" s="3906">
        <v>100.74</v>
      </c>
      <c r="E23" s="3906" t="s">
        <v>3625</v>
      </c>
      <c r="F23" s="4036">
        <v>4</v>
      </c>
      <c r="G23" s="3947">
        <v>12256.7</v>
      </c>
      <c r="H23" s="3947">
        <v>147080.4</v>
      </c>
      <c r="I23" s="3934">
        <v>0</v>
      </c>
      <c r="J23" s="3947">
        <v>24513.4</v>
      </c>
      <c r="K23" s="3935">
        <v>0</v>
      </c>
      <c r="L23" s="3935">
        <v>0</v>
      </c>
      <c r="M23" s="3935">
        <v>0</v>
      </c>
      <c r="N23" s="3935">
        <v>0</v>
      </c>
      <c r="O23" s="3936">
        <v>0</v>
      </c>
      <c r="P23" s="3937">
        <v>0</v>
      </c>
      <c r="Q23" s="3938">
        <v>0</v>
      </c>
      <c r="R23" s="4006" t="e">
        <f>S23+T23+#REF!</f>
        <v>#REF!</v>
      </c>
      <c r="S23" s="3939">
        <v>147080.4</v>
      </c>
      <c r="T23" s="3940">
        <v>0</v>
      </c>
      <c r="U23" s="3941" t="s">
        <v>3675</v>
      </c>
      <c r="V23" s="3941" t="s">
        <v>3588</v>
      </c>
      <c r="W23" s="3906" t="s">
        <v>3679</v>
      </c>
      <c r="X23" s="3906" t="s">
        <v>3680</v>
      </c>
      <c r="Y23" s="3906">
        <v>0</v>
      </c>
      <c r="Z23" s="3876" t="s">
        <v>3653</v>
      </c>
      <c r="AA23" s="4030">
        <v>36770.1</v>
      </c>
      <c r="AB23" s="3876" t="s">
        <v>3681</v>
      </c>
      <c r="AC23" s="4030">
        <v>24513.4</v>
      </c>
      <c r="AD23" s="3942">
        <v>0</v>
      </c>
      <c r="AE23" s="3876">
        <v>0</v>
      </c>
      <c r="AF23" s="3942">
        <v>0</v>
      </c>
      <c r="AG23" s="3943">
        <v>45115</v>
      </c>
      <c r="AH23" s="3944">
        <f t="shared" si="2"/>
        <v>36770.1</v>
      </c>
      <c r="AI23" s="4010">
        <v>36770.1</v>
      </c>
      <c r="AJ23" s="4024">
        <v>0</v>
      </c>
      <c r="AK23" s="3878">
        <v>0</v>
      </c>
      <c r="AM23" s="3906">
        <v>1</v>
      </c>
      <c r="AN23" s="3880">
        <f t="shared" si="0"/>
        <v>147080.4</v>
      </c>
      <c r="AO23" s="3880">
        <f t="shared" si="1"/>
        <v>147080.4</v>
      </c>
    </row>
    <row r="24" spans="1:41" ht="30.95" customHeight="1">
      <c r="A24" s="3906">
        <v>18</v>
      </c>
      <c r="B24" s="3906" t="s">
        <v>3682</v>
      </c>
      <c r="C24" s="4003" t="s">
        <v>3683</v>
      </c>
      <c r="D24" s="3906">
        <v>1427.91</v>
      </c>
      <c r="E24" s="3906" t="s">
        <v>3554</v>
      </c>
      <c r="F24" s="3947">
        <v>4.5999999999999996</v>
      </c>
      <c r="G24" s="3934">
        <v>199788.41</v>
      </c>
      <c r="H24" s="3934">
        <v>1198730.46</v>
      </c>
      <c r="I24" s="4035" t="s">
        <v>3684</v>
      </c>
      <c r="J24" s="3934">
        <v>199788.41</v>
      </c>
      <c r="K24" s="3935">
        <v>1.4</v>
      </c>
      <c r="L24" s="3935">
        <v>0</v>
      </c>
      <c r="M24" s="3935">
        <v>60805.17</v>
      </c>
      <c r="N24" s="3935">
        <v>547246.53</v>
      </c>
      <c r="O24" s="3936">
        <v>60805.17</v>
      </c>
      <c r="P24" s="3937">
        <v>0</v>
      </c>
      <c r="Q24" s="3938">
        <v>0</v>
      </c>
      <c r="R24" s="3937" t="e">
        <f>S24+T24+#REF!</f>
        <v>#REF!</v>
      </c>
      <c r="S24" s="3939">
        <v>24756389.460000001</v>
      </c>
      <c r="T24" s="3940">
        <v>7114204.8899999997</v>
      </c>
      <c r="U24" s="3941" t="s">
        <v>3557</v>
      </c>
      <c r="V24" s="3941" t="s">
        <v>3649</v>
      </c>
      <c r="W24" s="3906" t="s">
        <v>3679</v>
      </c>
      <c r="X24" s="3906" t="s">
        <v>3685</v>
      </c>
      <c r="Y24" s="3906" t="s">
        <v>3652</v>
      </c>
      <c r="Z24" s="3876" t="s">
        <v>3686</v>
      </c>
      <c r="AA24" s="3942">
        <v>599365.23</v>
      </c>
      <c r="AB24" s="3876" t="s">
        <v>3687</v>
      </c>
      <c r="AC24" s="3942">
        <v>199788.41</v>
      </c>
      <c r="AD24" s="3942">
        <v>182415.51</v>
      </c>
      <c r="AE24" s="3876" t="s">
        <v>3688</v>
      </c>
      <c r="AF24" s="3942">
        <v>60805.17</v>
      </c>
      <c r="AG24" s="3943">
        <v>45207</v>
      </c>
      <c r="AH24" s="3944">
        <f t="shared" si="2"/>
        <v>182415.51</v>
      </c>
      <c r="AI24" s="3878">
        <v>0</v>
      </c>
      <c r="AJ24" s="4024">
        <v>182415.51</v>
      </c>
      <c r="AK24" s="3878">
        <v>0</v>
      </c>
      <c r="AM24" s="3906">
        <v>10</v>
      </c>
      <c r="AN24" s="3880">
        <f t="shared" si="0"/>
        <v>31870594.350000001</v>
      </c>
      <c r="AO24" s="3880">
        <f t="shared" si="1"/>
        <v>3187059.4350000001</v>
      </c>
    </row>
    <row r="25" spans="1:41" ht="36" customHeight="1">
      <c r="A25" s="3906">
        <v>19</v>
      </c>
      <c r="B25" s="4037" t="s">
        <v>3689</v>
      </c>
      <c r="C25" s="4038" t="s">
        <v>3690</v>
      </c>
      <c r="D25" s="3906">
        <v>69.459999999999994</v>
      </c>
      <c r="E25" s="3906" t="s">
        <v>3625</v>
      </c>
      <c r="F25" s="4036">
        <v>4</v>
      </c>
      <c r="G25" s="3947">
        <v>8450.9699999999993</v>
      </c>
      <c r="H25" s="3947">
        <v>101411.64</v>
      </c>
      <c r="I25" s="3934">
        <v>0</v>
      </c>
      <c r="J25" s="3947">
        <v>24513.4</v>
      </c>
      <c r="K25" s="3935">
        <v>0</v>
      </c>
      <c r="L25" s="3935">
        <v>0</v>
      </c>
      <c r="M25" s="3935">
        <v>0</v>
      </c>
      <c r="N25" s="3935">
        <v>0</v>
      </c>
      <c r="O25" s="3936">
        <v>0</v>
      </c>
      <c r="P25" s="3937">
        <v>0</v>
      </c>
      <c r="Q25" s="3938">
        <v>0</v>
      </c>
      <c r="R25" s="4006" t="e">
        <f>S25+T25+#REF!</f>
        <v>#REF!</v>
      </c>
      <c r="S25" s="3940">
        <v>147080.4</v>
      </c>
      <c r="T25" s="3940">
        <v>0</v>
      </c>
      <c r="U25" s="3941" t="s">
        <v>3675</v>
      </c>
      <c r="V25" s="3941" t="s">
        <v>3600</v>
      </c>
      <c r="W25" s="3906" t="s">
        <v>3691</v>
      </c>
      <c r="X25" s="3906" t="s">
        <v>3692</v>
      </c>
      <c r="Y25" s="3906">
        <v>0</v>
      </c>
      <c r="Z25" s="3876" t="s">
        <v>3653</v>
      </c>
      <c r="AA25" s="4030">
        <v>8450.9699999999993</v>
      </c>
      <c r="AB25" s="3876" t="s">
        <v>3693</v>
      </c>
      <c r="AC25" s="4030">
        <v>24513.4</v>
      </c>
      <c r="AD25" s="3876">
        <v>0</v>
      </c>
      <c r="AE25" s="3876">
        <v>0</v>
      </c>
      <c r="AF25" s="3876">
        <v>0</v>
      </c>
      <c r="AG25" s="3943">
        <v>45325</v>
      </c>
      <c r="AH25" s="3944">
        <f t="shared" si="2"/>
        <v>21547.18</v>
      </c>
      <c r="AI25" s="4010">
        <v>21547.18</v>
      </c>
      <c r="AJ25" s="4024">
        <v>0</v>
      </c>
      <c r="AK25" s="3878">
        <v>0</v>
      </c>
      <c r="AM25" s="3906">
        <v>1</v>
      </c>
      <c r="AN25" s="3880">
        <f t="shared" si="0"/>
        <v>147080.4</v>
      </c>
      <c r="AO25" s="3880">
        <f t="shared" si="1"/>
        <v>147080.4</v>
      </c>
    </row>
    <row r="26" spans="1:41" ht="36" customHeight="1">
      <c r="A26" s="3906">
        <v>20</v>
      </c>
      <c r="B26" s="4039" t="s">
        <v>3694</v>
      </c>
      <c r="C26" s="4039" t="s">
        <v>3695</v>
      </c>
      <c r="D26" s="3906">
        <v>328.8</v>
      </c>
      <c r="E26" s="3906" t="s">
        <v>3696</v>
      </c>
      <c r="F26" s="3947">
        <v>4.5999999999999996</v>
      </c>
      <c r="G26" s="3947">
        <v>46004.6</v>
      </c>
      <c r="H26" s="3947">
        <v>552055.19999999995</v>
      </c>
      <c r="I26" s="3934">
        <v>0</v>
      </c>
      <c r="J26" s="3947">
        <v>0</v>
      </c>
      <c r="K26" s="3935">
        <v>0</v>
      </c>
      <c r="L26" s="3935">
        <v>0</v>
      </c>
      <c r="M26" s="3935">
        <v>0</v>
      </c>
      <c r="N26" s="3935">
        <v>0</v>
      </c>
      <c r="O26" s="3936">
        <v>0</v>
      </c>
      <c r="P26" s="3937">
        <v>0</v>
      </c>
      <c r="Q26" s="3938">
        <v>0</v>
      </c>
      <c r="R26" s="4006" t="e">
        <f>S26+T26+#REF!</f>
        <v>#REF!</v>
      </c>
      <c r="S26" s="3940">
        <v>1656165.6</v>
      </c>
      <c r="T26" s="3940">
        <v>0</v>
      </c>
      <c r="U26" s="3941" t="s">
        <v>3675</v>
      </c>
      <c r="V26" s="3941" t="s">
        <v>3600</v>
      </c>
      <c r="W26" s="3906" t="s">
        <v>3697</v>
      </c>
      <c r="X26" s="3906" t="s">
        <v>3698</v>
      </c>
      <c r="Y26" s="3906">
        <v>0</v>
      </c>
      <c r="Z26" s="3876" t="s">
        <v>3643</v>
      </c>
      <c r="AA26" s="4030"/>
      <c r="AB26" s="3876"/>
      <c r="AC26" s="4030"/>
      <c r="AD26" s="3876"/>
      <c r="AE26" s="3876"/>
      <c r="AF26" s="3876"/>
      <c r="AG26" s="3943"/>
      <c r="AH26" s="3944"/>
      <c r="AI26" s="4010"/>
      <c r="AJ26" s="4024"/>
      <c r="AK26" s="3878"/>
      <c r="AM26" s="3906">
        <v>3</v>
      </c>
      <c r="AN26" s="3880">
        <f t="shared" si="0"/>
        <v>1656165.6</v>
      </c>
      <c r="AO26" s="3880">
        <f t="shared" si="1"/>
        <v>552055.20000000007</v>
      </c>
    </row>
    <row r="27" spans="1:41" ht="24.95" customHeight="1">
      <c r="A27" s="3906">
        <v>21</v>
      </c>
      <c r="B27" s="4040" t="s">
        <v>3699</v>
      </c>
      <c r="C27" s="4041" t="s">
        <v>3700</v>
      </c>
      <c r="D27" s="3906">
        <v>97.38</v>
      </c>
      <c r="E27" s="3906" t="s">
        <v>3674</v>
      </c>
      <c r="F27" s="4036">
        <v>6</v>
      </c>
      <c r="G27" s="3947">
        <v>17771.849999999999</v>
      </c>
      <c r="H27" s="3947">
        <v>213262.2</v>
      </c>
      <c r="I27" s="3934">
        <v>0</v>
      </c>
      <c r="J27" s="3947">
        <v>35543.699999999997</v>
      </c>
      <c r="K27" s="3935">
        <v>0</v>
      </c>
      <c r="L27" s="3935">
        <v>0</v>
      </c>
      <c r="M27" s="3935">
        <v>0</v>
      </c>
      <c r="N27" s="3935">
        <v>0</v>
      </c>
      <c r="O27" s="3936">
        <v>0</v>
      </c>
      <c r="P27" s="3937">
        <v>0</v>
      </c>
      <c r="Q27" s="3938">
        <v>0</v>
      </c>
      <c r="R27" s="4006" t="e">
        <f>S27+T27+#REF!</f>
        <v>#REF!</v>
      </c>
      <c r="S27" s="3940">
        <v>426524.4</v>
      </c>
      <c r="T27" s="3940">
        <v>0</v>
      </c>
      <c r="U27" s="3941" t="s">
        <v>3675</v>
      </c>
      <c r="V27" s="3941" t="s">
        <v>3588</v>
      </c>
      <c r="W27" s="3906" t="s">
        <v>3701</v>
      </c>
      <c r="X27" s="3906" t="s">
        <v>3702</v>
      </c>
      <c r="Y27" s="3906">
        <v>0</v>
      </c>
      <c r="Z27" s="3876" t="s">
        <v>3653</v>
      </c>
      <c r="AA27" s="4030">
        <v>53315.55</v>
      </c>
      <c r="AB27" s="3876" t="s">
        <v>3703</v>
      </c>
      <c r="AC27" s="4030">
        <v>35543.699999999997</v>
      </c>
      <c r="AD27" s="3876">
        <v>0</v>
      </c>
      <c r="AE27" s="3876">
        <v>0</v>
      </c>
      <c r="AF27" s="3876">
        <v>0</v>
      </c>
      <c r="AG27" s="3943">
        <v>45161</v>
      </c>
      <c r="AH27" s="3944">
        <f t="shared" ref="AH27:AH58" si="3">AI27+AJ27</f>
        <v>53315.55</v>
      </c>
      <c r="AI27" s="4010">
        <v>53315.55</v>
      </c>
      <c r="AJ27" s="4024">
        <v>0</v>
      </c>
      <c r="AK27" s="3878">
        <v>0</v>
      </c>
      <c r="AM27" s="3906">
        <v>2</v>
      </c>
      <c r="AN27" s="3880">
        <f t="shared" si="0"/>
        <v>426524.4</v>
      </c>
      <c r="AO27" s="3880">
        <f t="shared" si="1"/>
        <v>213262.2</v>
      </c>
    </row>
    <row r="28" spans="1:41" ht="24.95" customHeight="1">
      <c r="A28" s="3906">
        <v>22</v>
      </c>
      <c r="B28" s="4042" t="s">
        <v>3704</v>
      </c>
      <c r="C28" s="4041" t="s">
        <v>3705</v>
      </c>
      <c r="D28" s="3906">
        <v>153.58000000000001</v>
      </c>
      <c r="E28" s="3906" t="s">
        <v>3625</v>
      </c>
      <c r="F28" s="4036">
        <v>5.9</v>
      </c>
      <c r="G28" s="3947">
        <v>27561.21</v>
      </c>
      <c r="H28" s="3947">
        <v>330734.52</v>
      </c>
      <c r="I28" s="3934">
        <v>0</v>
      </c>
      <c r="J28" s="3947">
        <v>10000</v>
      </c>
      <c r="K28" s="3935">
        <v>0</v>
      </c>
      <c r="L28" s="3935">
        <v>0</v>
      </c>
      <c r="M28" s="3935">
        <v>0</v>
      </c>
      <c r="N28" s="3935">
        <v>0</v>
      </c>
      <c r="O28" s="3936">
        <v>0</v>
      </c>
      <c r="P28" s="3937">
        <v>0</v>
      </c>
      <c r="Q28" s="3938">
        <v>0</v>
      </c>
      <c r="R28" s="4006" t="e">
        <f>S28+T28+#REF!</f>
        <v>#REF!</v>
      </c>
      <c r="S28" s="3940">
        <v>330734.52</v>
      </c>
      <c r="T28" s="3940">
        <v>0</v>
      </c>
      <c r="U28" s="3941" t="s">
        <v>3675</v>
      </c>
      <c r="V28" s="3941" t="s">
        <v>3588</v>
      </c>
      <c r="W28" s="3906" t="s">
        <v>3589</v>
      </c>
      <c r="X28" s="3906" t="s">
        <v>3706</v>
      </c>
      <c r="Y28" s="3906">
        <v>0</v>
      </c>
      <c r="Z28" s="3876" t="s">
        <v>3707</v>
      </c>
      <c r="AA28" s="4030">
        <v>165367.26</v>
      </c>
      <c r="AB28" s="3876" t="s">
        <v>3708</v>
      </c>
      <c r="AC28" s="4030">
        <v>10000</v>
      </c>
      <c r="AD28" s="3876">
        <v>0</v>
      </c>
      <c r="AE28" s="3876">
        <v>0</v>
      </c>
      <c r="AF28" s="3876">
        <v>0</v>
      </c>
      <c r="AG28" s="3943">
        <v>45222</v>
      </c>
      <c r="AH28" s="3944">
        <f t="shared" si="3"/>
        <v>165367.26</v>
      </c>
      <c r="AI28" s="4010">
        <v>165367.26</v>
      </c>
      <c r="AJ28" s="4024">
        <v>0</v>
      </c>
      <c r="AK28" s="3878">
        <v>0</v>
      </c>
      <c r="AM28" s="3906">
        <v>1</v>
      </c>
      <c r="AN28" s="3880">
        <f t="shared" si="0"/>
        <v>330734.52</v>
      </c>
      <c r="AO28" s="3880">
        <f t="shared" si="1"/>
        <v>330734.52</v>
      </c>
    </row>
    <row r="29" spans="1:41" ht="24.95" customHeight="1">
      <c r="A29" s="3906">
        <v>23</v>
      </c>
      <c r="B29" s="4039" t="s">
        <v>3709</v>
      </c>
      <c r="C29" s="4003" t="s">
        <v>3710</v>
      </c>
      <c r="D29" s="3906">
        <v>120.12</v>
      </c>
      <c r="E29" s="3906" t="s">
        <v>3625</v>
      </c>
      <c r="F29" s="4036">
        <v>6</v>
      </c>
      <c r="G29" s="3947">
        <v>21921.9</v>
      </c>
      <c r="H29" s="3947">
        <v>263062.8</v>
      </c>
      <c r="I29" s="3934">
        <v>0</v>
      </c>
      <c r="J29" s="3947">
        <v>43843.8</v>
      </c>
      <c r="K29" s="3935">
        <v>0</v>
      </c>
      <c r="L29" s="3935">
        <v>0</v>
      </c>
      <c r="M29" s="3935">
        <v>0</v>
      </c>
      <c r="N29" s="3935">
        <v>0</v>
      </c>
      <c r="O29" s="3936">
        <v>0</v>
      </c>
      <c r="P29" s="3937">
        <v>0</v>
      </c>
      <c r="Q29" s="3938">
        <v>0</v>
      </c>
      <c r="R29" s="4006" t="e">
        <f>S29+T29+#REF!</f>
        <v>#REF!</v>
      </c>
      <c r="S29" s="3940">
        <v>43843.8</v>
      </c>
      <c r="T29" s="3940">
        <v>0</v>
      </c>
      <c r="U29" s="3941" t="s">
        <v>3675</v>
      </c>
      <c r="V29" s="3941" t="s">
        <v>3588</v>
      </c>
      <c r="W29" s="3906" t="s">
        <v>3711</v>
      </c>
      <c r="X29" s="3906" t="s">
        <v>3692</v>
      </c>
      <c r="Y29" s="3906">
        <v>0</v>
      </c>
      <c r="Z29" s="3876" t="s">
        <v>3653</v>
      </c>
      <c r="AA29" s="4030">
        <v>65765.7</v>
      </c>
      <c r="AB29" s="3876" t="s">
        <v>3671</v>
      </c>
      <c r="AC29" s="4030">
        <v>43843.8</v>
      </c>
      <c r="AD29" s="3876">
        <v>0</v>
      </c>
      <c r="AE29" s="3876">
        <v>0</v>
      </c>
      <c r="AF29" s="3876">
        <v>0</v>
      </c>
      <c r="AG29" s="3943">
        <v>45141</v>
      </c>
      <c r="AH29" s="4009">
        <f t="shared" si="3"/>
        <v>65765.7</v>
      </c>
      <c r="AI29" s="4010">
        <v>65765.7</v>
      </c>
      <c r="AJ29" s="4024">
        <v>0</v>
      </c>
      <c r="AK29" s="3878">
        <v>0</v>
      </c>
      <c r="AM29" s="3906">
        <v>1</v>
      </c>
      <c r="AN29" s="3880">
        <f t="shared" si="0"/>
        <v>43843.8</v>
      </c>
      <c r="AO29" s="3880">
        <f t="shared" si="1"/>
        <v>43843.8</v>
      </c>
    </row>
    <row r="30" spans="1:41" ht="24.95" customHeight="1">
      <c r="A30" s="3906">
        <v>24</v>
      </c>
      <c r="B30" s="4039" t="s">
        <v>3712</v>
      </c>
      <c r="C30" s="4003" t="s">
        <v>3713</v>
      </c>
      <c r="D30" s="3906">
        <v>63.42</v>
      </c>
      <c r="E30" s="3906" t="s">
        <v>3625</v>
      </c>
      <c r="F30" s="4036">
        <v>4</v>
      </c>
      <c r="G30" s="3947">
        <v>7716.1</v>
      </c>
      <c r="H30" s="3947">
        <v>92593.2</v>
      </c>
      <c r="I30" s="3934">
        <v>0</v>
      </c>
      <c r="J30" s="3947">
        <v>7716.1</v>
      </c>
      <c r="K30" s="3935">
        <v>0</v>
      </c>
      <c r="L30" s="3935">
        <v>0</v>
      </c>
      <c r="M30" s="3935">
        <v>0</v>
      </c>
      <c r="N30" s="3935">
        <v>0</v>
      </c>
      <c r="O30" s="3936">
        <v>0</v>
      </c>
      <c r="P30" s="3937">
        <v>0</v>
      </c>
      <c r="Q30" s="3938">
        <v>0</v>
      </c>
      <c r="R30" s="4006" t="e">
        <f>S30+T30+#REF!</f>
        <v>#REF!</v>
      </c>
      <c r="S30" s="3940">
        <v>92593.2</v>
      </c>
      <c r="T30" s="3940">
        <v>0</v>
      </c>
      <c r="U30" s="3941" t="s">
        <v>3675</v>
      </c>
      <c r="V30" s="3941" t="s">
        <v>3588</v>
      </c>
      <c r="W30" s="3906" t="s">
        <v>3589</v>
      </c>
      <c r="X30" s="3906" t="s">
        <v>3714</v>
      </c>
      <c r="Y30" s="3906">
        <v>0</v>
      </c>
      <c r="Z30" s="3876" t="s">
        <v>3715</v>
      </c>
      <c r="AA30" s="4030">
        <v>46296.6</v>
      </c>
      <c r="AB30" s="3876" t="s">
        <v>3716</v>
      </c>
      <c r="AC30" s="4030">
        <v>15432.2</v>
      </c>
      <c r="AD30" s="3876">
        <v>0</v>
      </c>
      <c r="AE30" s="3876">
        <v>0</v>
      </c>
      <c r="AF30" s="3876">
        <v>0</v>
      </c>
      <c r="AG30" s="3943">
        <v>45231</v>
      </c>
      <c r="AH30" s="3944">
        <f t="shared" si="3"/>
        <v>46296.6</v>
      </c>
      <c r="AI30" s="4010">
        <v>46296.6</v>
      </c>
      <c r="AJ30" s="4024">
        <v>0</v>
      </c>
      <c r="AK30" s="3878">
        <v>0</v>
      </c>
      <c r="AM30" s="3906">
        <v>1</v>
      </c>
      <c r="AN30" s="3880">
        <f t="shared" si="0"/>
        <v>92593.2</v>
      </c>
      <c r="AO30" s="3880">
        <f t="shared" si="1"/>
        <v>92593.2</v>
      </c>
    </row>
    <row r="31" spans="1:41" ht="24.95" customHeight="1">
      <c r="A31" s="3906">
        <v>25</v>
      </c>
      <c r="B31" s="4039" t="s">
        <v>3717</v>
      </c>
      <c r="C31" s="4003" t="s">
        <v>3718</v>
      </c>
      <c r="D31" s="3906">
        <v>190.28</v>
      </c>
      <c r="E31" s="3906" t="s">
        <v>3696</v>
      </c>
      <c r="F31" s="4036">
        <v>5.9</v>
      </c>
      <c r="G31" s="3947">
        <v>34147.33</v>
      </c>
      <c r="H31" s="3947">
        <v>386192.31</v>
      </c>
      <c r="I31" s="3934">
        <v>0</v>
      </c>
      <c r="J31" s="3947">
        <v>68294.66</v>
      </c>
      <c r="K31" s="3935">
        <v>0</v>
      </c>
      <c r="L31" s="3935">
        <v>0</v>
      </c>
      <c r="M31" s="3935">
        <v>0</v>
      </c>
      <c r="N31" s="3935">
        <v>0</v>
      </c>
      <c r="O31" s="3936">
        <v>0</v>
      </c>
      <c r="P31" s="3937">
        <v>0</v>
      </c>
      <c r="Q31" s="3938">
        <v>0</v>
      </c>
      <c r="R31" s="4006" t="e">
        <f>S31+T31+#REF!</f>
        <v>#REF!</v>
      </c>
      <c r="S31" s="3940">
        <v>1205728.23</v>
      </c>
      <c r="T31" s="3940">
        <v>0</v>
      </c>
      <c r="U31" s="3941" t="s">
        <v>3675</v>
      </c>
      <c r="V31" s="3941" t="s">
        <v>3588</v>
      </c>
      <c r="W31" s="3906" t="s">
        <v>3589</v>
      </c>
      <c r="X31" s="3906" t="s">
        <v>3719</v>
      </c>
      <c r="Y31" s="3906" t="s">
        <v>3720</v>
      </c>
      <c r="Z31" s="3876" t="s">
        <v>3721</v>
      </c>
      <c r="AA31" s="4030">
        <v>386192.31</v>
      </c>
      <c r="AB31" s="3876" t="s">
        <v>3722</v>
      </c>
      <c r="AC31" s="4030">
        <v>68294.66</v>
      </c>
      <c r="AD31" s="3876">
        <v>0</v>
      </c>
      <c r="AE31" s="3876">
        <v>0</v>
      </c>
      <c r="AF31" s="3876">
        <v>0</v>
      </c>
      <c r="AG31" s="3943">
        <v>45408</v>
      </c>
      <c r="AH31" s="3944">
        <f t="shared" si="3"/>
        <v>409767.96</v>
      </c>
      <c r="AI31" s="4010">
        <v>409767.96</v>
      </c>
      <c r="AJ31" s="4024">
        <v>0</v>
      </c>
      <c r="AK31" s="3878">
        <v>0</v>
      </c>
      <c r="AM31" s="3906">
        <v>3</v>
      </c>
      <c r="AN31" s="3880">
        <f t="shared" si="0"/>
        <v>1205728.23</v>
      </c>
      <c r="AO31" s="3880">
        <f t="shared" si="1"/>
        <v>401909.41</v>
      </c>
    </row>
    <row r="32" spans="1:41" ht="24.95" customHeight="1">
      <c r="A32" s="3906">
        <v>26</v>
      </c>
      <c r="B32" s="3933" t="s">
        <v>3723</v>
      </c>
      <c r="C32" s="4003" t="s">
        <v>3724</v>
      </c>
      <c r="D32" s="3906">
        <v>140.44</v>
      </c>
      <c r="E32" s="3906" t="s">
        <v>3625</v>
      </c>
      <c r="F32" s="4036">
        <v>4</v>
      </c>
      <c r="G32" s="3934">
        <v>17086.87</v>
      </c>
      <c r="H32" s="3934">
        <v>205042.44</v>
      </c>
      <c r="I32" s="3934">
        <v>0</v>
      </c>
      <c r="J32" s="3934">
        <v>34173.74</v>
      </c>
      <c r="K32" s="3935">
        <v>0</v>
      </c>
      <c r="L32" s="3935">
        <v>0</v>
      </c>
      <c r="M32" s="3935">
        <v>0</v>
      </c>
      <c r="N32" s="3935">
        <v>0</v>
      </c>
      <c r="O32" s="3936">
        <v>0</v>
      </c>
      <c r="P32" s="3937">
        <v>0</v>
      </c>
      <c r="Q32" s="3938">
        <v>0</v>
      </c>
      <c r="R32" s="4006" t="e">
        <f>S32+T32+#REF!</f>
        <v>#REF!</v>
      </c>
      <c r="S32" s="3939">
        <v>205042.44</v>
      </c>
      <c r="T32" s="3940">
        <v>0</v>
      </c>
      <c r="U32" s="3941" t="s">
        <v>3675</v>
      </c>
      <c r="V32" s="3941" t="s">
        <v>3588</v>
      </c>
      <c r="W32" s="3906" t="s">
        <v>3725</v>
      </c>
      <c r="X32" s="3906" t="s">
        <v>3726</v>
      </c>
      <c r="Y32" s="3906">
        <v>0</v>
      </c>
      <c r="Z32" s="3876" t="s">
        <v>3653</v>
      </c>
      <c r="AA32" s="3942">
        <v>51260.61</v>
      </c>
      <c r="AB32" s="3876" t="s">
        <v>3727</v>
      </c>
      <c r="AC32" s="3942">
        <v>34173.74</v>
      </c>
      <c r="AD32" s="3876">
        <v>0</v>
      </c>
      <c r="AE32" s="3876">
        <v>0</v>
      </c>
      <c r="AF32" s="3876">
        <v>0</v>
      </c>
      <c r="AG32" s="3943">
        <v>45151</v>
      </c>
      <c r="AH32" s="3944">
        <f t="shared" si="3"/>
        <v>51260.61</v>
      </c>
      <c r="AI32" s="3878">
        <v>51260.61</v>
      </c>
      <c r="AJ32" s="4024">
        <v>0</v>
      </c>
      <c r="AK32" s="3878">
        <v>0</v>
      </c>
      <c r="AM32" s="3906">
        <v>1</v>
      </c>
      <c r="AN32" s="3880">
        <f t="shared" si="0"/>
        <v>205042.44</v>
      </c>
      <c r="AO32" s="3880">
        <f t="shared" si="1"/>
        <v>205042.44</v>
      </c>
    </row>
    <row r="33" spans="1:41" ht="24.95" customHeight="1">
      <c r="A33" s="3906">
        <v>27</v>
      </c>
      <c r="B33" s="4043" t="s">
        <v>3728</v>
      </c>
      <c r="C33" s="4044" t="s">
        <v>3729</v>
      </c>
      <c r="D33" s="4045">
        <v>48.27</v>
      </c>
      <c r="E33" s="4045" t="s">
        <v>630</v>
      </c>
      <c r="F33" s="4046">
        <v>4</v>
      </c>
      <c r="G33" s="4014">
        <v>5872.85</v>
      </c>
      <c r="H33" s="4015">
        <f>17618*4</f>
        <v>70472</v>
      </c>
      <c r="I33" s="4014">
        <v>0</v>
      </c>
      <c r="J33" s="4014">
        <v>0</v>
      </c>
      <c r="K33" s="4016">
        <v>0</v>
      </c>
      <c r="L33" s="4016">
        <v>0</v>
      </c>
      <c r="M33" s="4016">
        <v>0</v>
      </c>
      <c r="N33" s="4016">
        <v>0</v>
      </c>
      <c r="O33" s="4017">
        <v>0</v>
      </c>
      <c r="P33" s="4018">
        <v>0</v>
      </c>
      <c r="Q33" s="4019">
        <v>0</v>
      </c>
      <c r="R33" s="4006" t="e">
        <f>S33+T33+#REF!</f>
        <v>#REF!</v>
      </c>
      <c r="S33" s="4047">
        <v>17618.55</v>
      </c>
      <c r="T33" s="4048">
        <v>0</v>
      </c>
      <c r="U33" s="3941" t="s">
        <v>3675</v>
      </c>
      <c r="V33" s="3941" t="s">
        <v>3588</v>
      </c>
      <c r="W33" s="4045" t="s">
        <v>3730</v>
      </c>
      <c r="X33" s="3906" t="s">
        <v>3731</v>
      </c>
      <c r="Y33" s="4045">
        <v>0</v>
      </c>
      <c r="Z33" s="4049" t="s">
        <v>3732</v>
      </c>
      <c r="AA33" s="4050">
        <v>17618.55</v>
      </c>
      <c r="AB33" s="3876" t="s">
        <v>3733</v>
      </c>
      <c r="AC33" s="4049">
        <v>0</v>
      </c>
      <c r="AD33" s="4049">
        <v>0</v>
      </c>
      <c r="AE33" s="4049">
        <v>0</v>
      </c>
      <c r="AF33" s="4049">
        <v>0</v>
      </c>
      <c r="AG33" s="4051" t="s">
        <v>3379</v>
      </c>
      <c r="AH33" s="3944">
        <f t="shared" si="3"/>
        <v>0</v>
      </c>
      <c r="AI33" s="4052">
        <v>0</v>
      </c>
      <c r="AJ33" s="4053">
        <v>0</v>
      </c>
      <c r="AK33" s="4052">
        <v>0</v>
      </c>
      <c r="AM33" s="4045">
        <v>0.25</v>
      </c>
      <c r="AN33" s="3880">
        <f t="shared" si="0"/>
        <v>17618.55</v>
      </c>
      <c r="AO33" s="3880">
        <f t="shared" si="1"/>
        <v>70474.2</v>
      </c>
    </row>
    <row r="34" spans="1:41" ht="24.95" customHeight="1">
      <c r="A34" s="3906">
        <v>28</v>
      </c>
      <c r="B34" s="4054" t="s">
        <v>3734</v>
      </c>
      <c r="C34" s="4041" t="s">
        <v>3735</v>
      </c>
      <c r="D34" s="4045">
        <v>138.91999999999999</v>
      </c>
      <c r="E34" s="3906" t="s">
        <v>3674</v>
      </c>
      <c r="F34" s="4046">
        <v>4</v>
      </c>
      <c r="G34" s="4014">
        <v>16901.93</v>
      </c>
      <c r="H34" s="4014">
        <v>202823.16</v>
      </c>
      <c r="I34" s="4014">
        <v>0</v>
      </c>
      <c r="J34" s="4014">
        <v>33803.86</v>
      </c>
      <c r="K34" s="4016">
        <v>0</v>
      </c>
      <c r="L34" s="4016">
        <v>0</v>
      </c>
      <c r="M34" s="4016">
        <v>0</v>
      </c>
      <c r="N34" s="4016">
        <v>0</v>
      </c>
      <c r="O34" s="4017">
        <v>0</v>
      </c>
      <c r="P34" s="4018">
        <v>0</v>
      </c>
      <c r="Q34" s="4019">
        <v>0</v>
      </c>
      <c r="R34" s="4006" t="e">
        <f>S34+T34+#REF!</f>
        <v>#REF!</v>
      </c>
      <c r="S34" s="4047">
        <v>401756.56</v>
      </c>
      <c r="T34" s="4048">
        <v>0</v>
      </c>
      <c r="U34" s="3941" t="s">
        <v>3675</v>
      </c>
      <c r="V34" s="3941" t="s">
        <v>3588</v>
      </c>
      <c r="W34" s="4045" t="s">
        <v>3736</v>
      </c>
      <c r="X34" s="3906" t="s">
        <v>3702</v>
      </c>
      <c r="Y34" s="4045" t="s">
        <v>3737</v>
      </c>
      <c r="Z34" s="3876" t="s">
        <v>3653</v>
      </c>
      <c r="AA34" s="4050">
        <v>46816.03</v>
      </c>
      <c r="AB34" s="3876" t="s">
        <v>3738</v>
      </c>
      <c r="AC34" s="4050">
        <v>33803.86</v>
      </c>
      <c r="AD34" s="4049">
        <v>0</v>
      </c>
      <c r="AE34" s="4049">
        <v>0</v>
      </c>
      <c r="AF34" s="4049">
        <v>0</v>
      </c>
      <c r="AG34" s="4051"/>
      <c r="AH34" s="3944"/>
      <c r="AI34" s="4052"/>
      <c r="AJ34" s="4053"/>
      <c r="AK34" s="4052"/>
      <c r="AM34" s="3906">
        <v>2</v>
      </c>
      <c r="AN34" s="3880">
        <f t="shared" si="0"/>
        <v>401756.56</v>
      </c>
      <c r="AO34" s="3880">
        <f t="shared" si="1"/>
        <v>200878.28</v>
      </c>
    </row>
    <row r="35" spans="1:41" ht="24.95" customHeight="1">
      <c r="A35" s="3906">
        <v>29</v>
      </c>
      <c r="B35" s="4043" t="s">
        <v>3739</v>
      </c>
      <c r="C35" s="4044" t="s">
        <v>3740</v>
      </c>
      <c r="D35" s="4045">
        <v>127.38</v>
      </c>
      <c r="E35" s="3906" t="s">
        <v>3625</v>
      </c>
      <c r="F35" s="4046">
        <v>5</v>
      </c>
      <c r="G35" s="4014">
        <v>19372.38</v>
      </c>
      <c r="H35" s="4014">
        <v>232468.56</v>
      </c>
      <c r="I35" s="4014">
        <v>0</v>
      </c>
      <c r="J35" s="4014">
        <v>58117.14</v>
      </c>
      <c r="K35" s="4016">
        <v>0</v>
      </c>
      <c r="L35" s="4016">
        <v>0</v>
      </c>
      <c r="M35" s="4016">
        <v>0</v>
      </c>
      <c r="N35" s="4016">
        <v>0</v>
      </c>
      <c r="O35" s="4017">
        <v>0</v>
      </c>
      <c r="P35" s="4018">
        <v>0</v>
      </c>
      <c r="Q35" s="4019">
        <v>0</v>
      </c>
      <c r="R35" s="4055" t="e">
        <f>S35+T35+#REF!</f>
        <v>#REF!</v>
      </c>
      <c r="S35" s="4056">
        <v>232468.56</v>
      </c>
      <c r="T35" s="4048">
        <v>0</v>
      </c>
      <c r="U35" s="3941" t="s">
        <v>3675</v>
      </c>
      <c r="V35" s="3941" t="s">
        <v>3588</v>
      </c>
      <c r="W35" s="4045" t="s">
        <v>3741</v>
      </c>
      <c r="X35" s="3906" t="s">
        <v>3742</v>
      </c>
      <c r="Y35" s="4045">
        <v>0</v>
      </c>
      <c r="Z35" s="3876" t="s">
        <v>3743</v>
      </c>
      <c r="AA35" s="4050">
        <v>31882.86</v>
      </c>
      <c r="AB35" s="4049" t="s">
        <v>3744</v>
      </c>
      <c r="AC35" s="4050">
        <v>58117.14</v>
      </c>
      <c r="AD35" s="4049">
        <v>0</v>
      </c>
      <c r="AE35" s="4049">
        <v>0</v>
      </c>
      <c r="AF35" s="4049">
        <v>0</v>
      </c>
      <c r="AG35" s="4051" t="s">
        <v>3745</v>
      </c>
      <c r="AH35" s="3944">
        <f t="shared" si="3"/>
        <v>45606.66</v>
      </c>
      <c r="AI35" s="4052">
        <v>38744.76</v>
      </c>
      <c r="AJ35" s="4057">
        <v>6861.9</v>
      </c>
      <c r="AK35" s="4052">
        <v>0</v>
      </c>
      <c r="AM35" s="3906">
        <v>1</v>
      </c>
      <c r="AN35" s="3880">
        <f t="shared" si="0"/>
        <v>232468.56</v>
      </c>
      <c r="AO35" s="3880">
        <f t="shared" si="1"/>
        <v>232468.56</v>
      </c>
    </row>
    <row r="36" spans="1:41" ht="24.95" customHeight="1">
      <c r="A36" s="3906">
        <v>30</v>
      </c>
      <c r="B36" s="4054" t="s">
        <v>3746</v>
      </c>
      <c r="C36" s="4041" t="s">
        <v>3747</v>
      </c>
      <c r="D36" s="4045">
        <v>60.02</v>
      </c>
      <c r="E36" s="3906" t="s">
        <v>3625</v>
      </c>
      <c r="F36" s="4046">
        <v>4</v>
      </c>
      <c r="G36" s="4014">
        <v>7302.43</v>
      </c>
      <c r="H36" s="4014">
        <v>87629.16</v>
      </c>
      <c r="I36" s="4014">
        <v>0</v>
      </c>
      <c r="J36" s="4014">
        <v>14604.86</v>
      </c>
      <c r="K36" s="4016">
        <v>0</v>
      </c>
      <c r="L36" s="4016">
        <v>0</v>
      </c>
      <c r="M36" s="4016">
        <v>0</v>
      </c>
      <c r="N36" s="4016">
        <v>0</v>
      </c>
      <c r="O36" s="4017">
        <v>0</v>
      </c>
      <c r="P36" s="4018">
        <v>0</v>
      </c>
      <c r="Q36" s="4019">
        <v>0</v>
      </c>
      <c r="R36" s="4055" t="e">
        <f>S36+T36+#REF!</f>
        <v>#REF!</v>
      </c>
      <c r="S36" s="4056">
        <v>87629.16</v>
      </c>
      <c r="T36" s="4048">
        <v>0</v>
      </c>
      <c r="U36" s="3941" t="s">
        <v>3675</v>
      </c>
      <c r="V36" s="3941" t="s">
        <v>3588</v>
      </c>
      <c r="W36" s="4045" t="s">
        <v>3748</v>
      </c>
      <c r="X36" s="3906" t="s">
        <v>3749</v>
      </c>
      <c r="Y36" s="4045">
        <v>0</v>
      </c>
      <c r="Z36" s="3876" t="s">
        <v>3653</v>
      </c>
      <c r="AA36" s="4050">
        <v>21907.29</v>
      </c>
      <c r="AB36" s="4049" t="s">
        <v>3750</v>
      </c>
      <c r="AC36" s="4050">
        <v>14604.86</v>
      </c>
      <c r="AD36" s="4049">
        <v>0</v>
      </c>
      <c r="AE36" s="4049">
        <v>0</v>
      </c>
      <c r="AF36" s="4049">
        <v>0</v>
      </c>
      <c r="AG36" s="4051"/>
      <c r="AH36" s="3944"/>
      <c r="AI36" s="4052"/>
      <c r="AJ36" s="4053"/>
      <c r="AK36" s="4052">
        <v>0</v>
      </c>
      <c r="AM36" s="3906">
        <v>1</v>
      </c>
      <c r="AN36" s="3880">
        <f t="shared" si="0"/>
        <v>87629.16</v>
      </c>
      <c r="AO36" s="3880">
        <f t="shared" si="1"/>
        <v>87629.16</v>
      </c>
    </row>
    <row r="37" spans="1:41" ht="24.95" customHeight="1">
      <c r="A37" s="3906">
        <v>31</v>
      </c>
      <c r="B37" s="4054" t="s">
        <v>3751</v>
      </c>
      <c r="C37" s="4041" t="s">
        <v>3752</v>
      </c>
      <c r="D37" s="4058">
        <v>121.3</v>
      </c>
      <c r="E37" s="3906" t="s">
        <v>3674</v>
      </c>
      <c r="F37" s="4046">
        <v>4</v>
      </c>
      <c r="G37" s="4014">
        <v>14758.17</v>
      </c>
      <c r="H37" s="4014">
        <v>177098.04</v>
      </c>
      <c r="I37" s="4014">
        <v>0</v>
      </c>
      <c r="J37" s="4014">
        <v>29516.34</v>
      </c>
      <c r="K37" s="4016">
        <v>0</v>
      </c>
      <c r="L37" s="4016">
        <v>0</v>
      </c>
      <c r="M37" s="4016">
        <v>0</v>
      </c>
      <c r="N37" s="4016">
        <v>0</v>
      </c>
      <c r="O37" s="4017">
        <v>0</v>
      </c>
      <c r="P37" s="4018">
        <v>0</v>
      </c>
      <c r="Q37" s="4019">
        <v>0</v>
      </c>
      <c r="R37" s="4055" t="e">
        <f>S37+T37+#REF!</f>
        <v>#REF!</v>
      </c>
      <c r="S37" s="4056">
        <v>354196.08</v>
      </c>
      <c r="T37" s="4048">
        <v>0</v>
      </c>
      <c r="U37" s="3941" t="s">
        <v>3675</v>
      </c>
      <c r="V37" s="3941" t="s">
        <v>3588</v>
      </c>
      <c r="W37" s="4045" t="s">
        <v>3753</v>
      </c>
      <c r="X37" s="3906" t="s">
        <v>3754</v>
      </c>
      <c r="Y37" s="4045">
        <v>0</v>
      </c>
      <c r="Z37" s="3876" t="s">
        <v>3715</v>
      </c>
      <c r="AA37" s="4050">
        <v>88549.02</v>
      </c>
      <c r="AB37" s="4049" t="s">
        <v>3755</v>
      </c>
      <c r="AC37" s="4050">
        <v>29516.34</v>
      </c>
      <c r="AD37" s="4049">
        <v>0</v>
      </c>
      <c r="AE37" s="4049">
        <v>0</v>
      </c>
      <c r="AF37" s="4049">
        <v>0</v>
      </c>
      <c r="AG37" s="4051"/>
      <c r="AH37" s="3944"/>
      <c r="AI37" s="4052"/>
      <c r="AJ37" s="4053"/>
      <c r="AK37" s="4052"/>
      <c r="AM37" s="3906">
        <v>2</v>
      </c>
      <c r="AN37" s="3880">
        <f t="shared" si="0"/>
        <v>354196.08</v>
      </c>
      <c r="AO37" s="3880">
        <f t="shared" si="1"/>
        <v>177098.04</v>
      </c>
    </row>
    <row r="38" spans="1:41" ht="38.1" customHeight="1">
      <c r="A38" s="3906">
        <v>32</v>
      </c>
      <c r="B38" s="4059" t="s">
        <v>3756</v>
      </c>
      <c r="C38" s="4038" t="s">
        <v>3757</v>
      </c>
      <c r="D38" s="4058">
        <v>121.3</v>
      </c>
      <c r="E38" s="3906" t="s">
        <v>3674</v>
      </c>
      <c r="F38" s="4046">
        <v>4</v>
      </c>
      <c r="G38" s="4014">
        <v>14758.17</v>
      </c>
      <c r="H38" s="4014">
        <v>177098.04</v>
      </c>
      <c r="I38" s="4014">
        <v>0</v>
      </c>
      <c r="J38" s="4014">
        <v>35502.58</v>
      </c>
      <c r="K38" s="4016">
        <v>0</v>
      </c>
      <c r="L38" s="4016">
        <v>0</v>
      </c>
      <c r="M38" s="4016">
        <v>0</v>
      </c>
      <c r="N38" s="4016">
        <v>0</v>
      </c>
      <c r="O38" s="4017">
        <v>0</v>
      </c>
      <c r="P38" s="4018">
        <v>0</v>
      </c>
      <c r="Q38" s="4019">
        <v>0</v>
      </c>
      <c r="R38" s="4055" t="e">
        <f>S38+T38+#REF!</f>
        <v>#REF!</v>
      </c>
      <c r="S38" s="4056">
        <v>426030.96</v>
      </c>
      <c r="T38" s="4048">
        <v>0</v>
      </c>
      <c r="U38" s="3941" t="s">
        <v>3675</v>
      </c>
      <c r="V38" s="4060" t="s">
        <v>3600</v>
      </c>
      <c r="W38" s="4045" t="s">
        <v>3691</v>
      </c>
      <c r="X38" s="3906" t="s">
        <v>3758</v>
      </c>
      <c r="Y38" s="4045">
        <v>0</v>
      </c>
      <c r="Z38" s="3876" t="s">
        <v>3653</v>
      </c>
      <c r="AA38" s="4050">
        <v>44274.51</v>
      </c>
      <c r="AB38" s="4049" t="s">
        <v>3759</v>
      </c>
      <c r="AC38" s="4050">
        <v>35502.58</v>
      </c>
      <c r="AD38" s="4049">
        <v>0</v>
      </c>
      <c r="AE38" s="4049">
        <v>0</v>
      </c>
      <c r="AF38" s="4049">
        <v>0</v>
      </c>
      <c r="AG38" s="4051">
        <v>45390</v>
      </c>
      <c r="AH38" s="3944">
        <f>AI38+AJ38</f>
        <v>44274.51</v>
      </c>
      <c r="AI38" s="4052">
        <v>44274.51</v>
      </c>
      <c r="AJ38" s="4053">
        <v>0</v>
      </c>
      <c r="AK38" s="4052">
        <v>0</v>
      </c>
      <c r="AM38" s="3906">
        <v>2</v>
      </c>
      <c r="AN38" s="3880">
        <f t="shared" si="0"/>
        <v>426030.96</v>
      </c>
      <c r="AO38" s="3880">
        <f t="shared" si="1"/>
        <v>213015.48</v>
      </c>
    </row>
    <row r="39" spans="1:41" ht="24.95" customHeight="1">
      <c r="A39" s="3906">
        <v>33</v>
      </c>
      <c r="B39" s="4043" t="s">
        <v>3760</v>
      </c>
      <c r="C39" s="4003" t="s">
        <v>3761</v>
      </c>
      <c r="D39" s="4058">
        <v>1042.0899999999999</v>
      </c>
      <c r="E39" s="3906" t="s">
        <v>3696</v>
      </c>
      <c r="F39" s="4046">
        <v>4.2300000000000004</v>
      </c>
      <c r="G39" s="4014">
        <v>134077.9</v>
      </c>
      <c r="H39" s="4014">
        <v>1608934.8</v>
      </c>
      <c r="I39" s="4014">
        <v>0</v>
      </c>
      <c r="J39" s="4014">
        <v>402233.7</v>
      </c>
      <c r="K39" s="4016">
        <v>1.1000000000000001</v>
      </c>
      <c r="L39" s="4016">
        <v>0</v>
      </c>
      <c r="M39" s="4016">
        <v>34866.589999999997</v>
      </c>
      <c r="N39" s="4016">
        <v>418399.08</v>
      </c>
      <c r="O39" s="4017">
        <v>104599.77</v>
      </c>
      <c r="P39" s="4018">
        <v>0</v>
      </c>
      <c r="Q39" s="4019">
        <v>0</v>
      </c>
      <c r="R39" s="4055" t="e">
        <f>S39+T39+#REF!</f>
        <v>#REF!</v>
      </c>
      <c r="S39" s="4056">
        <v>4826804.4000000004</v>
      </c>
      <c r="T39" s="4048">
        <v>1255197.24</v>
      </c>
      <c r="U39" s="3941" t="s">
        <v>3557</v>
      </c>
      <c r="V39" s="3941" t="s">
        <v>3577</v>
      </c>
      <c r="W39" s="4045" t="s">
        <v>3762</v>
      </c>
      <c r="X39" s="3906" t="s">
        <v>3763</v>
      </c>
      <c r="Y39" s="4045">
        <v>0</v>
      </c>
      <c r="Z39" s="3876" t="s">
        <v>3764</v>
      </c>
      <c r="AA39" s="4061">
        <v>1608934.8</v>
      </c>
      <c r="AB39" s="4049" t="s">
        <v>3765</v>
      </c>
      <c r="AC39" s="4061">
        <v>402233.7</v>
      </c>
      <c r="AD39" s="4050">
        <v>418399.08</v>
      </c>
      <c r="AE39" s="4049" t="s">
        <v>3765</v>
      </c>
      <c r="AF39" s="4050">
        <v>104599.77</v>
      </c>
      <c r="AG39" s="4051">
        <v>45543</v>
      </c>
      <c r="AH39" s="3944">
        <f t="shared" si="3"/>
        <v>2027333.8800000001</v>
      </c>
      <c r="AI39" s="4062">
        <v>1608934.8</v>
      </c>
      <c r="AJ39" s="4053">
        <v>418399.08</v>
      </c>
      <c r="AK39" s="4052">
        <v>0</v>
      </c>
      <c r="AM39" s="3906">
        <v>3</v>
      </c>
      <c r="AN39" s="3880">
        <f t="shared" si="0"/>
        <v>6082001.6400000006</v>
      </c>
      <c r="AO39" s="3880">
        <f t="shared" si="1"/>
        <v>2027333.8800000001</v>
      </c>
    </row>
    <row r="40" spans="1:41" ht="24.95" customHeight="1">
      <c r="A40" s="3906">
        <v>34</v>
      </c>
      <c r="B40" s="4054" t="s">
        <v>3766</v>
      </c>
      <c r="C40" s="4041" t="s">
        <v>3767</v>
      </c>
      <c r="D40" s="4058">
        <v>63.42</v>
      </c>
      <c r="E40" s="3906" t="s">
        <v>3625</v>
      </c>
      <c r="F40" s="4046">
        <v>4</v>
      </c>
      <c r="G40" s="4063">
        <v>7716.1</v>
      </c>
      <c r="H40" s="4063">
        <v>92593.2</v>
      </c>
      <c r="I40" s="4014">
        <v>0</v>
      </c>
      <c r="J40" s="4063">
        <v>15432.2</v>
      </c>
      <c r="K40" s="4016">
        <v>0</v>
      </c>
      <c r="L40" s="4016">
        <v>0</v>
      </c>
      <c r="M40" s="4016">
        <v>0</v>
      </c>
      <c r="N40" s="4016">
        <v>0</v>
      </c>
      <c r="O40" s="4017">
        <v>0</v>
      </c>
      <c r="P40" s="4018">
        <v>0</v>
      </c>
      <c r="Q40" s="4019">
        <v>0</v>
      </c>
      <c r="R40" s="4055" t="e">
        <f>S40+T40+#REF!</f>
        <v>#REF!</v>
      </c>
      <c r="S40" s="4056">
        <v>92593.2</v>
      </c>
      <c r="T40" s="4048">
        <v>0</v>
      </c>
      <c r="U40" s="3941" t="s">
        <v>3768</v>
      </c>
      <c r="V40" s="3941" t="s">
        <v>3588</v>
      </c>
      <c r="W40" s="4045" t="s">
        <v>3769</v>
      </c>
      <c r="X40" s="3906" t="s">
        <v>3770</v>
      </c>
      <c r="Y40" s="4045">
        <v>0</v>
      </c>
      <c r="Z40" s="3876" t="s">
        <v>3653</v>
      </c>
      <c r="AA40" s="4061">
        <v>23148.3</v>
      </c>
      <c r="AB40" s="4049" t="s">
        <v>3771</v>
      </c>
      <c r="AC40" s="4061">
        <v>15432.2</v>
      </c>
      <c r="AD40" s="4049">
        <v>0</v>
      </c>
      <c r="AE40" s="4049">
        <v>0</v>
      </c>
      <c r="AF40" s="4049">
        <v>0</v>
      </c>
      <c r="AG40" s="4051"/>
      <c r="AH40" s="3944"/>
      <c r="AI40" s="4062"/>
      <c r="AJ40" s="4053"/>
      <c r="AK40" s="4052"/>
      <c r="AM40" s="3906">
        <v>1</v>
      </c>
      <c r="AN40" s="3880">
        <f t="shared" si="0"/>
        <v>92593.2</v>
      </c>
      <c r="AO40" s="3880">
        <f t="shared" si="1"/>
        <v>92593.2</v>
      </c>
    </row>
    <row r="41" spans="1:41" ht="24.95" customHeight="1">
      <c r="A41" s="3906">
        <v>35</v>
      </c>
      <c r="B41" s="4064" t="s">
        <v>3772</v>
      </c>
      <c r="C41" s="4003" t="s">
        <v>3773</v>
      </c>
      <c r="D41" s="4058">
        <v>102.56</v>
      </c>
      <c r="E41" s="3906" t="s">
        <v>3625</v>
      </c>
      <c r="F41" s="4046">
        <v>4</v>
      </c>
      <c r="G41" s="4014">
        <v>12478.13</v>
      </c>
      <c r="H41" s="4014">
        <v>149737.56</v>
      </c>
      <c r="I41" s="4014">
        <v>0</v>
      </c>
      <c r="J41" s="4014">
        <v>24956.26</v>
      </c>
      <c r="K41" s="4016">
        <v>0</v>
      </c>
      <c r="L41" s="4016">
        <v>0</v>
      </c>
      <c r="M41" s="4016">
        <v>0</v>
      </c>
      <c r="N41" s="4016">
        <v>0</v>
      </c>
      <c r="O41" s="4017">
        <v>0</v>
      </c>
      <c r="P41" s="4018">
        <v>0</v>
      </c>
      <c r="Q41" s="4019">
        <v>0</v>
      </c>
      <c r="R41" s="4055" t="e">
        <f>S41+T41+#REF!</f>
        <v>#REF!</v>
      </c>
      <c r="S41" s="4056">
        <v>149737.56</v>
      </c>
      <c r="T41" s="4048">
        <v>0</v>
      </c>
      <c r="U41" s="3941" t="s">
        <v>3675</v>
      </c>
      <c r="V41" s="3941" t="s">
        <v>3588</v>
      </c>
      <c r="W41" s="4045" t="s">
        <v>3774</v>
      </c>
      <c r="X41" s="3906" t="s">
        <v>3775</v>
      </c>
      <c r="Y41" s="4045">
        <v>0</v>
      </c>
      <c r="Z41" s="3876" t="s">
        <v>3653</v>
      </c>
      <c r="AA41" s="4050">
        <v>37434.39</v>
      </c>
      <c r="AB41" s="4049" t="s">
        <v>3688</v>
      </c>
      <c r="AC41" s="4050">
        <v>24956.26</v>
      </c>
      <c r="AD41" s="4049">
        <v>0</v>
      </c>
      <c r="AE41" s="4049">
        <v>0</v>
      </c>
      <c r="AF41" s="4049">
        <v>0</v>
      </c>
      <c r="AG41" s="4051">
        <v>45207</v>
      </c>
      <c r="AH41" s="3944">
        <f t="shared" si="3"/>
        <v>37434.39</v>
      </c>
      <c r="AI41" s="3878">
        <v>37434.39</v>
      </c>
      <c r="AJ41" s="4053">
        <v>0</v>
      </c>
      <c r="AK41" s="4052">
        <v>0</v>
      </c>
      <c r="AM41" s="3906">
        <v>1</v>
      </c>
      <c r="AN41" s="3880">
        <f t="shared" si="0"/>
        <v>149737.56</v>
      </c>
      <c r="AO41" s="3880">
        <f t="shared" si="1"/>
        <v>149737.56</v>
      </c>
    </row>
    <row r="42" spans="1:41" ht="24.95" customHeight="1">
      <c r="A42" s="3906">
        <v>36</v>
      </c>
      <c r="B42" s="4064" t="s">
        <v>3776</v>
      </c>
      <c r="C42" s="4044" t="s">
        <v>3777</v>
      </c>
      <c r="D42" s="4058">
        <v>653.76</v>
      </c>
      <c r="E42" s="4045" t="s">
        <v>3778</v>
      </c>
      <c r="F42" s="4046">
        <v>4.0999999999999996</v>
      </c>
      <c r="G42" s="4014">
        <v>81529.320000000007</v>
      </c>
      <c r="H42" s="4014">
        <v>733762.8</v>
      </c>
      <c r="I42" s="4014" t="s">
        <v>3779</v>
      </c>
      <c r="J42" s="4014">
        <v>163058.64000000001</v>
      </c>
      <c r="K42" s="4016">
        <v>1.1000000000000001</v>
      </c>
      <c r="L42" s="4016">
        <v>0</v>
      </c>
      <c r="M42" s="4016">
        <v>21873.72</v>
      </c>
      <c r="N42" s="4016">
        <v>240610.92</v>
      </c>
      <c r="O42" s="4017">
        <v>43747.44</v>
      </c>
      <c r="P42" s="4018">
        <v>0</v>
      </c>
      <c r="Q42" s="4019">
        <v>0</v>
      </c>
      <c r="R42" s="4055" t="e">
        <f>S42+T42+#REF!</f>
        <v>#REF!</v>
      </c>
      <c r="S42" s="4056">
        <v>3687511.44</v>
      </c>
      <c r="T42" s="4048">
        <v>1028064.84</v>
      </c>
      <c r="U42" s="3941" t="s">
        <v>3557</v>
      </c>
      <c r="V42" s="4060" t="s">
        <v>3780</v>
      </c>
      <c r="W42" s="4045" t="s">
        <v>3781</v>
      </c>
      <c r="X42" s="3906" t="s">
        <v>3782</v>
      </c>
      <c r="Y42" s="4045" t="s">
        <v>3783</v>
      </c>
      <c r="Z42" s="3876" t="s">
        <v>3653</v>
      </c>
      <c r="AA42" s="4050">
        <v>244587.96</v>
      </c>
      <c r="AB42" s="4049" t="s">
        <v>3784</v>
      </c>
      <c r="AC42" s="4050">
        <v>163058.64000000001</v>
      </c>
      <c r="AD42" s="4050">
        <v>43747.44</v>
      </c>
      <c r="AE42" s="4049" t="s">
        <v>3785</v>
      </c>
      <c r="AF42" s="4050">
        <v>43747.44</v>
      </c>
      <c r="AG42" s="4051">
        <v>45222</v>
      </c>
      <c r="AH42" s="3944">
        <f t="shared" si="3"/>
        <v>65621.16</v>
      </c>
      <c r="AI42" s="4052">
        <v>0</v>
      </c>
      <c r="AJ42" s="4053">
        <v>65621.16</v>
      </c>
      <c r="AK42" s="4052">
        <v>0</v>
      </c>
      <c r="AM42" s="4045">
        <v>4</v>
      </c>
      <c r="AN42" s="3880">
        <f t="shared" si="0"/>
        <v>4715576.28</v>
      </c>
      <c r="AO42" s="3880">
        <f t="shared" si="1"/>
        <v>1178894.07</v>
      </c>
    </row>
    <row r="43" spans="1:41" ht="27.95" customHeight="1">
      <c r="A43" s="3906">
        <v>37</v>
      </c>
      <c r="B43" s="4064" t="s">
        <v>3786</v>
      </c>
      <c r="C43" s="4003" t="s">
        <v>3787</v>
      </c>
      <c r="D43" s="4058">
        <v>85.16</v>
      </c>
      <c r="E43" s="3906" t="s">
        <v>3674</v>
      </c>
      <c r="F43" s="4046">
        <v>5.5</v>
      </c>
      <c r="G43" s="4014">
        <v>14246.56</v>
      </c>
      <c r="H43" s="4014">
        <v>170958.72</v>
      </c>
      <c r="I43" s="4014">
        <v>0</v>
      </c>
      <c r="J43" s="4014">
        <v>28493.119999999999</v>
      </c>
      <c r="K43" s="4016">
        <v>0</v>
      </c>
      <c r="L43" s="4016">
        <v>0</v>
      </c>
      <c r="M43" s="4016">
        <v>0</v>
      </c>
      <c r="N43" s="4016">
        <v>0</v>
      </c>
      <c r="O43" s="4017">
        <v>0</v>
      </c>
      <c r="P43" s="4018">
        <v>0</v>
      </c>
      <c r="Q43" s="4019">
        <v>0</v>
      </c>
      <c r="R43" s="4055" t="e">
        <f>S43+T43+#REF!</f>
        <v>#REF!</v>
      </c>
      <c r="S43" s="4056">
        <v>337233.64</v>
      </c>
      <c r="T43" s="4048">
        <v>0</v>
      </c>
      <c r="U43" s="3941" t="s">
        <v>3675</v>
      </c>
      <c r="V43" s="4060" t="s">
        <v>3600</v>
      </c>
      <c r="W43" s="4045" t="s">
        <v>3788</v>
      </c>
      <c r="X43" s="3906" t="s">
        <v>3789</v>
      </c>
      <c r="Y43" s="4045" t="s">
        <v>3790</v>
      </c>
      <c r="Z43" s="3876" t="s">
        <v>3653</v>
      </c>
      <c r="AA43" s="4050">
        <v>38055.879999999997</v>
      </c>
      <c r="AB43" s="4049" t="s">
        <v>3791</v>
      </c>
      <c r="AC43" s="4050">
        <v>28493.119999999999</v>
      </c>
      <c r="AD43" s="4049">
        <v>0</v>
      </c>
      <c r="AE43" s="4049">
        <v>0</v>
      </c>
      <c r="AF43" s="4049">
        <v>0</v>
      </c>
      <c r="AG43" s="4051">
        <v>45222</v>
      </c>
      <c r="AH43" s="3944">
        <f t="shared" si="3"/>
        <v>47239.68</v>
      </c>
      <c r="AI43" s="4052">
        <v>47239.68</v>
      </c>
      <c r="AJ43" s="4053">
        <v>0</v>
      </c>
      <c r="AK43" s="4052">
        <v>0</v>
      </c>
      <c r="AM43" s="3906">
        <v>2</v>
      </c>
      <c r="AN43" s="3880">
        <f t="shared" si="0"/>
        <v>337233.64</v>
      </c>
      <c r="AO43" s="3880">
        <f t="shared" si="1"/>
        <v>168616.82</v>
      </c>
    </row>
    <row r="44" spans="1:41" ht="27.95" customHeight="1">
      <c r="A44" s="3906">
        <v>38</v>
      </c>
      <c r="B44" s="4064" t="s">
        <v>3786</v>
      </c>
      <c r="C44" s="4003" t="s">
        <v>3792</v>
      </c>
      <c r="D44" s="4058">
        <v>120.74</v>
      </c>
      <c r="E44" s="3906" t="s">
        <v>3674</v>
      </c>
      <c r="F44" s="4046">
        <v>4</v>
      </c>
      <c r="G44" s="4014">
        <v>14690.03</v>
      </c>
      <c r="H44" s="4014">
        <v>176280.36</v>
      </c>
      <c r="I44" s="4014">
        <v>0</v>
      </c>
      <c r="J44" s="4014">
        <v>29380.06</v>
      </c>
      <c r="K44" s="4016">
        <v>0</v>
      </c>
      <c r="L44" s="4016">
        <v>0</v>
      </c>
      <c r="M44" s="4016">
        <v>0</v>
      </c>
      <c r="N44" s="4016">
        <v>0</v>
      </c>
      <c r="O44" s="4017">
        <v>0</v>
      </c>
      <c r="P44" s="4018">
        <v>0</v>
      </c>
      <c r="Q44" s="4019">
        <v>0</v>
      </c>
      <c r="R44" s="4055" t="e">
        <f>S44+T44+#REF!</f>
        <v>#REF!</v>
      </c>
      <c r="S44" s="4056">
        <v>347731.12</v>
      </c>
      <c r="T44" s="4048">
        <v>0</v>
      </c>
      <c r="U44" s="3941" t="s">
        <v>3675</v>
      </c>
      <c r="V44" s="4060" t="s">
        <v>3600</v>
      </c>
      <c r="W44" s="4045" t="s">
        <v>3788</v>
      </c>
      <c r="X44" s="3906" t="s">
        <v>3789</v>
      </c>
      <c r="Y44" s="4045" t="s">
        <v>3790</v>
      </c>
      <c r="Z44" s="3876" t="s">
        <v>3653</v>
      </c>
      <c r="AA44" s="4050">
        <v>39240.49</v>
      </c>
      <c r="AB44" s="4049" t="s">
        <v>3791</v>
      </c>
      <c r="AC44" s="4050">
        <v>29380.06</v>
      </c>
      <c r="AD44" s="4049">
        <v>0</v>
      </c>
      <c r="AE44" s="4049">
        <v>0</v>
      </c>
      <c r="AF44" s="4049">
        <v>0</v>
      </c>
      <c r="AG44" s="4051">
        <v>45222</v>
      </c>
      <c r="AH44" s="3944">
        <f t="shared" si="3"/>
        <v>4070.09</v>
      </c>
      <c r="AI44" s="4052">
        <v>4070.09</v>
      </c>
      <c r="AJ44" s="4053">
        <v>0</v>
      </c>
      <c r="AK44" s="4052">
        <v>0</v>
      </c>
      <c r="AM44" s="3906">
        <v>2</v>
      </c>
      <c r="AN44" s="3880">
        <f t="shared" si="0"/>
        <v>347731.12</v>
      </c>
      <c r="AO44" s="3880">
        <f t="shared" si="1"/>
        <v>173865.56</v>
      </c>
    </row>
    <row r="45" spans="1:41" ht="27.95" customHeight="1">
      <c r="A45" s="3906">
        <v>39</v>
      </c>
      <c r="B45" s="4064" t="s">
        <v>3793</v>
      </c>
      <c r="C45" s="4003" t="s">
        <v>3794</v>
      </c>
      <c r="D45" s="4058">
        <v>171.24</v>
      </c>
      <c r="E45" s="3906" t="s">
        <v>3625</v>
      </c>
      <c r="F45" s="4046">
        <v>5.4</v>
      </c>
      <c r="G45" s="4014">
        <v>28126.17</v>
      </c>
      <c r="H45" s="4014">
        <v>337514.04</v>
      </c>
      <c r="I45" s="4014">
        <v>0</v>
      </c>
      <c r="J45" s="4014">
        <v>28126.17</v>
      </c>
      <c r="K45" s="4016">
        <v>0</v>
      </c>
      <c r="L45" s="4016">
        <v>0</v>
      </c>
      <c r="M45" s="4016">
        <v>0</v>
      </c>
      <c r="N45" s="4016">
        <v>0</v>
      </c>
      <c r="O45" s="4017">
        <v>0</v>
      </c>
      <c r="P45" s="4018">
        <v>0</v>
      </c>
      <c r="Q45" s="4019">
        <v>0</v>
      </c>
      <c r="R45" s="4055" t="e">
        <f>S45+T45+#REF!</f>
        <v>#REF!</v>
      </c>
      <c r="S45" s="4056">
        <v>337514.04</v>
      </c>
      <c r="T45" s="4048">
        <v>0</v>
      </c>
      <c r="U45" s="3941" t="s">
        <v>3675</v>
      </c>
      <c r="V45" s="4060" t="s">
        <v>3600</v>
      </c>
      <c r="W45" s="4045" t="s">
        <v>3795</v>
      </c>
      <c r="X45" s="3906" t="s">
        <v>3796</v>
      </c>
      <c r="Y45" s="4045" t="s">
        <v>3669</v>
      </c>
      <c r="Z45" s="3876" t="s">
        <v>3686</v>
      </c>
      <c r="AA45" s="4050">
        <v>56252.34</v>
      </c>
      <c r="AB45" s="4049" t="s">
        <v>3785</v>
      </c>
      <c r="AC45" s="4050">
        <v>28126.17</v>
      </c>
      <c r="AD45" s="4049">
        <v>0</v>
      </c>
      <c r="AE45" s="4049">
        <v>0</v>
      </c>
      <c r="AF45" s="4049">
        <v>0</v>
      </c>
      <c r="AG45" s="4051">
        <v>45222</v>
      </c>
      <c r="AH45" s="3944">
        <f t="shared" si="3"/>
        <v>84378.51</v>
      </c>
      <c r="AI45" s="4052">
        <v>84378.51</v>
      </c>
      <c r="AJ45" s="4053">
        <v>0</v>
      </c>
      <c r="AK45" s="4052">
        <v>0</v>
      </c>
      <c r="AM45" s="3906">
        <v>1</v>
      </c>
      <c r="AN45" s="3880">
        <f t="shared" si="0"/>
        <v>337514.04</v>
      </c>
      <c r="AO45" s="3880">
        <f t="shared" si="1"/>
        <v>337514.04</v>
      </c>
    </row>
    <row r="46" spans="1:41" ht="27.95" customHeight="1">
      <c r="A46" s="3906">
        <v>40</v>
      </c>
      <c r="B46" s="4064" t="s">
        <v>3797</v>
      </c>
      <c r="C46" s="4003" t="s">
        <v>3798</v>
      </c>
      <c r="D46" s="4058">
        <v>60.02</v>
      </c>
      <c r="E46" s="3906" t="s">
        <v>3674</v>
      </c>
      <c r="F46" s="4046">
        <v>4</v>
      </c>
      <c r="G46" s="4014">
        <v>7302.43</v>
      </c>
      <c r="H46" s="4014">
        <v>87629.16</v>
      </c>
      <c r="I46" s="4014">
        <v>0</v>
      </c>
      <c r="J46" s="4014">
        <v>14604.86</v>
      </c>
      <c r="K46" s="4016">
        <v>0</v>
      </c>
      <c r="L46" s="4016">
        <v>0</v>
      </c>
      <c r="M46" s="4016">
        <v>0</v>
      </c>
      <c r="N46" s="4016">
        <v>0</v>
      </c>
      <c r="O46" s="4017">
        <v>0</v>
      </c>
      <c r="P46" s="4018">
        <v>0</v>
      </c>
      <c r="Q46" s="4019">
        <v>0</v>
      </c>
      <c r="R46" s="4055" t="e">
        <f>S46+T46+#REF!</f>
        <v>#REF!</v>
      </c>
      <c r="S46" s="4056">
        <v>167955.89</v>
      </c>
      <c r="T46" s="4048">
        <v>0</v>
      </c>
      <c r="U46" s="3941" t="s">
        <v>3675</v>
      </c>
      <c r="V46" s="4060" t="s">
        <v>3600</v>
      </c>
      <c r="W46" s="4045" t="s">
        <v>3799</v>
      </c>
      <c r="X46" s="3906" t="s">
        <v>3800</v>
      </c>
      <c r="Y46" s="4045" t="s">
        <v>3669</v>
      </c>
      <c r="Z46" s="3876" t="s">
        <v>3653</v>
      </c>
      <c r="AA46" s="4050">
        <v>14604.86</v>
      </c>
      <c r="AB46" s="4049" t="s">
        <v>3801</v>
      </c>
      <c r="AC46" s="4050">
        <v>14604.86</v>
      </c>
      <c r="AD46" s="4049">
        <v>0</v>
      </c>
      <c r="AE46" s="4049">
        <v>0</v>
      </c>
      <c r="AF46" s="4049">
        <v>0</v>
      </c>
      <c r="AG46" s="4051">
        <v>45253</v>
      </c>
      <c r="AH46" s="3878">
        <f t="shared" si="3"/>
        <v>21907.29</v>
      </c>
      <c r="AI46" s="3944">
        <v>21907.29</v>
      </c>
      <c r="AJ46" s="4053">
        <v>0</v>
      </c>
      <c r="AK46" s="4052">
        <v>0</v>
      </c>
      <c r="AM46" s="3906">
        <v>2</v>
      </c>
      <c r="AN46" s="3880">
        <f t="shared" si="0"/>
        <v>167955.89</v>
      </c>
      <c r="AO46" s="3880">
        <f t="shared" si="1"/>
        <v>83977.945000000007</v>
      </c>
    </row>
    <row r="47" spans="1:41" ht="27.95" customHeight="1">
      <c r="A47" s="3906">
        <v>41</v>
      </c>
      <c r="B47" s="4064" t="s">
        <v>3802</v>
      </c>
      <c r="C47" s="4044" t="s">
        <v>3803</v>
      </c>
      <c r="D47" s="4058">
        <v>140.44</v>
      </c>
      <c r="E47" s="3906" t="s">
        <v>3674</v>
      </c>
      <c r="F47" s="4046">
        <v>4</v>
      </c>
      <c r="G47" s="4014">
        <v>17086.87</v>
      </c>
      <c r="H47" s="4014">
        <v>205042.44</v>
      </c>
      <c r="I47" s="4014">
        <v>0</v>
      </c>
      <c r="J47" s="4014">
        <v>34173.74</v>
      </c>
      <c r="K47" s="4016">
        <v>0</v>
      </c>
      <c r="L47" s="4016">
        <v>0</v>
      </c>
      <c r="M47" s="4016">
        <v>0</v>
      </c>
      <c r="N47" s="4016">
        <v>0</v>
      </c>
      <c r="O47" s="4017">
        <v>0</v>
      </c>
      <c r="P47" s="4018">
        <v>0</v>
      </c>
      <c r="Q47" s="4019">
        <v>0</v>
      </c>
      <c r="R47" s="4055" t="e">
        <f>S47+T47+#REF!</f>
        <v>#REF!</v>
      </c>
      <c r="S47" s="4056">
        <v>410084.88</v>
      </c>
      <c r="T47" s="4048">
        <v>0</v>
      </c>
      <c r="U47" s="3941" t="s">
        <v>3675</v>
      </c>
      <c r="V47" s="4060" t="s">
        <v>3600</v>
      </c>
      <c r="W47" s="4045" t="s">
        <v>3804</v>
      </c>
      <c r="X47" s="3906" t="s">
        <v>3800</v>
      </c>
      <c r="Y47" s="4045">
        <v>0</v>
      </c>
      <c r="Z47" s="3876" t="s">
        <v>3715</v>
      </c>
      <c r="AA47" s="4050">
        <v>102521.22</v>
      </c>
      <c r="AB47" s="4049" t="s">
        <v>3805</v>
      </c>
      <c r="AC47" s="4050">
        <v>34173.74</v>
      </c>
      <c r="AD47" s="4049">
        <v>0</v>
      </c>
      <c r="AE47" s="4049">
        <v>0</v>
      </c>
      <c r="AF47" s="4049">
        <v>0</v>
      </c>
      <c r="AG47" s="3943">
        <v>45344</v>
      </c>
      <c r="AH47" s="3944">
        <f t="shared" si="3"/>
        <v>102521.22</v>
      </c>
      <c r="AI47" s="4052">
        <v>102521.22</v>
      </c>
      <c r="AJ47" s="4053">
        <v>0</v>
      </c>
      <c r="AK47" s="4052">
        <v>0</v>
      </c>
      <c r="AM47" s="3906">
        <v>2</v>
      </c>
      <c r="AN47" s="3880">
        <f t="shared" si="0"/>
        <v>410084.88</v>
      </c>
      <c r="AO47" s="3880">
        <f t="shared" si="1"/>
        <v>205042.44</v>
      </c>
    </row>
    <row r="48" spans="1:41" ht="27.95" customHeight="1">
      <c r="A48" s="3906">
        <v>42</v>
      </c>
      <c r="B48" s="4065" t="s">
        <v>3806</v>
      </c>
      <c r="C48" s="4066" t="s">
        <v>3807</v>
      </c>
      <c r="D48" s="4058">
        <v>96.24</v>
      </c>
      <c r="E48" s="4045" t="s">
        <v>3625</v>
      </c>
      <c r="F48" s="4046">
        <v>5.6</v>
      </c>
      <c r="G48" s="4014">
        <v>16392.88</v>
      </c>
      <c r="H48" s="4014">
        <v>196714.56</v>
      </c>
      <c r="I48" s="4014">
        <v>0</v>
      </c>
      <c r="J48" s="4014">
        <v>16392.88</v>
      </c>
      <c r="K48" s="4016">
        <v>0</v>
      </c>
      <c r="L48" s="4016">
        <v>0</v>
      </c>
      <c r="M48" s="4016">
        <v>0</v>
      </c>
      <c r="N48" s="4016">
        <v>0</v>
      </c>
      <c r="O48" s="4017">
        <v>0</v>
      </c>
      <c r="P48" s="4018">
        <v>0</v>
      </c>
      <c r="Q48" s="4019">
        <v>0</v>
      </c>
      <c r="R48" s="4055" t="e">
        <f>S48+T48+#REF!</f>
        <v>#REF!</v>
      </c>
      <c r="S48" s="4056">
        <v>196714.56</v>
      </c>
      <c r="T48" s="4048">
        <v>0</v>
      </c>
      <c r="U48" s="3941" t="s">
        <v>3675</v>
      </c>
      <c r="V48" s="4060" t="s">
        <v>3600</v>
      </c>
      <c r="W48" s="4045" t="s">
        <v>3808</v>
      </c>
      <c r="X48" s="4045" t="s">
        <v>3809</v>
      </c>
      <c r="Y48" s="4045">
        <v>0</v>
      </c>
      <c r="Z48" s="3876" t="s">
        <v>3609</v>
      </c>
      <c r="AA48" s="4050">
        <v>16392.88</v>
      </c>
      <c r="AB48" s="4049" t="s">
        <v>3810</v>
      </c>
      <c r="AC48" s="4050">
        <v>16392.88</v>
      </c>
      <c r="AD48" s="4049">
        <v>0</v>
      </c>
      <c r="AE48" s="4049">
        <v>0</v>
      </c>
      <c r="AF48" s="4049">
        <v>0</v>
      </c>
      <c r="AG48" s="4051">
        <v>45170</v>
      </c>
      <c r="AH48" s="3944">
        <f t="shared" si="3"/>
        <v>16392.88</v>
      </c>
      <c r="AI48" s="4052">
        <v>16392.88</v>
      </c>
      <c r="AJ48" s="4053">
        <v>0</v>
      </c>
      <c r="AK48" s="4052">
        <v>0</v>
      </c>
      <c r="AM48" s="4045">
        <v>1</v>
      </c>
      <c r="AN48" s="3880">
        <f t="shared" si="0"/>
        <v>196714.56</v>
      </c>
      <c r="AO48" s="3880">
        <f t="shared" si="1"/>
        <v>196714.56</v>
      </c>
    </row>
    <row r="49" spans="1:41" ht="36" customHeight="1">
      <c r="A49" s="3906">
        <v>43</v>
      </c>
      <c r="B49" s="4067" t="s">
        <v>3811</v>
      </c>
      <c r="C49" s="4068" t="s">
        <v>3812</v>
      </c>
      <c r="D49" s="4058">
        <v>60.02</v>
      </c>
      <c r="E49" s="4045" t="s">
        <v>3625</v>
      </c>
      <c r="F49" s="4046">
        <v>3.8</v>
      </c>
      <c r="G49" s="4063">
        <v>6937.31</v>
      </c>
      <c r="H49" s="4063">
        <v>83247.72</v>
      </c>
      <c r="I49" s="4014">
        <v>0</v>
      </c>
      <c r="J49" s="4063">
        <v>13874.62</v>
      </c>
      <c r="K49" s="4016">
        <v>0</v>
      </c>
      <c r="L49" s="4016">
        <v>0</v>
      </c>
      <c r="M49" s="4016">
        <v>0</v>
      </c>
      <c r="N49" s="4016">
        <v>0</v>
      </c>
      <c r="O49" s="4017">
        <v>0</v>
      </c>
      <c r="P49" s="4018">
        <v>0</v>
      </c>
      <c r="Q49" s="4019">
        <v>0</v>
      </c>
      <c r="R49" s="4055" t="e">
        <f>S49+T49+#REF!</f>
        <v>#REF!</v>
      </c>
      <c r="S49" s="4056">
        <v>83247.72</v>
      </c>
      <c r="T49" s="4048">
        <v>0</v>
      </c>
      <c r="U49" s="3941" t="s">
        <v>3675</v>
      </c>
      <c r="V49" s="4060" t="s">
        <v>3600</v>
      </c>
      <c r="W49" s="4045" t="s">
        <v>3691</v>
      </c>
      <c r="X49" s="3906" t="s">
        <v>3813</v>
      </c>
      <c r="Y49" s="4045">
        <v>0</v>
      </c>
      <c r="Z49" s="3876" t="s">
        <v>3653</v>
      </c>
      <c r="AA49" s="4050"/>
      <c r="AB49" s="4049"/>
      <c r="AC49" s="4069" t="s">
        <v>3814</v>
      </c>
      <c r="AD49" s="4049">
        <v>0</v>
      </c>
      <c r="AE49" s="4049">
        <v>0</v>
      </c>
      <c r="AF49" s="4050">
        <v>0</v>
      </c>
      <c r="AG49" s="4051">
        <v>45306</v>
      </c>
      <c r="AH49" s="3944">
        <f t="shared" si="3"/>
        <v>20811.93</v>
      </c>
      <c r="AI49" s="4062">
        <v>20811.93</v>
      </c>
      <c r="AJ49" s="4053">
        <v>0</v>
      </c>
      <c r="AK49" s="4052">
        <v>0</v>
      </c>
      <c r="AM49" s="4045">
        <v>1</v>
      </c>
      <c r="AN49" s="3880">
        <f t="shared" si="0"/>
        <v>83247.72</v>
      </c>
      <c r="AO49" s="3880">
        <f t="shared" si="1"/>
        <v>83247.72</v>
      </c>
    </row>
    <row r="50" spans="1:41" ht="27.95" customHeight="1">
      <c r="A50" s="3906">
        <v>44</v>
      </c>
      <c r="B50" s="4054" t="s">
        <v>3815</v>
      </c>
      <c r="C50" s="4066" t="s">
        <v>3816</v>
      </c>
      <c r="D50" s="4058">
        <v>92.9</v>
      </c>
      <c r="E50" s="4045" t="s">
        <v>3625</v>
      </c>
      <c r="F50" s="4046">
        <v>3.8</v>
      </c>
      <c r="G50" s="4014">
        <v>10737.69</v>
      </c>
      <c r="H50" s="4014">
        <v>128852.28</v>
      </c>
      <c r="I50" s="4014">
        <v>0</v>
      </c>
      <c r="J50" s="4014">
        <v>21475.38</v>
      </c>
      <c r="K50" s="4016">
        <v>0</v>
      </c>
      <c r="L50" s="4016">
        <v>0</v>
      </c>
      <c r="M50" s="4016">
        <v>0</v>
      </c>
      <c r="N50" s="4016">
        <v>0</v>
      </c>
      <c r="O50" s="4017">
        <v>0</v>
      </c>
      <c r="P50" s="4018">
        <v>0</v>
      </c>
      <c r="Q50" s="4019">
        <v>0</v>
      </c>
      <c r="R50" s="4055" t="e">
        <f>S50+T50+#REF!</f>
        <v>#REF!</v>
      </c>
      <c r="S50" s="4056">
        <v>128852.28</v>
      </c>
      <c r="T50" s="4048">
        <v>0</v>
      </c>
      <c r="U50" s="3941" t="s">
        <v>3675</v>
      </c>
      <c r="V50" s="4060" t="s">
        <v>3600</v>
      </c>
      <c r="W50" s="4045"/>
      <c r="X50" s="3906" t="s">
        <v>3817</v>
      </c>
      <c r="Y50" s="4045">
        <v>0</v>
      </c>
      <c r="Z50" s="3876" t="s">
        <v>3653</v>
      </c>
      <c r="AA50" s="4050">
        <v>32213.07</v>
      </c>
      <c r="AB50" s="4049" t="s">
        <v>3818</v>
      </c>
      <c r="AC50" s="4050">
        <v>21475.38</v>
      </c>
      <c r="AD50" s="4049">
        <v>0</v>
      </c>
      <c r="AE50" s="4049">
        <v>0</v>
      </c>
      <c r="AF50" s="4050">
        <v>0</v>
      </c>
      <c r="AG50" s="4051"/>
      <c r="AH50" s="3944"/>
      <c r="AI50" s="4052"/>
      <c r="AJ50" s="4053"/>
      <c r="AK50" s="4052"/>
      <c r="AM50" s="4045">
        <v>1</v>
      </c>
      <c r="AN50" s="3880">
        <f t="shared" si="0"/>
        <v>128852.28</v>
      </c>
      <c r="AO50" s="3880">
        <f t="shared" si="1"/>
        <v>128852.28</v>
      </c>
    </row>
    <row r="51" spans="1:41" ht="27.95" customHeight="1">
      <c r="A51" s="3906">
        <v>45</v>
      </c>
      <c r="B51" s="3933" t="s">
        <v>3638</v>
      </c>
      <c r="C51" s="4044" t="s">
        <v>3819</v>
      </c>
      <c r="D51" s="4058">
        <v>872.47</v>
      </c>
      <c r="E51" s="4045" t="s">
        <v>3820</v>
      </c>
      <c r="F51" s="4046">
        <v>4.4000000000000004</v>
      </c>
      <c r="G51" s="4014">
        <v>116765.57</v>
      </c>
      <c r="H51" s="4014">
        <v>1050890.1299999999</v>
      </c>
      <c r="I51" s="4014" t="s">
        <v>3640</v>
      </c>
      <c r="J51" s="4014">
        <v>350296.71</v>
      </c>
      <c r="K51" s="4016">
        <v>1.1000000000000001</v>
      </c>
      <c r="L51" s="4016">
        <v>0</v>
      </c>
      <c r="M51" s="4016">
        <v>29191.39</v>
      </c>
      <c r="N51" s="4016">
        <v>350296.68</v>
      </c>
      <c r="O51" s="4017">
        <v>87574.17</v>
      </c>
      <c r="P51" s="4018">
        <v>0</v>
      </c>
      <c r="Q51" s="4019">
        <v>0</v>
      </c>
      <c r="R51" s="4055" t="e">
        <f>S51+T51+#REF!</f>
        <v>#REF!</v>
      </c>
      <c r="S51" s="4056">
        <v>5854731.8099999996</v>
      </c>
      <c r="T51" s="4048">
        <v>1488760.89</v>
      </c>
      <c r="U51" s="3941" t="s">
        <v>3557</v>
      </c>
      <c r="V51" s="4060" t="s">
        <v>3558</v>
      </c>
      <c r="W51" s="4045" t="s">
        <v>3821</v>
      </c>
      <c r="X51" s="4045" t="s">
        <v>3822</v>
      </c>
      <c r="Y51" s="4045" t="s">
        <v>630</v>
      </c>
      <c r="Z51" s="4049" t="s">
        <v>3643</v>
      </c>
      <c r="AA51" s="4050"/>
      <c r="AB51" s="4049" t="s">
        <v>3823</v>
      </c>
      <c r="AC51" s="4050"/>
      <c r="AD51" s="4049"/>
      <c r="AE51" s="4049"/>
      <c r="AF51" s="4050"/>
      <c r="AG51" s="4051"/>
      <c r="AH51" s="3944"/>
      <c r="AI51" s="4070"/>
      <c r="AJ51" s="4053"/>
      <c r="AK51" s="4052"/>
      <c r="AM51" s="4045">
        <v>4.25</v>
      </c>
      <c r="AN51" s="3880">
        <f t="shared" si="0"/>
        <v>7343492.6999999993</v>
      </c>
      <c r="AO51" s="3880">
        <f t="shared" si="1"/>
        <v>1727880.6352941175</v>
      </c>
    </row>
    <row r="52" spans="1:41" ht="27.95" customHeight="1">
      <c r="A52" s="3906">
        <v>46</v>
      </c>
      <c r="B52" s="4043" t="s">
        <v>3824</v>
      </c>
      <c r="C52" s="4044" t="s">
        <v>3825</v>
      </c>
      <c r="D52" s="4058">
        <v>81.72</v>
      </c>
      <c r="E52" s="4045" t="s">
        <v>3674</v>
      </c>
      <c r="F52" s="4046">
        <v>5.8</v>
      </c>
      <c r="G52" s="4014">
        <v>14416.77</v>
      </c>
      <c r="H52" s="4014">
        <v>158584.47</v>
      </c>
      <c r="I52" s="4014">
        <v>0</v>
      </c>
      <c r="J52" s="4014">
        <v>28833.54</v>
      </c>
      <c r="K52" s="4016">
        <v>0</v>
      </c>
      <c r="L52" s="4016">
        <v>0</v>
      </c>
      <c r="M52" s="4016">
        <v>0</v>
      </c>
      <c r="N52" s="4016">
        <v>0</v>
      </c>
      <c r="O52" s="4017">
        <v>0</v>
      </c>
      <c r="P52" s="4018">
        <v>0</v>
      </c>
      <c r="Q52" s="4019">
        <v>0</v>
      </c>
      <c r="R52" s="4055" t="e">
        <f>S52+T52+#REF!</f>
        <v>#REF!</v>
      </c>
      <c r="S52" s="4056">
        <v>331585.71000000002</v>
      </c>
      <c r="T52" s="4048">
        <v>0</v>
      </c>
      <c r="U52" s="3941" t="s">
        <v>3675</v>
      </c>
      <c r="V52" s="4060" t="s">
        <v>3600</v>
      </c>
      <c r="W52" s="4045" t="s">
        <v>3826</v>
      </c>
      <c r="X52" s="4045" t="s">
        <v>3827</v>
      </c>
      <c r="Y52" s="4045" t="s">
        <v>3669</v>
      </c>
      <c r="Z52" s="3876" t="s">
        <v>3721</v>
      </c>
      <c r="AA52" s="4050">
        <v>158584.47</v>
      </c>
      <c r="AB52" s="4049" t="s">
        <v>3828</v>
      </c>
      <c r="AC52" s="4050">
        <v>28833.54</v>
      </c>
      <c r="AD52" s="4049">
        <v>0</v>
      </c>
      <c r="AE52" s="4049">
        <v>0</v>
      </c>
      <c r="AF52" s="4050">
        <v>0</v>
      </c>
      <c r="AG52" s="4051">
        <v>45573</v>
      </c>
      <c r="AH52" s="3944">
        <f t="shared" si="3"/>
        <v>173001.24</v>
      </c>
      <c r="AI52" s="4052">
        <v>173001.24</v>
      </c>
      <c r="AJ52" s="4053">
        <v>0</v>
      </c>
      <c r="AK52" s="4052">
        <v>0</v>
      </c>
      <c r="AM52" s="4045">
        <v>2</v>
      </c>
      <c r="AN52" s="3880">
        <f t="shared" si="0"/>
        <v>331585.71000000002</v>
      </c>
      <c r="AO52" s="3880">
        <f t="shared" si="1"/>
        <v>165792.85500000001</v>
      </c>
    </row>
    <row r="53" spans="1:41" ht="27.95" customHeight="1">
      <c r="A53" s="3906">
        <v>47</v>
      </c>
      <c r="B53" s="4043" t="s">
        <v>3829</v>
      </c>
      <c r="C53" s="4044" t="s">
        <v>3830</v>
      </c>
      <c r="D53" s="4058">
        <v>172.72</v>
      </c>
      <c r="E53" s="4045" t="s">
        <v>3625</v>
      </c>
      <c r="F53" s="4046">
        <v>4.5</v>
      </c>
      <c r="G53" s="4014">
        <v>23641.05</v>
      </c>
      <c r="H53" s="4014">
        <v>283692.59999999998</v>
      </c>
      <c r="I53" s="4014">
        <v>0</v>
      </c>
      <c r="J53" s="4063">
        <v>47282.1</v>
      </c>
      <c r="K53" s="4016">
        <v>1.1000000000000001</v>
      </c>
      <c r="L53" s="4016">
        <v>0</v>
      </c>
      <c r="M53" s="4016">
        <v>5778.92</v>
      </c>
      <c r="N53" s="4016">
        <v>69347.039999999994</v>
      </c>
      <c r="O53" s="4017">
        <v>1157.8399999999999</v>
      </c>
      <c r="P53" s="4018">
        <v>0</v>
      </c>
      <c r="Q53" s="4019">
        <v>0</v>
      </c>
      <c r="R53" s="4055" t="e">
        <f>S53+T53+#REF!</f>
        <v>#REF!</v>
      </c>
      <c r="S53" s="4056"/>
      <c r="T53" s="4048">
        <v>69347.039999999994</v>
      </c>
      <c r="U53" s="3941" t="s">
        <v>3557</v>
      </c>
      <c r="V53" s="4060" t="s">
        <v>3780</v>
      </c>
      <c r="W53" s="4045" t="s">
        <v>3831</v>
      </c>
      <c r="X53" s="4045" t="s">
        <v>3832</v>
      </c>
      <c r="Y53" s="4045" t="s">
        <v>3669</v>
      </c>
      <c r="Z53" s="3876" t="s">
        <v>3653</v>
      </c>
      <c r="AA53" s="4061">
        <v>47282.1</v>
      </c>
      <c r="AB53" s="4049" t="s">
        <v>3833</v>
      </c>
      <c r="AC53" s="4071">
        <v>47282.1</v>
      </c>
      <c r="AD53" s="4050">
        <v>17336.759999999998</v>
      </c>
      <c r="AE53" s="4049" t="s">
        <v>3784</v>
      </c>
      <c r="AF53" s="4050">
        <v>11557.84</v>
      </c>
      <c r="AG53" s="4051">
        <v>45314</v>
      </c>
      <c r="AH53" s="3944">
        <f t="shared" si="3"/>
        <v>88259.909999999989</v>
      </c>
      <c r="AI53" s="4052">
        <v>70923.149999999994</v>
      </c>
      <c r="AJ53" s="4052">
        <v>17336.759999999998</v>
      </c>
      <c r="AK53" s="4052">
        <v>0</v>
      </c>
      <c r="AM53" s="4045">
        <v>1</v>
      </c>
      <c r="AN53" s="3880">
        <f t="shared" si="0"/>
        <v>69347.039999999994</v>
      </c>
      <c r="AO53" s="3880">
        <f t="shared" si="1"/>
        <v>69347.039999999994</v>
      </c>
    </row>
    <row r="54" spans="1:41" ht="27.95" customHeight="1">
      <c r="A54" s="3906">
        <v>48</v>
      </c>
      <c r="B54" s="4043" t="s">
        <v>3834</v>
      </c>
      <c r="C54" s="4044" t="s">
        <v>3835</v>
      </c>
      <c r="D54" s="4058">
        <v>120.12</v>
      </c>
      <c r="E54" s="4045" t="s">
        <v>3696</v>
      </c>
      <c r="F54" s="4046">
        <v>4.5999999999999996</v>
      </c>
      <c r="G54" s="4014">
        <v>16806.79</v>
      </c>
      <c r="H54" s="4014">
        <v>201681.48</v>
      </c>
      <c r="I54" s="4014">
        <v>0</v>
      </c>
      <c r="J54" s="4014">
        <v>0</v>
      </c>
      <c r="K54" s="4016">
        <v>0</v>
      </c>
      <c r="L54" s="4016">
        <v>0</v>
      </c>
      <c r="M54" s="4016">
        <v>0</v>
      </c>
      <c r="N54" s="4016">
        <v>0</v>
      </c>
      <c r="O54" s="4017">
        <v>0</v>
      </c>
      <c r="P54" s="4018">
        <v>0</v>
      </c>
      <c r="Q54" s="4019">
        <v>0</v>
      </c>
      <c r="R54" s="4055" t="e">
        <f>S54+T54+#REF!</f>
        <v>#REF!</v>
      </c>
      <c r="S54" s="4056">
        <v>605044.43999999994</v>
      </c>
      <c r="T54" s="4048">
        <v>0</v>
      </c>
      <c r="U54" s="3941" t="s">
        <v>3675</v>
      </c>
      <c r="V54" s="4060" t="s">
        <v>3600</v>
      </c>
      <c r="W54" s="4045" t="s">
        <v>3831</v>
      </c>
      <c r="X54" s="4045" t="s">
        <v>3836</v>
      </c>
      <c r="Y54" s="4045">
        <v>0</v>
      </c>
      <c r="Z54" s="3876" t="s">
        <v>3732</v>
      </c>
      <c r="AA54" s="4050"/>
      <c r="AB54" s="4049" t="s">
        <v>3837</v>
      </c>
      <c r="AC54" s="4050"/>
      <c r="AD54" s="4050">
        <v>0</v>
      </c>
      <c r="AE54" s="4049">
        <v>0</v>
      </c>
      <c r="AF54" s="4050">
        <v>0</v>
      </c>
      <c r="AG54" s="4051">
        <v>45435</v>
      </c>
      <c r="AH54" s="3944">
        <f t="shared" si="3"/>
        <v>50420.37</v>
      </c>
      <c r="AI54" s="4052">
        <v>50420.37</v>
      </c>
      <c r="AJ54" s="4053">
        <v>0</v>
      </c>
      <c r="AK54" s="4052">
        <v>0</v>
      </c>
      <c r="AM54" s="4045">
        <v>3</v>
      </c>
      <c r="AN54" s="3880">
        <f t="shared" si="0"/>
        <v>605044.43999999994</v>
      </c>
      <c r="AO54" s="3880">
        <f t="shared" si="1"/>
        <v>201681.47999999998</v>
      </c>
    </row>
    <row r="55" spans="1:41" ht="27.95" customHeight="1">
      <c r="A55" s="3906">
        <v>49</v>
      </c>
      <c r="B55" s="4043" t="s">
        <v>3838</v>
      </c>
      <c r="C55" s="4044" t="s">
        <v>3839</v>
      </c>
      <c r="D55" s="4058">
        <v>209.07</v>
      </c>
      <c r="E55" s="4045" t="s">
        <v>3696</v>
      </c>
      <c r="F55" s="4046">
        <v>4.4000000000000004</v>
      </c>
      <c r="G55" s="4014">
        <v>27980.54</v>
      </c>
      <c r="H55" s="4063">
        <v>335766.48</v>
      </c>
      <c r="I55" s="4014">
        <v>0</v>
      </c>
      <c r="J55" s="4014">
        <v>27980.54</v>
      </c>
      <c r="K55" s="4016">
        <v>1.1000000000000001</v>
      </c>
      <c r="L55" s="4016">
        <v>0</v>
      </c>
      <c r="M55" s="4016">
        <v>6995.13</v>
      </c>
      <c r="N55" s="4016">
        <f>M55*12</f>
        <v>83941.56</v>
      </c>
      <c r="O55" s="4017">
        <f>M55</f>
        <v>6995.13</v>
      </c>
      <c r="P55" s="4018">
        <v>0</v>
      </c>
      <c r="Q55" s="4019">
        <v>0</v>
      </c>
      <c r="R55" s="4055" t="e">
        <f>S55+T55+#REF!</f>
        <v>#REF!</v>
      </c>
      <c r="S55" s="4056">
        <v>979318.9</v>
      </c>
      <c r="T55" s="4048">
        <v>244829.55</v>
      </c>
      <c r="U55" s="3941" t="s">
        <v>3557</v>
      </c>
      <c r="V55" s="4060" t="s">
        <v>3780</v>
      </c>
      <c r="W55" s="4045" t="s">
        <v>3831</v>
      </c>
      <c r="X55" s="4045" t="s">
        <v>3840</v>
      </c>
      <c r="Y55" s="4045" t="s">
        <v>3669</v>
      </c>
      <c r="Z55" s="3876" t="s">
        <v>3686</v>
      </c>
      <c r="AA55" s="4071">
        <v>83941.62</v>
      </c>
      <c r="AB55" s="4049" t="s">
        <v>3841</v>
      </c>
      <c r="AC55" s="4071">
        <v>27980.54</v>
      </c>
      <c r="AD55" s="4071">
        <v>20985.39</v>
      </c>
      <c r="AE55" s="4049" t="s">
        <v>3841</v>
      </c>
      <c r="AF55" s="4071">
        <v>6995.13</v>
      </c>
      <c r="AG55" s="4051">
        <v>45333</v>
      </c>
      <c r="AH55" s="3944">
        <f t="shared" si="3"/>
        <v>104927.01</v>
      </c>
      <c r="AI55" s="4052">
        <v>83941.62</v>
      </c>
      <c r="AJ55" s="4053">
        <v>20985.39</v>
      </c>
      <c r="AK55" s="4052">
        <v>0</v>
      </c>
      <c r="AM55" s="4045">
        <v>3</v>
      </c>
      <c r="AN55" s="3880">
        <f t="shared" si="0"/>
        <v>1224148.45</v>
      </c>
      <c r="AO55" s="3880">
        <f t="shared" si="1"/>
        <v>408049.48333333334</v>
      </c>
    </row>
    <row r="56" spans="1:41" ht="27.95" customHeight="1">
      <c r="A56" s="3906">
        <v>50</v>
      </c>
      <c r="B56" s="4043" t="s">
        <v>3842</v>
      </c>
      <c r="C56" s="4044" t="s">
        <v>3843</v>
      </c>
      <c r="D56" s="4058">
        <v>85.16</v>
      </c>
      <c r="E56" s="4045" t="s">
        <v>3674</v>
      </c>
      <c r="F56" s="4046">
        <v>5.8</v>
      </c>
      <c r="G56" s="4014">
        <v>15023.64</v>
      </c>
      <c r="H56" s="4014">
        <v>180283.68</v>
      </c>
      <c r="I56" s="4014">
        <v>0</v>
      </c>
      <c r="J56" s="4014">
        <v>30047.279999999999</v>
      </c>
      <c r="K56" s="4016">
        <v>0</v>
      </c>
      <c r="L56" s="4016">
        <v>0</v>
      </c>
      <c r="M56" s="4016">
        <v>0</v>
      </c>
      <c r="N56" s="4016">
        <v>0</v>
      </c>
      <c r="O56" s="4017">
        <v>0</v>
      </c>
      <c r="P56" s="4018">
        <v>0</v>
      </c>
      <c r="Q56" s="4019">
        <v>0</v>
      </c>
      <c r="R56" s="4055" t="e">
        <f>S56+T56+#REF!</f>
        <v>#REF!</v>
      </c>
      <c r="S56" s="4056">
        <v>345543.72</v>
      </c>
      <c r="T56" s="4048">
        <v>0</v>
      </c>
      <c r="U56" s="3941" t="s">
        <v>3675</v>
      </c>
      <c r="V56" s="4060" t="s">
        <v>3600</v>
      </c>
      <c r="W56" s="4045" t="s">
        <v>3831</v>
      </c>
      <c r="X56" s="4045" t="s">
        <v>3844</v>
      </c>
      <c r="Y56" s="4045" t="s">
        <v>3669</v>
      </c>
      <c r="Z56" s="3876" t="s">
        <v>3715</v>
      </c>
      <c r="AA56" s="4061">
        <v>75118.2</v>
      </c>
      <c r="AB56" s="4049" t="s">
        <v>3845</v>
      </c>
      <c r="AC56" s="4050">
        <v>30047.279999999999</v>
      </c>
      <c r="AD56" s="4050">
        <v>0</v>
      </c>
      <c r="AE56" s="4049">
        <v>0</v>
      </c>
      <c r="AF56" s="4050">
        <v>0</v>
      </c>
      <c r="AG56" s="4051">
        <v>45395</v>
      </c>
      <c r="AH56" s="3944">
        <f t="shared" si="3"/>
        <v>90141.84</v>
      </c>
      <c r="AI56" s="4052">
        <v>90141.84</v>
      </c>
      <c r="AJ56" s="4053">
        <v>0</v>
      </c>
      <c r="AK56" s="4052">
        <v>0</v>
      </c>
      <c r="AM56" s="4045">
        <v>2</v>
      </c>
      <c r="AN56" s="3880">
        <f t="shared" si="0"/>
        <v>345543.72</v>
      </c>
      <c r="AO56" s="3880">
        <f t="shared" si="1"/>
        <v>172771.86</v>
      </c>
    </row>
    <row r="57" spans="1:41" ht="27.95" customHeight="1">
      <c r="A57" s="3906">
        <v>51</v>
      </c>
      <c r="B57" s="4043" t="s">
        <v>3846</v>
      </c>
      <c r="C57" s="4044" t="s">
        <v>3847</v>
      </c>
      <c r="D57" s="4058">
        <v>85.49</v>
      </c>
      <c r="E57" s="4045" t="s">
        <v>3567</v>
      </c>
      <c r="F57" s="4046" t="s">
        <v>3848</v>
      </c>
      <c r="G57" s="4014"/>
      <c r="H57" s="4015">
        <f>12*50000*0.1</f>
        <v>60000</v>
      </c>
      <c r="I57" s="4014"/>
      <c r="J57" s="4014">
        <v>0</v>
      </c>
      <c r="K57" s="4016">
        <v>0</v>
      </c>
      <c r="L57" s="4016">
        <v>0</v>
      </c>
      <c r="M57" s="4016">
        <v>0</v>
      </c>
      <c r="N57" s="4016">
        <v>0</v>
      </c>
      <c r="O57" s="4017">
        <v>0</v>
      </c>
      <c r="P57" s="4018">
        <v>0</v>
      </c>
      <c r="Q57" s="4019">
        <v>0</v>
      </c>
      <c r="R57" s="4055" t="e">
        <f>S57+T57+#REF!</f>
        <v>#REF!</v>
      </c>
      <c r="S57" s="4056"/>
      <c r="T57" s="4048"/>
      <c r="U57" s="4060" t="s">
        <v>3849</v>
      </c>
      <c r="V57" s="4060" t="s">
        <v>3600</v>
      </c>
      <c r="W57" s="4045" t="s">
        <v>3850</v>
      </c>
      <c r="X57" s="4045" t="s">
        <v>3851</v>
      </c>
      <c r="Y57" s="4045">
        <v>0</v>
      </c>
      <c r="Z57" s="4049"/>
      <c r="AA57" s="4050"/>
      <c r="AB57" s="4049"/>
      <c r="AC57" s="4050"/>
      <c r="AD57" s="4050"/>
      <c r="AE57" s="4049"/>
      <c r="AF57" s="4050"/>
      <c r="AG57" s="4051"/>
      <c r="AH57" s="3944">
        <f t="shared" si="3"/>
        <v>0</v>
      </c>
      <c r="AI57" s="4052"/>
      <c r="AJ57" s="4053"/>
      <c r="AK57" s="4052"/>
      <c r="AM57" s="4045">
        <v>5</v>
      </c>
      <c r="AN57" s="3880">
        <f t="shared" si="0"/>
        <v>0</v>
      </c>
      <c r="AO57" s="3880">
        <f t="shared" si="1"/>
        <v>0</v>
      </c>
    </row>
    <row r="58" spans="1:41" ht="27.95" customHeight="1">
      <c r="A58" s="3906">
        <v>52</v>
      </c>
      <c r="B58" s="4043" t="s">
        <v>3852</v>
      </c>
      <c r="C58" s="4044" t="s">
        <v>3853</v>
      </c>
      <c r="D58" s="4058">
        <v>1294.28</v>
      </c>
      <c r="E58" s="4045" t="s">
        <v>3854</v>
      </c>
      <c r="F58" s="4046" t="s">
        <v>3855</v>
      </c>
      <c r="G58" s="4014"/>
      <c r="H58" s="4015">
        <f>2500000*0.15</f>
        <v>375000</v>
      </c>
      <c r="I58" s="4014"/>
      <c r="J58" s="4014">
        <v>0</v>
      </c>
      <c r="K58" s="4016">
        <v>0</v>
      </c>
      <c r="L58" s="4016">
        <v>0</v>
      </c>
      <c r="M58" s="4016">
        <v>0</v>
      </c>
      <c r="N58" s="4016">
        <v>0</v>
      </c>
      <c r="O58" s="4017">
        <v>0</v>
      </c>
      <c r="P58" s="4018">
        <v>0</v>
      </c>
      <c r="Q58" s="4019">
        <v>0</v>
      </c>
      <c r="R58" s="4055" t="e">
        <f>S58+T58+#REF!</f>
        <v>#REF!</v>
      </c>
      <c r="S58" s="4056"/>
      <c r="T58" s="4048"/>
      <c r="U58" s="4060" t="s">
        <v>3849</v>
      </c>
      <c r="V58" s="4060" t="s">
        <v>3600</v>
      </c>
      <c r="W58" s="4045" t="s">
        <v>3856</v>
      </c>
      <c r="X58" s="4045" t="s">
        <v>3857</v>
      </c>
      <c r="Y58" s="4045">
        <v>0</v>
      </c>
      <c r="Z58" s="4049"/>
      <c r="AA58" s="4050"/>
      <c r="AB58" s="4049"/>
      <c r="AC58" s="4050"/>
      <c r="AD58" s="4050"/>
      <c r="AE58" s="4049"/>
      <c r="AF58" s="4050"/>
      <c r="AG58" s="4051"/>
      <c r="AH58" s="3944">
        <f t="shared" si="3"/>
        <v>0</v>
      </c>
      <c r="AI58" s="4052"/>
      <c r="AJ58" s="4053"/>
      <c r="AK58" s="4052"/>
      <c r="AM58" s="4045">
        <v>1.17</v>
      </c>
      <c r="AN58" s="3880">
        <f t="shared" si="0"/>
        <v>0</v>
      </c>
      <c r="AO58" s="3880">
        <f t="shared" si="1"/>
        <v>0</v>
      </c>
    </row>
    <row r="59" spans="1:41" ht="27.95" customHeight="1">
      <c r="A59" s="3906">
        <v>53</v>
      </c>
      <c r="B59" s="4043" t="s">
        <v>3858</v>
      </c>
      <c r="C59" s="4044" t="s">
        <v>3859</v>
      </c>
      <c r="D59" s="4058">
        <v>732.79</v>
      </c>
      <c r="E59" s="4045" t="s">
        <v>3625</v>
      </c>
      <c r="F59" s="4046" t="s">
        <v>3860</v>
      </c>
      <c r="G59" s="4014"/>
      <c r="H59" s="4015">
        <f>4*365*D59</f>
        <v>1069873.3999999999</v>
      </c>
      <c r="I59" s="4014"/>
      <c r="J59" s="4014"/>
      <c r="K59" s="4016"/>
      <c r="L59" s="4016"/>
      <c r="M59" s="4016"/>
      <c r="N59" s="4016"/>
      <c r="O59" s="4017"/>
      <c r="P59" s="4018"/>
      <c r="Q59" s="4019"/>
      <c r="R59" s="4055"/>
      <c r="S59" s="4056"/>
      <c r="T59" s="4048"/>
      <c r="U59" s="4060"/>
      <c r="V59" s="4060"/>
      <c r="W59" s="4045"/>
      <c r="X59" s="4045"/>
      <c r="Y59" s="4045"/>
      <c r="Z59" s="4049"/>
      <c r="AA59" s="4050"/>
      <c r="AB59" s="4049"/>
      <c r="AC59" s="4050"/>
      <c r="AD59" s="4050"/>
      <c r="AE59" s="4049"/>
      <c r="AF59" s="4050"/>
      <c r="AG59" s="4051"/>
      <c r="AH59" s="3944"/>
      <c r="AI59" s="4052"/>
      <c r="AJ59" s="4053"/>
      <c r="AK59" s="4052"/>
      <c r="AM59" s="4045">
        <v>1</v>
      </c>
      <c r="AN59" s="3880">
        <f t="shared" si="0"/>
        <v>0</v>
      </c>
      <c r="AO59" s="3880">
        <f t="shared" si="1"/>
        <v>0</v>
      </c>
    </row>
    <row r="60" spans="1:41" ht="27.95" customHeight="1">
      <c r="A60" s="3906">
        <v>54</v>
      </c>
      <c r="B60" s="4043" t="s">
        <v>3646</v>
      </c>
      <c r="C60" s="4044" t="s">
        <v>3861</v>
      </c>
      <c r="D60" s="4058">
        <v>152.35</v>
      </c>
      <c r="E60" s="4045" t="s">
        <v>3625</v>
      </c>
      <c r="F60" s="4046" t="s">
        <v>3862</v>
      </c>
      <c r="G60" s="4014"/>
      <c r="H60" s="4015">
        <f>12*100000*0.2</f>
        <v>240000</v>
      </c>
      <c r="I60" s="4014"/>
      <c r="J60" s="4014">
        <v>0</v>
      </c>
      <c r="K60" s="4016">
        <v>0</v>
      </c>
      <c r="L60" s="4016">
        <v>0</v>
      </c>
      <c r="M60" s="4016">
        <v>0</v>
      </c>
      <c r="N60" s="4016">
        <v>0</v>
      </c>
      <c r="O60" s="4017">
        <v>0</v>
      </c>
      <c r="P60" s="4018">
        <v>0</v>
      </c>
      <c r="Q60" s="4019">
        <v>0</v>
      </c>
      <c r="R60" s="4055" t="e">
        <f>S60+T60+#REF!</f>
        <v>#REF!</v>
      </c>
      <c r="S60" s="4056"/>
      <c r="T60" s="4048"/>
      <c r="U60" s="4060" t="s">
        <v>3863</v>
      </c>
      <c r="V60" s="4060" t="s">
        <v>3600</v>
      </c>
      <c r="W60" s="4045" t="s">
        <v>3864</v>
      </c>
      <c r="X60" s="4045" t="s">
        <v>3865</v>
      </c>
      <c r="Y60" s="4045">
        <v>0</v>
      </c>
      <c r="Z60" s="4049"/>
      <c r="AA60" s="4050"/>
      <c r="AB60" s="4049"/>
      <c r="AC60" s="4050"/>
      <c r="AD60" s="4050"/>
      <c r="AE60" s="4049"/>
      <c r="AF60" s="4050"/>
      <c r="AG60" s="4051"/>
      <c r="AH60" s="3944">
        <f t="shared" ref="AH60:AH75" si="4">AI60+AJ60</f>
        <v>0</v>
      </c>
      <c r="AI60" s="4052"/>
      <c r="AJ60" s="4053"/>
      <c r="AK60" s="4052"/>
      <c r="AM60" s="4045">
        <v>1</v>
      </c>
      <c r="AN60" s="3880">
        <f t="shared" si="0"/>
        <v>0</v>
      </c>
      <c r="AO60" s="3880">
        <f t="shared" si="1"/>
        <v>0</v>
      </c>
    </row>
    <row r="61" spans="1:41" ht="27.95" customHeight="1">
      <c r="A61" s="3906">
        <v>55</v>
      </c>
      <c r="B61" s="4043" t="s">
        <v>3866</v>
      </c>
      <c r="C61" s="4044" t="s">
        <v>3867</v>
      </c>
      <c r="D61" s="4058">
        <v>75</v>
      </c>
      <c r="E61" s="4045" t="s">
        <v>3674</v>
      </c>
      <c r="F61" s="4046">
        <v>5.8</v>
      </c>
      <c r="G61" s="4014">
        <v>13231.25</v>
      </c>
      <c r="H61" s="4063">
        <v>158775</v>
      </c>
      <c r="I61" s="4014">
        <v>0</v>
      </c>
      <c r="J61" s="4063">
        <v>26462.5</v>
      </c>
      <c r="K61" s="4016">
        <v>0</v>
      </c>
      <c r="L61" s="4016">
        <v>0</v>
      </c>
      <c r="M61" s="4016">
        <v>0</v>
      </c>
      <c r="N61" s="4016">
        <v>0</v>
      </c>
      <c r="O61" s="4017">
        <v>0</v>
      </c>
      <c r="P61" s="4018">
        <v>0</v>
      </c>
      <c r="Q61" s="4019">
        <v>0</v>
      </c>
      <c r="R61" s="4055" t="e">
        <f>S61+T61+#REF!</f>
        <v>#REF!</v>
      </c>
      <c r="S61" s="4056">
        <v>304318.75</v>
      </c>
      <c r="T61" s="4048">
        <v>0</v>
      </c>
      <c r="U61" s="4060" t="s">
        <v>3868</v>
      </c>
      <c r="V61" s="4060" t="s">
        <v>3600</v>
      </c>
      <c r="W61" s="4045" t="s">
        <v>3869</v>
      </c>
      <c r="X61" s="4045" t="s">
        <v>3870</v>
      </c>
      <c r="Y61" s="4045" t="s">
        <v>3669</v>
      </c>
      <c r="Z61" s="3876" t="s">
        <v>3653</v>
      </c>
      <c r="AA61" s="4050">
        <v>26462.5</v>
      </c>
      <c r="AB61" s="4049" t="s">
        <v>3833</v>
      </c>
      <c r="AC61" s="4050">
        <v>26462.5</v>
      </c>
      <c r="AD61" s="4050">
        <v>0</v>
      </c>
      <c r="AE61" s="4049">
        <v>0</v>
      </c>
      <c r="AF61" s="4050">
        <v>0</v>
      </c>
      <c r="AG61" s="4051">
        <v>45314</v>
      </c>
      <c r="AH61" s="3944">
        <f t="shared" si="4"/>
        <v>39693.75</v>
      </c>
      <c r="AI61" s="4052">
        <v>39693.75</v>
      </c>
      <c r="AJ61" s="4053">
        <v>0</v>
      </c>
      <c r="AK61" s="4052">
        <v>0</v>
      </c>
      <c r="AM61" s="4045">
        <v>2</v>
      </c>
      <c r="AN61" s="3880">
        <f t="shared" si="0"/>
        <v>304318.75</v>
      </c>
      <c r="AO61" s="3880">
        <f t="shared" si="1"/>
        <v>152159.375</v>
      </c>
    </row>
    <row r="62" spans="1:41" ht="27.95" customHeight="1">
      <c r="A62" s="3906">
        <v>56</v>
      </c>
      <c r="B62" s="4043" t="s">
        <v>3871</v>
      </c>
      <c r="C62" s="4044" t="s">
        <v>3872</v>
      </c>
      <c r="D62" s="4058">
        <v>92.9</v>
      </c>
      <c r="E62" s="4045" t="s">
        <v>3674</v>
      </c>
      <c r="F62" s="4046">
        <v>3.8</v>
      </c>
      <c r="G62" s="4014">
        <v>10737.69</v>
      </c>
      <c r="H62" s="4014">
        <v>128852.28</v>
      </c>
      <c r="I62" s="4014">
        <v>0</v>
      </c>
      <c r="J62" s="4014">
        <v>21475.38</v>
      </c>
      <c r="K62" s="4016">
        <v>0</v>
      </c>
      <c r="L62" s="4016">
        <v>0</v>
      </c>
      <c r="M62" s="4016">
        <v>0</v>
      </c>
      <c r="N62" s="4016">
        <v>0</v>
      </c>
      <c r="O62" s="4017">
        <v>0</v>
      </c>
      <c r="P62" s="4018">
        <v>0</v>
      </c>
      <c r="Q62" s="4019">
        <v>0</v>
      </c>
      <c r="R62" s="4055" t="e">
        <f>S62+T62+#REF!</f>
        <v>#REF!</v>
      </c>
      <c r="S62" s="4056">
        <v>246966.87</v>
      </c>
      <c r="T62" s="4048">
        <v>0</v>
      </c>
      <c r="U62" s="3941" t="s">
        <v>3675</v>
      </c>
      <c r="V62" s="4060" t="s">
        <v>3600</v>
      </c>
      <c r="W62" s="4045" t="s">
        <v>3873</v>
      </c>
      <c r="X62" s="4045" t="s">
        <v>3874</v>
      </c>
      <c r="Y62" s="4045" t="s">
        <v>3669</v>
      </c>
      <c r="Z62" s="3876" t="s">
        <v>3653</v>
      </c>
      <c r="AA62" s="4050">
        <v>21475.38</v>
      </c>
      <c r="AB62" s="4049" t="s">
        <v>3875</v>
      </c>
      <c r="AC62" s="4050">
        <v>21475.38</v>
      </c>
      <c r="AD62" s="4050">
        <v>0</v>
      </c>
      <c r="AE62" s="4049">
        <v>0</v>
      </c>
      <c r="AF62" s="4050">
        <v>0</v>
      </c>
      <c r="AG62" s="4051">
        <v>45335</v>
      </c>
      <c r="AH62" s="3944">
        <f t="shared" si="4"/>
        <v>32213.07</v>
      </c>
      <c r="AI62" s="4052">
        <v>32213.07</v>
      </c>
      <c r="AJ62" s="4053">
        <v>0</v>
      </c>
      <c r="AK62" s="4052">
        <v>0</v>
      </c>
      <c r="AM62" s="4045">
        <v>2</v>
      </c>
      <c r="AN62" s="3880">
        <f t="shared" si="0"/>
        <v>246966.87</v>
      </c>
      <c r="AO62" s="3880">
        <f t="shared" si="1"/>
        <v>123483.435</v>
      </c>
    </row>
    <row r="63" spans="1:41" ht="27.95" customHeight="1">
      <c r="A63" s="3906">
        <v>57</v>
      </c>
      <c r="B63" s="4054" t="s">
        <v>3876</v>
      </c>
      <c r="C63" s="4066" t="s">
        <v>3767</v>
      </c>
      <c r="D63" s="4058">
        <v>63.42</v>
      </c>
      <c r="E63" s="4045" t="s">
        <v>3674</v>
      </c>
      <c r="F63" s="4046">
        <v>4</v>
      </c>
      <c r="G63" s="4063">
        <v>7716.1</v>
      </c>
      <c r="H63" s="4063">
        <v>92593.2</v>
      </c>
      <c r="I63" s="4014">
        <v>0</v>
      </c>
      <c r="J63" s="4063">
        <v>15432.2</v>
      </c>
      <c r="K63" s="4016">
        <v>0</v>
      </c>
      <c r="L63" s="4016">
        <v>0</v>
      </c>
      <c r="M63" s="4016">
        <v>0</v>
      </c>
      <c r="N63" s="4016">
        <v>0</v>
      </c>
      <c r="O63" s="4017">
        <v>0</v>
      </c>
      <c r="P63" s="4018">
        <v>0</v>
      </c>
      <c r="Q63" s="4019">
        <v>0</v>
      </c>
      <c r="R63" s="4055" t="e">
        <f>S63+T63+#REF!</f>
        <v>#REF!</v>
      </c>
      <c r="S63" s="4056">
        <v>185186.4</v>
      </c>
      <c r="T63" s="4048">
        <v>0</v>
      </c>
      <c r="U63" s="3941" t="s">
        <v>3675</v>
      </c>
      <c r="V63" s="4060" t="s">
        <v>3600</v>
      </c>
      <c r="W63" s="4045" t="s">
        <v>3877</v>
      </c>
      <c r="X63" s="4045" t="s">
        <v>3878</v>
      </c>
      <c r="Y63" s="4045">
        <v>0</v>
      </c>
      <c r="Z63" s="3876" t="s">
        <v>3653</v>
      </c>
      <c r="AA63" s="4061">
        <v>23148.3</v>
      </c>
      <c r="AB63" s="4049" t="s">
        <v>3879</v>
      </c>
      <c r="AC63" s="4061">
        <v>15432.2</v>
      </c>
      <c r="AD63" s="4050">
        <v>0</v>
      </c>
      <c r="AE63" s="4049">
        <v>0</v>
      </c>
      <c r="AF63" s="4050">
        <v>0</v>
      </c>
      <c r="AG63" s="4051">
        <v>45345</v>
      </c>
      <c r="AH63" s="4009">
        <f t="shared" si="4"/>
        <v>23148.3</v>
      </c>
      <c r="AI63" s="4062">
        <v>23148.3</v>
      </c>
      <c r="AJ63" s="4053">
        <v>0</v>
      </c>
      <c r="AK63" s="4052">
        <v>0</v>
      </c>
      <c r="AM63" s="4045">
        <v>2</v>
      </c>
      <c r="AN63" s="3880">
        <f t="shared" si="0"/>
        <v>185186.4</v>
      </c>
      <c r="AO63" s="3880">
        <f t="shared" si="1"/>
        <v>92593.2</v>
      </c>
    </row>
    <row r="64" spans="1:41" ht="35.1" customHeight="1">
      <c r="A64" s="3906">
        <v>58</v>
      </c>
      <c r="B64" s="4064" t="s">
        <v>3880</v>
      </c>
      <c r="C64" s="4044" t="s">
        <v>3881</v>
      </c>
      <c r="D64" s="4058">
        <v>81.72</v>
      </c>
      <c r="E64" s="4045" t="s">
        <v>3674</v>
      </c>
      <c r="F64" s="4046">
        <v>5.5</v>
      </c>
      <c r="G64" s="4014">
        <v>13671.08</v>
      </c>
      <c r="H64" s="4014">
        <v>164052.96</v>
      </c>
      <c r="I64" s="4014">
        <v>0</v>
      </c>
      <c r="J64" s="4014">
        <v>27342.16</v>
      </c>
      <c r="K64" s="4016">
        <v>0</v>
      </c>
      <c r="L64" s="4016">
        <v>0</v>
      </c>
      <c r="M64" s="4016">
        <v>0</v>
      </c>
      <c r="N64" s="4016">
        <v>0</v>
      </c>
      <c r="O64" s="4017">
        <v>0</v>
      </c>
      <c r="P64" s="4018">
        <v>0</v>
      </c>
      <c r="Q64" s="4019">
        <v>0</v>
      </c>
      <c r="R64" s="4055" t="e">
        <f>S64+T64+#REF!</f>
        <v>#REF!</v>
      </c>
      <c r="S64" s="4056">
        <v>314434.84000000003</v>
      </c>
      <c r="T64" s="4048">
        <v>0</v>
      </c>
      <c r="U64" s="3941" t="s">
        <v>3868</v>
      </c>
      <c r="V64" s="4060" t="s">
        <v>3600</v>
      </c>
      <c r="W64" s="4045" t="s">
        <v>3873</v>
      </c>
      <c r="X64" s="4045" t="s">
        <v>3878</v>
      </c>
      <c r="Y64" s="4045" t="s">
        <v>3669</v>
      </c>
      <c r="Z64" s="3876" t="s">
        <v>3653</v>
      </c>
      <c r="AA64" s="4050">
        <v>27342.16</v>
      </c>
      <c r="AB64" s="4049" t="s">
        <v>3882</v>
      </c>
      <c r="AC64" s="4050">
        <v>27342.16</v>
      </c>
      <c r="AD64" s="4050">
        <v>0</v>
      </c>
      <c r="AE64" s="4049">
        <v>0</v>
      </c>
      <c r="AF64" s="4050">
        <v>0</v>
      </c>
      <c r="AG64" s="4051">
        <v>45345</v>
      </c>
      <c r="AH64" s="3944">
        <f t="shared" si="4"/>
        <v>41013.24</v>
      </c>
      <c r="AI64" s="4052">
        <v>41013.24</v>
      </c>
      <c r="AJ64" s="4053">
        <v>0</v>
      </c>
      <c r="AK64" s="4052">
        <v>0</v>
      </c>
      <c r="AM64" s="4045">
        <v>2</v>
      </c>
      <c r="AN64" s="3880">
        <f t="shared" si="0"/>
        <v>314434.84000000003</v>
      </c>
      <c r="AO64" s="3880">
        <f t="shared" si="1"/>
        <v>157217.42000000001</v>
      </c>
    </row>
    <row r="65" spans="1:41" ht="27.95" customHeight="1">
      <c r="A65" s="3906">
        <v>59</v>
      </c>
      <c r="B65" s="4043" t="s">
        <v>3883</v>
      </c>
      <c r="C65" s="4044" t="s">
        <v>3884</v>
      </c>
      <c r="D65" s="4058">
        <v>3404.04</v>
      </c>
      <c r="E65" s="4045" t="s">
        <v>3554</v>
      </c>
      <c r="F65" s="4046">
        <v>5.31</v>
      </c>
      <c r="G65" s="4014">
        <v>549795.01</v>
      </c>
      <c r="H65" s="4014">
        <v>6183381.9299999997</v>
      </c>
      <c r="I65" s="4014" t="s">
        <v>3633</v>
      </c>
      <c r="J65" s="4063">
        <v>1242474.6000000001</v>
      </c>
      <c r="K65" s="4016">
        <v>1.1000000000000001</v>
      </c>
      <c r="L65" s="4016">
        <v>0</v>
      </c>
      <c r="M65" s="4016">
        <v>113893.51</v>
      </c>
      <c r="N65" s="4016">
        <v>1366722.12</v>
      </c>
      <c r="O65" s="4017">
        <v>341680.53</v>
      </c>
      <c r="P65" s="4018">
        <v>0</v>
      </c>
      <c r="Q65" s="4019">
        <v>0</v>
      </c>
      <c r="R65" s="4055" t="e">
        <f>S65+T65+#REF!</f>
        <v>#REF!</v>
      </c>
      <c r="S65" s="4056">
        <v>56603001.219999999</v>
      </c>
      <c r="T65" s="4048">
        <v>13553327.689999999</v>
      </c>
      <c r="U65" s="3941" t="s">
        <v>3557</v>
      </c>
      <c r="V65" s="4060" t="s">
        <v>3885</v>
      </c>
      <c r="W65" s="4045" t="s">
        <v>3886</v>
      </c>
      <c r="X65" s="4045" t="s">
        <v>3887</v>
      </c>
      <c r="Y65" s="4045" t="s">
        <v>3669</v>
      </c>
      <c r="Z65" s="4049" t="s">
        <v>3764</v>
      </c>
      <c r="AA65" s="4050">
        <v>6183381.9299999997</v>
      </c>
      <c r="AB65" s="4049" t="s">
        <v>3888</v>
      </c>
      <c r="AC65" s="4061">
        <v>1242474.6000000001</v>
      </c>
      <c r="AD65" s="4050">
        <v>1252828.6100000001</v>
      </c>
      <c r="AE65" s="4049" t="s">
        <v>3888</v>
      </c>
      <c r="AF65" s="4050">
        <v>341680.53</v>
      </c>
      <c r="AG65" s="4051">
        <v>45651</v>
      </c>
      <c r="AH65" s="3944">
        <f t="shared" si="4"/>
        <v>7964262.25</v>
      </c>
      <c r="AI65" s="4052">
        <v>6597540.1299999999</v>
      </c>
      <c r="AJ65" s="4053">
        <v>1366722.12</v>
      </c>
      <c r="AK65" s="4052">
        <v>0</v>
      </c>
      <c r="AM65" s="4045">
        <v>10</v>
      </c>
      <c r="AN65" s="3880">
        <f t="shared" si="0"/>
        <v>70156328.909999996</v>
      </c>
      <c r="AO65" s="3880">
        <f t="shared" si="1"/>
        <v>7015632.8909999998</v>
      </c>
    </row>
    <row r="66" spans="1:41" ht="27.95" customHeight="1">
      <c r="A66" s="3906">
        <v>60</v>
      </c>
      <c r="B66" s="4043" t="s">
        <v>3889</v>
      </c>
      <c r="C66" s="4044" t="s">
        <v>3890</v>
      </c>
      <c r="D66" s="4058">
        <v>100.74</v>
      </c>
      <c r="E66" s="4045" t="s">
        <v>3674</v>
      </c>
      <c r="F66" s="4046">
        <v>4</v>
      </c>
      <c r="G66" s="4063">
        <v>12256.7</v>
      </c>
      <c r="H66" s="4063">
        <v>147080.4</v>
      </c>
      <c r="I66" s="4014">
        <v>0</v>
      </c>
      <c r="J66" s="4063">
        <v>24513.4</v>
      </c>
      <c r="K66" s="4016">
        <v>0</v>
      </c>
      <c r="L66" s="4016">
        <v>0</v>
      </c>
      <c r="M66" s="4016">
        <v>0</v>
      </c>
      <c r="N66" s="4016">
        <v>0</v>
      </c>
      <c r="O66" s="4017">
        <v>0</v>
      </c>
      <c r="P66" s="4018">
        <v>0</v>
      </c>
      <c r="Q66" s="4019">
        <v>0</v>
      </c>
      <c r="R66" s="4055" t="e">
        <f>S66+T66+#REF!</f>
        <v>#REF!</v>
      </c>
      <c r="S66" s="4072">
        <v>281904.09999999998</v>
      </c>
      <c r="T66" s="4048">
        <v>0</v>
      </c>
      <c r="U66" s="3941" t="s">
        <v>3675</v>
      </c>
      <c r="V66" s="4060" t="s">
        <v>3600</v>
      </c>
      <c r="W66" s="4045" t="s">
        <v>3891</v>
      </c>
      <c r="X66" s="4045" t="s">
        <v>3892</v>
      </c>
      <c r="Y66" s="4045" t="s">
        <v>3669</v>
      </c>
      <c r="Z66" s="3876" t="s">
        <v>3653</v>
      </c>
      <c r="AA66" s="4061">
        <v>24513.4</v>
      </c>
      <c r="AB66" s="4049" t="s">
        <v>3893</v>
      </c>
      <c r="AC66" s="4061">
        <v>24513.4</v>
      </c>
      <c r="AD66" s="4050">
        <v>0</v>
      </c>
      <c r="AE66" s="4049">
        <v>0</v>
      </c>
      <c r="AF66" s="4050">
        <v>0</v>
      </c>
      <c r="AG66" s="4051">
        <v>45385</v>
      </c>
      <c r="AH66" s="4009">
        <f t="shared" si="4"/>
        <v>36770.1</v>
      </c>
      <c r="AI66" s="4062">
        <v>36770.1</v>
      </c>
      <c r="AJ66" s="4053">
        <v>0</v>
      </c>
      <c r="AK66" s="4052">
        <v>0</v>
      </c>
      <c r="AM66" s="4045">
        <v>2</v>
      </c>
      <c r="AN66" s="3880">
        <f t="shared" si="0"/>
        <v>281904.09999999998</v>
      </c>
      <c r="AO66" s="3880">
        <f t="shared" si="1"/>
        <v>140952.04999999999</v>
      </c>
    </row>
    <row r="67" spans="1:41" ht="27.95" customHeight="1">
      <c r="A67" s="3906">
        <v>61</v>
      </c>
      <c r="B67" s="4043" t="s">
        <v>3894</v>
      </c>
      <c r="C67" s="4044" t="s">
        <v>3895</v>
      </c>
      <c r="D67" s="4058">
        <v>200</v>
      </c>
      <c r="E67" s="4045" t="s">
        <v>3674</v>
      </c>
      <c r="F67" s="4063">
        <v>6.39</v>
      </c>
      <c r="G67" s="4014">
        <v>38872.5</v>
      </c>
      <c r="H67" s="4014">
        <v>466470</v>
      </c>
      <c r="I67" s="4014">
        <v>0</v>
      </c>
      <c r="J67" s="4014">
        <v>0</v>
      </c>
      <c r="K67" s="4016">
        <v>1.1000000000000001</v>
      </c>
      <c r="L67" s="4016">
        <v>0</v>
      </c>
      <c r="M67" s="4016">
        <v>6691.67</v>
      </c>
      <c r="N67" s="4016">
        <v>80300.039999999994</v>
      </c>
      <c r="O67" s="4017">
        <v>0</v>
      </c>
      <c r="P67" s="4018">
        <v>0</v>
      </c>
      <c r="Q67" s="4019">
        <v>0</v>
      </c>
      <c r="R67" s="4055" t="e">
        <f>S67+T67+#REF!</f>
        <v>#REF!</v>
      </c>
      <c r="S67" s="4056">
        <v>932940</v>
      </c>
      <c r="T67" s="4048">
        <v>160600.07999999999</v>
      </c>
      <c r="U67" s="3941" t="s">
        <v>3557</v>
      </c>
      <c r="V67" s="4060" t="s">
        <v>3885</v>
      </c>
      <c r="W67" s="4045" t="s">
        <v>3896</v>
      </c>
      <c r="X67" s="4045" t="s">
        <v>3897</v>
      </c>
      <c r="Y67" s="4045">
        <v>0</v>
      </c>
      <c r="Z67" s="4049" t="s">
        <v>3898</v>
      </c>
      <c r="AA67" s="4061">
        <v>466470</v>
      </c>
      <c r="AB67" s="4049" t="s">
        <v>3899</v>
      </c>
      <c r="AC67" s="4050">
        <v>0</v>
      </c>
      <c r="AD67" s="4050">
        <v>80300.039999999994</v>
      </c>
      <c r="AE67" s="4049" t="s">
        <v>3899</v>
      </c>
      <c r="AF67" s="4050">
        <v>0</v>
      </c>
      <c r="AG67" s="4051">
        <v>45705</v>
      </c>
      <c r="AH67" s="3944">
        <f t="shared" si="4"/>
        <v>546770.04</v>
      </c>
      <c r="AI67" s="4052">
        <v>466470</v>
      </c>
      <c r="AJ67" s="4053">
        <v>80300.039999999994</v>
      </c>
      <c r="AK67" s="4052">
        <v>0</v>
      </c>
      <c r="AM67" s="4045">
        <v>2</v>
      </c>
      <c r="AN67" s="3880">
        <f t="shared" si="0"/>
        <v>1093540.08</v>
      </c>
      <c r="AO67" s="3880">
        <f t="shared" si="1"/>
        <v>546770.04</v>
      </c>
    </row>
    <row r="68" spans="1:41" ht="27.95" customHeight="1">
      <c r="A68" s="3906">
        <v>62</v>
      </c>
      <c r="B68" s="4043" t="s">
        <v>3900</v>
      </c>
      <c r="C68" s="4044" t="s">
        <v>3901</v>
      </c>
      <c r="D68" s="4058">
        <v>187.62</v>
      </c>
      <c r="E68" s="4045" t="s">
        <v>3674</v>
      </c>
      <c r="F68" s="4046">
        <v>4</v>
      </c>
      <c r="G68" s="4063">
        <v>22827.1</v>
      </c>
      <c r="H68" s="4063">
        <v>273925.2</v>
      </c>
      <c r="I68" s="4014">
        <v>0</v>
      </c>
      <c r="J68" s="4014">
        <v>0</v>
      </c>
      <c r="K68" s="4016">
        <v>0</v>
      </c>
      <c r="L68" s="4016">
        <v>0</v>
      </c>
      <c r="M68" s="4016">
        <v>0</v>
      </c>
      <c r="N68" s="4016">
        <v>0</v>
      </c>
      <c r="O68" s="4017">
        <v>0</v>
      </c>
      <c r="P68" s="4018">
        <v>0</v>
      </c>
      <c r="Q68" s="4019">
        <v>0</v>
      </c>
      <c r="R68" s="4055" t="e">
        <f>S68+T68+#REF!</f>
        <v>#REF!</v>
      </c>
      <c r="S68" s="4056">
        <v>547850.4</v>
      </c>
      <c r="T68" s="4048">
        <v>0</v>
      </c>
      <c r="U68" s="3941" t="s">
        <v>3675</v>
      </c>
      <c r="V68" s="4060" t="s">
        <v>3600</v>
      </c>
      <c r="W68" s="4045" t="s">
        <v>3877</v>
      </c>
      <c r="X68" s="4045" t="s">
        <v>3870</v>
      </c>
      <c r="Y68" s="4045">
        <v>0</v>
      </c>
      <c r="Z68" s="3876" t="s">
        <v>3902</v>
      </c>
      <c r="AA68" s="4050"/>
      <c r="AB68" s="4049"/>
      <c r="AC68" s="4050"/>
      <c r="AD68" s="4049"/>
      <c r="AE68" s="4049"/>
      <c r="AF68" s="4050"/>
      <c r="AG68" s="4051"/>
      <c r="AH68" s="3944"/>
      <c r="AI68" s="4052"/>
      <c r="AJ68" s="4053"/>
      <c r="AK68" s="4052"/>
      <c r="AM68" s="4045">
        <v>2</v>
      </c>
      <c r="AN68" s="3880">
        <f t="shared" si="0"/>
        <v>547850.4</v>
      </c>
      <c r="AO68" s="3880">
        <f t="shared" si="1"/>
        <v>273925.2</v>
      </c>
    </row>
    <row r="69" spans="1:41" ht="27.95" customHeight="1">
      <c r="A69" s="3906">
        <v>63</v>
      </c>
      <c r="B69" s="4043" t="s">
        <v>3903</v>
      </c>
      <c r="C69" s="4044" t="s">
        <v>3904</v>
      </c>
      <c r="D69" s="4058">
        <v>69.459999999999994</v>
      </c>
      <c r="E69" s="4045" t="s">
        <v>3625</v>
      </c>
      <c r="F69" s="4046">
        <v>4</v>
      </c>
      <c r="G69" s="4014">
        <v>8450.9699999999993</v>
      </c>
      <c r="H69" s="4014">
        <v>101411.64</v>
      </c>
      <c r="I69" s="4014">
        <v>0</v>
      </c>
      <c r="J69" s="4014">
        <v>0</v>
      </c>
      <c r="K69" s="4016">
        <v>0</v>
      </c>
      <c r="L69" s="4016">
        <v>0</v>
      </c>
      <c r="M69" s="4016">
        <v>0</v>
      </c>
      <c r="N69" s="4016">
        <v>0</v>
      </c>
      <c r="O69" s="4017">
        <v>0</v>
      </c>
      <c r="P69" s="4018">
        <v>0</v>
      </c>
      <c r="Q69" s="4019">
        <v>0</v>
      </c>
      <c r="R69" s="4055" t="e">
        <f>S69+T69+#REF!</f>
        <v>#REF!</v>
      </c>
      <c r="S69" s="4056">
        <v>92960.67</v>
      </c>
      <c r="T69" s="4048">
        <v>16901.939999999999</v>
      </c>
      <c r="U69" s="3941" t="s">
        <v>3675</v>
      </c>
      <c r="V69" s="4060" t="s">
        <v>3600</v>
      </c>
      <c r="W69" s="4045" t="s">
        <v>3905</v>
      </c>
      <c r="X69" s="4045" t="s">
        <v>3906</v>
      </c>
      <c r="Y69" s="4045" t="s">
        <v>3669</v>
      </c>
      <c r="Z69" s="3876" t="s">
        <v>3653</v>
      </c>
      <c r="AA69" s="4050">
        <v>16901.939999999999</v>
      </c>
      <c r="AB69" s="4049" t="s">
        <v>3907</v>
      </c>
      <c r="AC69" s="4050">
        <v>16901.939999999999</v>
      </c>
      <c r="AD69" s="4049"/>
      <c r="AE69" s="4049"/>
      <c r="AF69" s="4050"/>
      <c r="AG69" s="4051">
        <v>45446</v>
      </c>
      <c r="AH69" s="3944">
        <f t="shared" si="4"/>
        <v>25352.91</v>
      </c>
      <c r="AI69" s="4052">
        <v>25352.91</v>
      </c>
      <c r="AJ69" s="4053">
        <v>0</v>
      </c>
      <c r="AK69" s="4052">
        <v>0</v>
      </c>
      <c r="AM69" s="4045">
        <v>1</v>
      </c>
      <c r="AN69" s="3880">
        <f t="shared" si="0"/>
        <v>109862.61</v>
      </c>
      <c r="AO69" s="3880">
        <f t="shared" si="1"/>
        <v>109862.61</v>
      </c>
    </row>
    <row r="70" spans="1:41" ht="27.95" customHeight="1">
      <c r="A70" s="3906">
        <v>64</v>
      </c>
      <c r="B70" s="4043" t="s">
        <v>3908</v>
      </c>
      <c r="C70" s="4044" t="s">
        <v>3909</v>
      </c>
      <c r="D70" s="4073">
        <v>109.1</v>
      </c>
      <c r="E70" s="4045" t="s">
        <v>3625</v>
      </c>
      <c r="F70" s="4046">
        <v>4.7</v>
      </c>
      <c r="G70" s="4014">
        <v>15596.75</v>
      </c>
      <c r="H70" s="4063">
        <v>187161</v>
      </c>
      <c r="I70" s="4014">
        <v>0</v>
      </c>
      <c r="J70" s="4014">
        <v>46790.25</v>
      </c>
      <c r="K70" s="4016">
        <v>1.1000000000000001</v>
      </c>
      <c r="L70" s="4016">
        <v>0</v>
      </c>
      <c r="M70" s="4074">
        <v>3650.3</v>
      </c>
      <c r="N70" s="4074">
        <v>43803.6</v>
      </c>
      <c r="O70" s="4075">
        <v>10950.9</v>
      </c>
      <c r="P70" s="4018">
        <v>0</v>
      </c>
      <c r="Q70" s="4019">
        <v>0</v>
      </c>
      <c r="R70" s="4055" t="e">
        <f>S70+T70+#REF!</f>
        <v>#REF!</v>
      </c>
      <c r="S70" s="4056">
        <v>179469.45</v>
      </c>
      <c r="T70" s="4048">
        <v>43803.6</v>
      </c>
      <c r="U70" s="3941" t="s">
        <v>3557</v>
      </c>
      <c r="V70" s="4060" t="s">
        <v>3885</v>
      </c>
      <c r="W70" s="4045" t="s">
        <v>3905</v>
      </c>
      <c r="X70" s="4045" t="s">
        <v>3910</v>
      </c>
      <c r="Y70" s="4045" t="s">
        <v>3911</v>
      </c>
      <c r="Z70" s="3876" t="s">
        <v>3643</v>
      </c>
      <c r="AA70" s="4061">
        <v>39098.699999999997</v>
      </c>
      <c r="AB70" s="4049" t="s">
        <v>3912</v>
      </c>
      <c r="AC70" s="4050">
        <v>46790.25</v>
      </c>
      <c r="AD70" s="4061">
        <v>10950.9</v>
      </c>
      <c r="AE70" s="4049" t="s">
        <v>3913</v>
      </c>
      <c r="AF70" s="4061">
        <v>10950.9</v>
      </c>
      <c r="AG70" s="4051">
        <v>45440</v>
      </c>
      <c r="AH70" s="3944">
        <f t="shared" si="4"/>
        <v>57741.15</v>
      </c>
      <c r="AI70" s="4052">
        <v>46790.25</v>
      </c>
      <c r="AJ70" s="4076">
        <v>10950.9</v>
      </c>
      <c r="AK70" s="4052">
        <v>0</v>
      </c>
      <c r="AM70" s="4045">
        <v>1</v>
      </c>
      <c r="AN70" s="3880">
        <f t="shared" si="0"/>
        <v>223273.05000000002</v>
      </c>
      <c r="AO70" s="3880">
        <f t="shared" si="1"/>
        <v>223273.05000000002</v>
      </c>
    </row>
    <row r="71" spans="1:41" ht="27.95" customHeight="1">
      <c r="A71" s="3906">
        <v>65</v>
      </c>
      <c r="B71" s="4043" t="s">
        <v>3914</v>
      </c>
      <c r="C71" s="4044" t="s">
        <v>3915</v>
      </c>
      <c r="D71" s="4058"/>
      <c r="E71" s="4045" t="s">
        <v>3625</v>
      </c>
      <c r="F71" s="4046" t="s">
        <v>3916</v>
      </c>
      <c r="G71" s="4014"/>
      <c r="H71" s="4014"/>
      <c r="I71" s="4014"/>
      <c r="J71" s="4014"/>
      <c r="K71" s="4016"/>
      <c r="L71" s="4016"/>
      <c r="M71" s="4016"/>
      <c r="N71" s="4016"/>
      <c r="O71" s="4017"/>
      <c r="P71" s="4018"/>
      <c r="Q71" s="4019"/>
      <c r="R71" s="4055" t="e">
        <f>S71+T71+#REF!</f>
        <v>#REF!</v>
      </c>
      <c r="S71" s="4056"/>
      <c r="T71" s="4048"/>
      <c r="U71" s="4060"/>
      <c r="V71" s="4060"/>
      <c r="W71" s="4045"/>
      <c r="X71" s="4045"/>
      <c r="Y71" s="4045"/>
      <c r="Z71" s="4049"/>
      <c r="AA71" s="4050"/>
      <c r="AB71" s="4049"/>
      <c r="AC71" s="4050"/>
      <c r="AD71" s="4049"/>
      <c r="AE71" s="4049"/>
      <c r="AF71" s="4050"/>
      <c r="AG71" s="4051"/>
      <c r="AH71" s="3944">
        <f t="shared" si="4"/>
        <v>0</v>
      </c>
      <c r="AI71" s="4052"/>
      <c r="AJ71" s="4053"/>
      <c r="AK71" s="4052"/>
      <c r="AM71" s="4045">
        <v>1</v>
      </c>
      <c r="AN71" s="3880">
        <f t="shared" si="0"/>
        <v>0</v>
      </c>
      <c r="AO71" s="3880">
        <f t="shared" si="1"/>
        <v>0</v>
      </c>
    </row>
    <row r="72" spans="1:41" ht="27.95" customHeight="1">
      <c r="A72" s="3906">
        <v>66</v>
      </c>
      <c r="B72" s="4043" t="s">
        <v>3917</v>
      </c>
      <c r="C72" s="4044" t="s">
        <v>3918</v>
      </c>
      <c r="D72" s="4058">
        <v>314.12</v>
      </c>
      <c r="E72" s="4045" t="s">
        <v>3696</v>
      </c>
      <c r="F72" s="4046">
        <v>4.5999999999999996</v>
      </c>
      <c r="G72" s="4014">
        <v>43950.62</v>
      </c>
      <c r="H72" s="4014">
        <v>527407.43999999994</v>
      </c>
      <c r="I72" s="4014">
        <v>0</v>
      </c>
      <c r="J72" s="4014">
        <v>131851.85999999999</v>
      </c>
      <c r="K72" s="4016">
        <v>0</v>
      </c>
      <c r="L72" s="4016">
        <v>0</v>
      </c>
      <c r="M72" s="4016">
        <v>0</v>
      </c>
      <c r="N72" s="4016">
        <v>0</v>
      </c>
      <c r="O72" s="4017">
        <v>0</v>
      </c>
      <c r="P72" s="4018">
        <v>0</v>
      </c>
      <c r="Q72" s="4019">
        <v>0</v>
      </c>
      <c r="R72" s="4055" t="e">
        <f>S72+T72+#REF!</f>
        <v>#REF!</v>
      </c>
      <c r="S72" s="4056">
        <v>1582222.32</v>
      </c>
      <c r="T72" s="4048">
        <v>0</v>
      </c>
      <c r="U72" s="3941" t="s">
        <v>3675</v>
      </c>
      <c r="V72" s="4060" t="s">
        <v>3600</v>
      </c>
      <c r="W72" s="4045" t="s">
        <v>3919</v>
      </c>
      <c r="X72" s="4045" t="s">
        <v>3920</v>
      </c>
      <c r="Y72" s="4045">
        <v>0</v>
      </c>
      <c r="Z72" s="3876" t="s">
        <v>3643</v>
      </c>
      <c r="AA72" s="4050"/>
      <c r="AB72" s="4049"/>
      <c r="AC72" s="4050"/>
      <c r="AD72" s="4049"/>
      <c r="AE72" s="4049"/>
      <c r="AF72" s="4050"/>
      <c r="AG72" s="4051">
        <v>45429</v>
      </c>
      <c r="AH72" s="3944">
        <f t="shared" si="4"/>
        <v>131851.85999999999</v>
      </c>
      <c r="AI72" s="4052">
        <v>131851.85999999999</v>
      </c>
      <c r="AJ72" s="4053">
        <v>0</v>
      </c>
      <c r="AK72" s="4052">
        <v>0</v>
      </c>
      <c r="AM72" s="4045">
        <v>3</v>
      </c>
      <c r="AN72" s="3880">
        <f t="shared" si="0"/>
        <v>1582222.32</v>
      </c>
      <c r="AO72" s="3880">
        <f t="shared" si="1"/>
        <v>527407.44000000006</v>
      </c>
    </row>
    <row r="73" spans="1:41" ht="27.95" customHeight="1">
      <c r="A73" s="3906">
        <v>67</v>
      </c>
      <c r="B73" s="4043" t="s">
        <v>3921</v>
      </c>
      <c r="C73" s="4044" t="s">
        <v>3922</v>
      </c>
      <c r="D73" s="4058">
        <v>90.91</v>
      </c>
      <c r="E73" s="4045" t="s">
        <v>3696</v>
      </c>
      <c r="F73" s="4046">
        <v>4.5999999999999996</v>
      </c>
      <c r="G73" s="4014">
        <v>12719.82</v>
      </c>
      <c r="H73" s="4014">
        <v>152637.84</v>
      </c>
      <c r="I73" s="4014">
        <v>0</v>
      </c>
      <c r="J73" s="4014">
        <v>38159.46</v>
      </c>
      <c r="K73" s="4016">
        <v>0</v>
      </c>
      <c r="L73" s="4016">
        <v>0</v>
      </c>
      <c r="M73" s="4016">
        <v>0</v>
      </c>
      <c r="N73" s="4016">
        <v>0</v>
      </c>
      <c r="O73" s="4017">
        <v>0</v>
      </c>
      <c r="P73" s="4018">
        <v>0</v>
      </c>
      <c r="Q73" s="4019">
        <v>0</v>
      </c>
      <c r="R73" s="4055" t="e">
        <f>S73+T73+#REF!</f>
        <v>#REF!</v>
      </c>
      <c r="S73" s="4056">
        <v>457913.52</v>
      </c>
      <c r="T73" s="4048">
        <v>0</v>
      </c>
      <c r="U73" s="3941" t="s">
        <v>3675</v>
      </c>
      <c r="V73" s="4060" t="s">
        <v>3600</v>
      </c>
      <c r="W73" s="4045" t="s">
        <v>3923</v>
      </c>
      <c r="X73" s="4045" t="s">
        <v>3924</v>
      </c>
      <c r="Y73" s="4045">
        <v>0</v>
      </c>
      <c r="Z73" s="3876" t="s">
        <v>3643</v>
      </c>
      <c r="AA73" s="4050"/>
      <c r="AB73" s="4049"/>
      <c r="AC73" s="4050"/>
      <c r="AD73" s="4049"/>
      <c r="AE73" s="4049"/>
      <c r="AF73" s="4050"/>
      <c r="AG73" s="4051">
        <v>45451</v>
      </c>
      <c r="AH73" s="3944">
        <f t="shared" si="4"/>
        <v>38159.46</v>
      </c>
      <c r="AI73" s="4052">
        <v>38159.46</v>
      </c>
      <c r="AJ73" s="4053">
        <v>0</v>
      </c>
      <c r="AK73" s="4052">
        <v>0</v>
      </c>
      <c r="AM73" s="4045">
        <v>3</v>
      </c>
      <c r="AN73" s="3880">
        <f t="shared" si="0"/>
        <v>457913.52</v>
      </c>
      <c r="AO73" s="3880">
        <f t="shared" si="1"/>
        <v>152637.84</v>
      </c>
    </row>
    <row r="74" spans="1:41" ht="27.95" customHeight="1">
      <c r="A74" s="3906">
        <v>68</v>
      </c>
      <c r="B74" s="4043" t="s">
        <v>3925</v>
      </c>
      <c r="C74" s="4044" t="s">
        <v>3767</v>
      </c>
      <c r="D74" s="4058">
        <v>63.42</v>
      </c>
      <c r="E74" s="4045" t="s">
        <v>3625</v>
      </c>
      <c r="F74" s="4046">
        <v>4</v>
      </c>
      <c r="G74" s="4063">
        <v>7716.1</v>
      </c>
      <c r="H74" s="4063">
        <v>92593.2</v>
      </c>
      <c r="I74" s="4014">
        <v>0</v>
      </c>
      <c r="J74" s="4063">
        <v>15432.2</v>
      </c>
      <c r="K74" s="4016">
        <v>0</v>
      </c>
      <c r="L74" s="4016">
        <v>0</v>
      </c>
      <c r="M74" s="4016">
        <v>0</v>
      </c>
      <c r="N74" s="4016">
        <v>0</v>
      </c>
      <c r="O74" s="4017">
        <v>0</v>
      </c>
      <c r="P74" s="4018">
        <v>0</v>
      </c>
      <c r="Q74" s="4019">
        <v>0</v>
      </c>
      <c r="R74" s="4055" t="e">
        <f>S74+T74+#REF!</f>
        <v>#REF!</v>
      </c>
      <c r="S74" s="4056">
        <v>88735.15</v>
      </c>
      <c r="T74" s="4048">
        <v>0</v>
      </c>
      <c r="U74" s="3941" t="s">
        <v>3675</v>
      </c>
      <c r="V74" s="4060" t="s">
        <v>3600</v>
      </c>
      <c r="W74" s="4045" t="s">
        <v>3919</v>
      </c>
      <c r="X74" s="4045" t="s">
        <v>3926</v>
      </c>
      <c r="Y74" s="4045" t="s">
        <v>3927</v>
      </c>
      <c r="Z74" s="3876" t="s">
        <v>3653</v>
      </c>
      <c r="AA74" s="4050">
        <v>19290.25</v>
      </c>
      <c r="AB74" s="4049" t="s">
        <v>3928</v>
      </c>
      <c r="AC74" s="4061">
        <v>15432.2</v>
      </c>
      <c r="AD74" s="4049"/>
      <c r="AE74" s="4049"/>
      <c r="AF74" s="4050"/>
      <c r="AG74" s="4051">
        <v>45451</v>
      </c>
      <c r="AH74" s="4009">
        <f t="shared" si="4"/>
        <v>23148.3</v>
      </c>
      <c r="AI74" s="4062">
        <v>23148.3</v>
      </c>
      <c r="AJ74" s="4053">
        <v>0</v>
      </c>
      <c r="AK74" s="4052">
        <v>0</v>
      </c>
      <c r="AM74" s="4045">
        <v>1</v>
      </c>
      <c r="AN74" s="3880">
        <f t="shared" si="0"/>
        <v>88735.15</v>
      </c>
      <c r="AO74" s="3880">
        <f t="shared" si="1"/>
        <v>88735.15</v>
      </c>
    </row>
    <row r="75" spans="1:41" ht="27.95" customHeight="1">
      <c r="A75" s="3906">
        <v>69</v>
      </c>
      <c r="B75" s="4043" t="s">
        <v>3929</v>
      </c>
      <c r="C75" s="4044" t="s">
        <v>3816</v>
      </c>
      <c r="D75" s="4058">
        <v>92.9</v>
      </c>
      <c r="E75" s="4045" t="s">
        <v>3674</v>
      </c>
      <c r="F75" s="4046">
        <v>3.8</v>
      </c>
      <c r="G75" s="4014">
        <v>10737.69</v>
      </c>
      <c r="H75" s="4014">
        <v>128852.28</v>
      </c>
      <c r="I75" s="4014">
        <v>0</v>
      </c>
      <c r="J75" s="4014">
        <v>21475.38</v>
      </c>
      <c r="K75" s="4016">
        <v>0</v>
      </c>
      <c r="L75" s="4016">
        <v>0</v>
      </c>
      <c r="M75" s="4016">
        <v>0</v>
      </c>
      <c r="N75" s="4016">
        <v>0</v>
      </c>
      <c r="O75" s="4017">
        <v>0</v>
      </c>
      <c r="P75" s="4018">
        <v>0</v>
      </c>
      <c r="Q75" s="4019">
        <v>0</v>
      </c>
      <c r="R75" s="4055" t="e">
        <f>S75+T75+#REF!</f>
        <v>#REF!</v>
      </c>
      <c r="S75" s="4056">
        <v>246966.87</v>
      </c>
      <c r="T75" s="4048">
        <v>0</v>
      </c>
      <c r="U75" s="3941" t="s">
        <v>3675</v>
      </c>
      <c r="V75" s="4060" t="s">
        <v>3600</v>
      </c>
      <c r="W75" s="4045" t="s">
        <v>3930</v>
      </c>
      <c r="X75" s="4045" t="s">
        <v>3931</v>
      </c>
      <c r="Y75" s="4045" t="s">
        <v>3669</v>
      </c>
      <c r="Z75" s="3876" t="s">
        <v>3715</v>
      </c>
      <c r="AA75" s="4050">
        <v>53688.45</v>
      </c>
      <c r="AB75" s="4049" t="s">
        <v>3932</v>
      </c>
      <c r="AC75" s="4050">
        <v>21475.38</v>
      </c>
      <c r="AD75" s="4049"/>
      <c r="AE75" s="4049"/>
      <c r="AF75" s="4050"/>
      <c r="AG75" s="4051" t="s">
        <v>3933</v>
      </c>
      <c r="AH75" s="4009">
        <f t="shared" si="4"/>
        <v>64426.14</v>
      </c>
      <c r="AI75" s="4052">
        <v>64426.14</v>
      </c>
      <c r="AJ75" s="4053">
        <v>0</v>
      </c>
      <c r="AK75" s="4052">
        <v>0</v>
      </c>
      <c r="AM75" s="4045">
        <v>2</v>
      </c>
      <c r="AN75" s="4077">
        <f>S75+T75</f>
        <v>246966.87</v>
      </c>
      <c r="AO75" s="3880">
        <f t="shared" si="1"/>
        <v>123483.435</v>
      </c>
    </row>
    <row r="76" spans="1:41" ht="27.95" customHeight="1">
      <c r="A76" s="3906">
        <v>70</v>
      </c>
      <c r="B76" s="4043"/>
      <c r="C76" s="4044"/>
      <c r="D76" s="4058"/>
      <c r="E76" s="4045"/>
      <c r="F76" s="4046"/>
      <c r="G76" s="4014"/>
      <c r="H76" s="4014"/>
      <c r="I76" s="4014"/>
      <c r="J76" s="4014"/>
      <c r="K76" s="4016"/>
      <c r="L76" s="4016"/>
      <c r="M76" s="4016"/>
      <c r="N76" s="4016"/>
      <c r="O76" s="4017"/>
      <c r="P76" s="4018"/>
      <c r="Q76" s="4019"/>
      <c r="R76" s="4055"/>
      <c r="S76" s="4056"/>
      <c r="T76" s="4048"/>
      <c r="U76" s="4060"/>
      <c r="V76" s="4060"/>
      <c r="W76" s="4045"/>
      <c r="X76" s="4045"/>
      <c r="Y76" s="4045"/>
      <c r="Z76" s="4049"/>
      <c r="AA76" s="4050"/>
      <c r="AB76" s="4049"/>
      <c r="AC76" s="4050"/>
      <c r="AD76" s="4049"/>
      <c r="AE76" s="4049"/>
      <c r="AF76" s="4050"/>
      <c r="AG76" s="4051"/>
      <c r="AH76" s="3944"/>
      <c r="AI76" s="4052"/>
      <c r="AJ76" s="4053"/>
      <c r="AK76" s="4052"/>
    </row>
    <row r="77" spans="1:41" ht="27.95" customHeight="1">
      <c r="A77" s="3906"/>
      <c r="B77" s="4043"/>
      <c r="C77" s="4044"/>
      <c r="D77" s="4058"/>
      <c r="E77" s="4045"/>
      <c r="F77" s="4046"/>
      <c r="G77" s="4014"/>
      <c r="H77" s="4014"/>
      <c r="I77" s="4014"/>
      <c r="J77" s="4014"/>
      <c r="K77" s="4016"/>
      <c r="L77" s="4016"/>
      <c r="M77" s="4016"/>
      <c r="N77" s="4016"/>
      <c r="O77" s="4017"/>
      <c r="P77" s="4018"/>
      <c r="Q77" s="4019"/>
      <c r="R77" s="4055"/>
      <c r="S77" s="4056"/>
      <c r="T77" s="4048"/>
      <c r="U77" s="4060"/>
      <c r="V77" s="4060"/>
      <c r="W77" s="4045"/>
      <c r="X77" s="4045"/>
      <c r="Y77" s="4045"/>
      <c r="Z77" s="4049"/>
      <c r="AA77" s="4050"/>
      <c r="AB77" s="4049"/>
      <c r="AC77" s="4050"/>
      <c r="AD77" s="4049"/>
      <c r="AE77" s="4049"/>
      <c r="AF77" s="4050"/>
      <c r="AG77" s="4051"/>
      <c r="AH77" s="3944"/>
      <c r="AI77" s="4052"/>
      <c r="AJ77" s="4053"/>
      <c r="AK77" s="4052"/>
    </row>
    <row r="78" spans="1:41" ht="27.95" customHeight="1">
      <c r="A78" s="3906"/>
      <c r="B78" s="4043"/>
      <c r="C78" s="4044"/>
      <c r="D78" s="4058"/>
      <c r="E78" s="4045"/>
      <c r="F78" s="4046"/>
      <c r="G78" s="4014"/>
      <c r="H78" s="4014"/>
      <c r="I78" s="4014"/>
      <c r="J78" s="4014"/>
      <c r="K78" s="4016"/>
      <c r="L78" s="4016"/>
      <c r="M78" s="4016"/>
      <c r="N78" s="4016"/>
      <c r="O78" s="4017"/>
      <c r="P78" s="4018"/>
      <c r="Q78" s="4019"/>
      <c r="R78" s="4055"/>
      <c r="S78" s="4056"/>
      <c r="T78" s="4048"/>
      <c r="U78" s="4060"/>
      <c r="V78" s="4060"/>
      <c r="W78" s="4045"/>
      <c r="X78" s="4045"/>
      <c r="Y78" s="4045"/>
      <c r="Z78" s="4049"/>
      <c r="AA78" s="4050"/>
      <c r="AB78" s="4049"/>
      <c r="AC78" s="4050"/>
      <c r="AD78" s="4049"/>
      <c r="AE78" s="4049"/>
      <c r="AF78" s="4050"/>
      <c r="AG78" s="4051"/>
      <c r="AH78" s="3944"/>
      <c r="AI78" s="4052"/>
      <c r="AJ78" s="4053"/>
      <c r="AK78" s="4052"/>
    </row>
    <row r="79" spans="1:41" ht="27.95" customHeight="1">
      <c r="A79" s="3906"/>
      <c r="B79" s="4043"/>
      <c r="C79" s="4044"/>
      <c r="D79" s="4058"/>
      <c r="E79" s="4045"/>
      <c r="F79" s="4046"/>
      <c r="G79" s="4014"/>
      <c r="H79" s="4014"/>
      <c r="I79" s="4014"/>
      <c r="J79" s="4014"/>
      <c r="K79" s="4016"/>
      <c r="L79" s="4016"/>
      <c r="M79" s="4016"/>
      <c r="N79" s="4016"/>
      <c r="O79" s="4017"/>
      <c r="P79" s="4018"/>
      <c r="Q79" s="4019"/>
      <c r="R79" s="4055"/>
      <c r="S79" s="4056"/>
      <c r="T79" s="4048"/>
      <c r="U79" s="4060"/>
      <c r="V79" s="4060"/>
      <c r="W79" s="4045"/>
      <c r="X79" s="4045"/>
      <c r="Y79" s="4045"/>
      <c r="Z79" s="4049"/>
      <c r="AA79" s="4050"/>
      <c r="AB79" s="4049"/>
      <c r="AC79" s="4050"/>
      <c r="AD79" s="4049"/>
      <c r="AE79" s="4049"/>
      <c r="AF79" s="4050"/>
      <c r="AG79" s="4051"/>
      <c r="AH79" s="3944"/>
      <c r="AI79" s="4052"/>
      <c r="AJ79" s="4053"/>
      <c r="AK79" s="4052"/>
    </row>
    <row r="80" spans="1:41" ht="27.95" customHeight="1" thickBot="1">
      <c r="A80" s="3906"/>
      <c r="B80" s="4043"/>
      <c r="C80" s="4044"/>
      <c r="D80" s="4058"/>
      <c r="E80" s="4045"/>
      <c r="F80" s="4046"/>
      <c r="G80" s="4014"/>
      <c r="H80" s="4014"/>
      <c r="I80" s="4014"/>
      <c r="J80" s="4014"/>
      <c r="K80" s="4016"/>
      <c r="L80" s="4016"/>
      <c r="M80" s="4016"/>
      <c r="N80" s="4016"/>
      <c r="O80" s="4017"/>
      <c r="P80" s="4018"/>
      <c r="Q80" s="4019"/>
      <c r="R80" s="4055"/>
      <c r="S80" s="4056"/>
      <c r="T80" s="4048"/>
      <c r="U80" s="4060"/>
      <c r="V80" s="4060"/>
      <c r="W80" s="4045"/>
      <c r="X80" s="4045"/>
      <c r="Y80" s="4045"/>
      <c r="Z80" s="4049"/>
      <c r="AA80" s="4050"/>
      <c r="AB80" s="4049"/>
      <c r="AC80" s="4050"/>
      <c r="AD80" s="4049"/>
      <c r="AE80" s="4049"/>
      <c r="AF80" s="4050"/>
      <c r="AG80" s="4051"/>
      <c r="AH80" s="3944">
        <f>AI80+AJ80</f>
        <v>0</v>
      </c>
      <c r="AI80" s="4052"/>
      <c r="AJ80" s="4053"/>
      <c r="AK80" s="4052"/>
    </row>
    <row r="81" spans="1:41" ht="26.1" customHeight="1" thickBot="1">
      <c r="A81" s="4078"/>
      <c r="B81" s="4079" t="s">
        <v>3934</v>
      </c>
      <c r="C81" s="4080"/>
      <c r="D81" s="4081">
        <f>SUM(D2:D80)</f>
        <v>36465.340000000011</v>
      </c>
      <c r="E81" s="4082"/>
      <c r="F81" s="4083"/>
      <c r="G81" s="4083">
        <f>SUM(G2:G80)</f>
        <v>4540943.540000001</v>
      </c>
      <c r="H81" s="4083">
        <f>SUM(H2:H80)</f>
        <v>51647879.009999998</v>
      </c>
      <c r="I81" s="4084"/>
      <c r="J81" s="4084">
        <f>SUM(J2:J80)</f>
        <v>11409669.657</v>
      </c>
      <c r="K81" s="4085"/>
      <c r="L81" s="4085"/>
      <c r="M81" s="4085">
        <f>SUM(M1:M80)</f>
        <v>983068.91</v>
      </c>
      <c r="N81" s="4085">
        <f>SUM(N1:N80)</f>
        <v>11592537.879999997</v>
      </c>
      <c r="O81" s="4086">
        <f>SUM(O1:O80)</f>
        <v>1191367.4900000002</v>
      </c>
      <c r="P81" s="4087"/>
      <c r="Q81" s="4088"/>
      <c r="R81" s="4089" t="e">
        <f>SUM(R2:R80)</f>
        <v>#REF!</v>
      </c>
      <c r="S81" s="4090">
        <f>SUM(S2:S80)</f>
        <v>385344933.1815998</v>
      </c>
      <c r="T81" s="4090">
        <f>SUM(T2:T80)</f>
        <v>87314851.430000007</v>
      </c>
      <c r="U81" s="4091"/>
      <c r="V81" s="4091"/>
      <c r="W81" s="4079"/>
      <c r="X81" s="4079"/>
      <c r="Y81" s="4079"/>
      <c r="Z81" s="4092"/>
      <c r="AA81" s="4093">
        <f>SUM(AA2:AA80)</f>
        <v>39548183.656000003</v>
      </c>
      <c r="AB81" s="4092"/>
      <c r="AC81" s="4093">
        <f>SUM(AC2:AC80)</f>
        <v>10232729.890000001</v>
      </c>
      <c r="AD81" s="4093">
        <f>SUM(AD2:AD80)</f>
        <v>10786445.609999998</v>
      </c>
      <c r="AE81" s="4092"/>
      <c r="AF81" s="4093">
        <f>SUM(AF2:AF80)</f>
        <v>1007035.5499999999</v>
      </c>
      <c r="AG81" s="4094"/>
      <c r="AH81" s="4095"/>
      <c r="AI81" s="4096"/>
      <c r="AJ81" s="4097"/>
      <c r="AK81" s="4098"/>
      <c r="AO81" s="4084">
        <f>SUM(AO2:AO80)</f>
        <v>67243917.174280807</v>
      </c>
    </row>
    <row r="82" spans="1:41" ht="21.95" customHeight="1" thickBot="1">
      <c r="A82" s="4099" t="s">
        <v>3935</v>
      </c>
      <c r="B82" s="4100"/>
      <c r="C82" s="4101"/>
      <c r="D82" s="4102"/>
      <c r="E82" s="4079"/>
      <c r="F82" s="4079"/>
      <c r="G82" s="4079"/>
      <c r="H82" s="4103">
        <f>J81+O81</f>
        <v>12601037.147</v>
      </c>
      <c r="I82" s="4104">
        <f>H82/365/D81</f>
        <v>0.94674530509891319</v>
      </c>
      <c r="J82" s="4104"/>
      <c r="K82" s="4104"/>
      <c r="L82" s="4104"/>
      <c r="M82" s="4104"/>
      <c r="N82" s="4104"/>
      <c r="O82" s="4104"/>
      <c r="P82" s="4105"/>
      <c r="R82" s="4106"/>
      <c r="S82" s="4106"/>
      <c r="T82" s="4106"/>
      <c r="U82" s="4106"/>
      <c r="V82" s="4106"/>
      <c r="W82" s="4106"/>
      <c r="X82" s="4106"/>
      <c r="Y82" s="4106"/>
      <c r="Z82" s="4107"/>
      <c r="AA82" s="4107"/>
      <c r="AB82" s="4107"/>
      <c r="AC82" s="4107"/>
      <c r="AD82" s="4107"/>
      <c r="AE82" s="4107"/>
      <c r="AF82" s="4107"/>
      <c r="AG82" s="4107"/>
      <c r="AH82" s="4108"/>
      <c r="AI82" s="4109"/>
      <c r="AJ82" s="4109"/>
      <c r="AO82" s="3880">
        <f>AO81/365/D81</f>
        <v>5.0521923027873239</v>
      </c>
    </row>
    <row r="83" spans="1:41" ht="24" customHeight="1" thickBot="1">
      <c r="A83" s="4099" t="s">
        <v>3936</v>
      </c>
      <c r="B83" s="4100"/>
      <c r="C83" s="4110"/>
      <c r="D83" s="4110"/>
      <c r="E83" s="4110"/>
      <c r="F83" s="4110"/>
      <c r="G83" s="4110"/>
      <c r="H83" s="4111">
        <f>H81+N81</f>
        <v>63240416.889999993</v>
      </c>
      <c r="I83" s="3880">
        <f>H83/365/D81</f>
        <v>4.7513999907031232</v>
      </c>
      <c r="R83" s="3863"/>
      <c r="S83" s="3906"/>
      <c r="T83" s="3906"/>
      <c r="U83" s="3906"/>
      <c r="V83" s="3906"/>
      <c r="W83" s="3906"/>
      <c r="X83" s="3906"/>
      <c r="Y83" s="3906"/>
      <c r="Z83" s="3977"/>
      <c r="AA83" s="3977"/>
      <c r="AB83" s="3977"/>
      <c r="AC83" s="3977"/>
      <c r="AD83" s="3977"/>
      <c r="AE83" s="3977"/>
      <c r="AF83" s="3977"/>
      <c r="AG83" s="3977"/>
      <c r="AH83" s="3977"/>
      <c r="AI83" s="3906"/>
      <c r="AJ83" s="3906"/>
    </row>
    <row r="84" spans="1:41">
      <c r="I84" s="3880">
        <f>H81/365/D81</f>
        <v>3.8804255872442601</v>
      </c>
    </row>
  </sheetData>
  <mergeCells count="115">
    <mergeCell ref="AD12:AE12"/>
    <mergeCell ref="AD13:AE13"/>
    <mergeCell ref="AA19:AB19"/>
    <mergeCell ref="A82:B82"/>
    <mergeCell ref="A83:B83"/>
    <mergeCell ref="L12:L13"/>
    <mergeCell ref="U12:U13"/>
    <mergeCell ref="V12:V13"/>
    <mergeCell ref="X12:X13"/>
    <mergeCell ref="Y12:Y13"/>
    <mergeCell ref="Z12:Z13"/>
    <mergeCell ref="AF8:AF10"/>
    <mergeCell ref="AG8:AG10"/>
    <mergeCell ref="AH8:AH10"/>
    <mergeCell ref="AI8:AI10"/>
    <mergeCell ref="AJ8:AJ10"/>
    <mergeCell ref="AK8:AK10"/>
    <mergeCell ref="Z8:Z10"/>
    <mergeCell ref="AA8:AA10"/>
    <mergeCell ref="AB8:AB10"/>
    <mergeCell ref="AC8:AC10"/>
    <mergeCell ref="AD8:AD10"/>
    <mergeCell ref="AE8:AE10"/>
    <mergeCell ref="T8:T10"/>
    <mergeCell ref="U8:U10"/>
    <mergeCell ref="V8:V10"/>
    <mergeCell ref="W8:W10"/>
    <mergeCell ref="X8:X10"/>
    <mergeCell ref="Y8:Y10"/>
    <mergeCell ref="N8:N10"/>
    <mergeCell ref="O8:O10"/>
    <mergeCell ref="P8:P10"/>
    <mergeCell ref="Q8:Q10"/>
    <mergeCell ref="R8:R10"/>
    <mergeCell ref="S8:S10"/>
    <mergeCell ref="H8:H10"/>
    <mergeCell ref="I8:I10"/>
    <mergeCell ref="J8:J10"/>
    <mergeCell ref="K8:K10"/>
    <mergeCell ref="L8:L10"/>
    <mergeCell ref="M8:M10"/>
    <mergeCell ref="AH6:AH7"/>
    <mergeCell ref="AI6:AI7"/>
    <mergeCell ref="AJ6:AJ7"/>
    <mergeCell ref="AK6:AK7"/>
    <mergeCell ref="A8:A10"/>
    <mergeCell ref="B8:B10"/>
    <mergeCell ref="D8:D9"/>
    <mergeCell ref="E8:E10"/>
    <mergeCell ref="F8:F10"/>
    <mergeCell ref="G8:G10"/>
    <mergeCell ref="AB6:AB7"/>
    <mergeCell ref="AC6:AC7"/>
    <mergeCell ref="AD6:AD7"/>
    <mergeCell ref="AE6:AE7"/>
    <mergeCell ref="AF6:AF7"/>
    <mergeCell ref="AG6:AG7"/>
    <mergeCell ref="V6:V7"/>
    <mergeCell ref="W6:W7"/>
    <mergeCell ref="X6:X7"/>
    <mergeCell ref="Y6:Y7"/>
    <mergeCell ref="Z6:Z7"/>
    <mergeCell ref="AA6:AA7"/>
    <mergeCell ref="P6:P7"/>
    <mergeCell ref="Q6:Q7"/>
    <mergeCell ref="R6:R7"/>
    <mergeCell ref="S6:S7"/>
    <mergeCell ref="T6:T7"/>
    <mergeCell ref="U6:U7"/>
    <mergeCell ref="J6:J7"/>
    <mergeCell ref="K6:K7"/>
    <mergeCell ref="L6:L7"/>
    <mergeCell ref="M6:M7"/>
    <mergeCell ref="N6:N7"/>
    <mergeCell ref="O6:O7"/>
    <mergeCell ref="AH2:AH4"/>
    <mergeCell ref="AI2:AI4"/>
    <mergeCell ref="AJ2:AJ4"/>
    <mergeCell ref="AK2:AK4"/>
    <mergeCell ref="A6:A7"/>
    <mergeCell ref="B6:B7"/>
    <mergeCell ref="E6:E7"/>
    <mergeCell ref="G6:G7"/>
    <mergeCell ref="H6:H7"/>
    <mergeCell ref="I6:I7"/>
    <mergeCell ref="AB2:AB4"/>
    <mergeCell ref="AC2:AC4"/>
    <mergeCell ref="AD2:AD4"/>
    <mergeCell ref="AE2:AE4"/>
    <mergeCell ref="AF2:AF4"/>
    <mergeCell ref="AG2:AG4"/>
    <mergeCell ref="V2:V4"/>
    <mergeCell ref="W2:W4"/>
    <mergeCell ref="X2:X4"/>
    <mergeCell ref="Y2:Y4"/>
    <mergeCell ref="Z2:Z4"/>
    <mergeCell ref="AA2:AA4"/>
    <mergeCell ref="P2:P4"/>
    <mergeCell ref="Q2:Q4"/>
    <mergeCell ref="R2:R4"/>
    <mergeCell ref="S2:S4"/>
    <mergeCell ref="T2:T4"/>
    <mergeCell ref="U2:U4"/>
    <mergeCell ref="J2:J4"/>
    <mergeCell ref="K2:K4"/>
    <mergeCell ref="L2:L4"/>
    <mergeCell ref="M2:M4"/>
    <mergeCell ref="N2:N4"/>
    <mergeCell ref="O2:O4"/>
    <mergeCell ref="A2:A4"/>
    <mergeCell ref="B2:B4"/>
    <mergeCell ref="E2:E4"/>
    <mergeCell ref="G2:G4"/>
    <mergeCell ref="H2:H4"/>
    <mergeCell ref="I2:I4"/>
  </mergeCells>
  <phoneticPr fontId="134"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Q67"/>
  <sheetViews>
    <sheetView topLeftCell="A58" workbookViewId="0">
      <selection activeCell="F62" sqref="F62"/>
    </sheetView>
  </sheetViews>
  <sheetFormatPr defaultColWidth="9" defaultRowHeight="13.5"/>
  <cols>
    <col min="1" max="8" width="9" style="4113"/>
    <col min="9" max="9" width="14.25" style="4113" customWidth="1"/>
    <col min="10" max="41" width="9" style="4113"/>
    <col min="42" max="42" width="9.5" style="4113" bestFit="1" customWidth="1"/>
    <col min="43" max="16384" width="9" style="4113"/>
  </cols>
  <sheetData>
    <row r="7" spans="1:43" s="3880" customFormat="1" ht="30.95" customHeight="1">
      <c r="A7" s="3863" t="s">
        <v>3515</v>
      </c>
      <c r="B7" s="3864" t="s">
        <v>3516</v>
      </c>
      <c r="C7" s="3863" t="s">
        <v>3517</v>
      </c>
      <c r="D7" s="3863" t="s">
        <v>3518</v>
      </c>
      <c r="E7" s="3863" t="s">
        <v>3519</v>
      </c>
      <c r="F7" s="3865" t="s">
        <v>3520</v>
      </c>
      <c r="G7" s="3865"/>
      <c r="H7" s="3866" t="s">
        <v>3521</v>
      </c>
      <c r="I7" s="3866" t="s">
        <v>3522</v>
      </c>
      <c r="J7" s="3867" t="s">
        <v>3523</v>
      </c>
      <c r="K7" s="3866" t="s">
        <v>3524</v>
      </c>
      <c r="L7" s="3868" t="s">
        <v>3525</v>
      </c>
      <c r="M7" s="3869" t="s">
        <v>3526</v>
      </c>
      <c r="N7" s="3870" t="s">
        <v>3527</v>
      </c>
      <c r="O7" s="3870" t="s">
        <v>3528</v>
      </c>
      <c r="P7" s="3871" t="s">
        <v>3529</v>
      </c>
      <c r="Q7" s="3872" t="s">
        <v>3530</v>
      </c>
      <c r="R7" s="3872" t="s">
        <v>3531</v>
      </c>
      <c r="S7" s="3873" t="s">
        <v>3532</v>
      </c>
      <c r="T7" s="3874" t="s">
        <v>3533</v>
      </c>
      <c r="U7" s="3874" t="s">
        <v>3534</v>
      </c>
      <c r="V7" s="3875" t="s">
        <v>3535</v>
      </c>
      <c r="W7" s="3875" t="s">
        <v>3536</v>
      </c>
      <c r="X7" s="3863" t="s">
        <v>3537</v>
      </c>
      <c r="Y7" s="3863" t="s">
        <v>3538</v>
      </c>
      <c r="Z7" s="3863" t="s">
        <v>3539</v>
      </c>
      <c r="AA7" s="3876" t="s">
        <v>3540</v>
      </c>
      <c r="AB7" s="3876" t="s">
        <v>3541</v>
      </c>
      <c r="AC7" s="3876" t="s">
        <v>3542</v>
      </c>
      <c r="AD7" s="3876" t="s">
        <v>3543</v>
      </c>
      <c r="AE7" s="3876" t="s">
        <v>3544</v>
      </c>
      <c r="AF7" s="3876" t="s">
        <v>3545</v>
      </c>
      <c r="AG7" s="3877" t="s">
        <v>3546</v>
      </c>
      <c r="AH7" s="3878" t="s">
        <v>3547</v>
      </c>
      <c r="AI7" s="3879" t="s">
        <v>3548</v>
      </c>
      <c r="AJ7" s="3878" t="s">
        <v>3549</v>
      </c>
      <c r="AK7" s="3878" t="s">
        <v>3550</v>
      </c>
      <c r="AL7" s="3878" t="s">
        <v>3551</v>
      </c>
    </row>
    <row r="8" spans="1:43" s="3880" customFormat="1" ht="16.5">
      <c r="A8" s="3881">
        <v>1</v>
      </c>
      <c r="B8" s="3882" t="s">
        <v>3552</v>
      </c>
      <c r="C8" s="3883" t="s">
        <v>3553</v>
      </c>
      <c r="D8" s="3884">
        <v>3404.04</v>
      </c>
      <c r="E8" s="3881" t="s">
        <v>3554</v>
      </c>
      <c r="F8" s="3885">
        <v>5.97</v>
      </c>
      <c r="G8" s="3885">
        <f>F8*D8*30</f>
        <v>609663.56400000001</v>
      </c>
      <c r="H8" s="3886">
        <v>1182043.4099999999</v>
      </c>
      <c r="I8" s="3887">
        <v>14184520.98</v>
      </c>
      <c r="J8" s="3888" t="s">
        <v>3555</v>
      </c>
      <c r="K8" s="3887">
        <v>3546130.24</v>
      </c>
      <c r="L8" s="3889">
        <v>1.48</v>
      </c>
      <c r="M8" s="3890" t="s">
        <v>3556</v>
      </c>
      <c r="N8" s="3890">
        <v>283093.59999999998</v>
      </c>
      <c r="O8" s="3890">
        <v>3397123.32</v>
      </c>
      <c r="P8" s="3891">
        <v>0</v>
      </c>
      <c r="Q8" s="3892">
        <v>0</v>
      </c>
      <c r="R8" s="3893">
        <v>0</v>
      </c>
      <c r="S8" s="3894">
        <v>195676105.56</v>
      </c>
      <c r="T8" s="3895">
        <v>158174007.5</v>
      </c>
      <c r="U8" s="3895">
        <v>36014098.060000002</v>
      </c>
      <c r="V8" s="3896" t="s">
        <v>3557</v>
      </c>
      <c r="W8" s="3896" t="s">
        <v>3558</v>
      </c>
      <c r="X8" s="3897" t="s">
        <v>3559</v>
      </c>
      <c r="Y8" s="3898" t="s">
        <v>3560</v>
      </c>
      <c r="Z8" s="3897">
        <v>0</v>
      </c>
      <c r="AA8" s="3899" t="s">
        <v>3561</v>
      </c>
      <c r="AB8" s="3900">
        <v>14184520.98</v>
      </c>
      <c r="AC8" s="3901" t="s">
        <v>3562</v>
      </c>
      <c r="AD8" s="3900">
        <v>3546130.24</v>
      </c>
      <c r="AE8" s="3900">
        <v>3397123.32</v>
      </c>
      <c r="AF8" s="3901" t="s">
        <v>3562</v>
      </c>
      <c r="AG8" s="3900">
        <v>0</v>
      </c>
      <c r="AH8" s="3902">
        <v>45193</v>
      </c>
      <c r="AI8" s="3903" t="e">
        <f>AJ8+AK8+AL8+#REF!</f>
        <v>#REF!</v>
      </c>
      <c r="AJ8" s="3904">
        <v>10894153.439999999</v>
      </c>
      <c r="AK8" s="3904">
        <v>2547842.5</v>
      </c>
      <c r="AL8" s="3905"/>
      <c r="AO8" s="3881">
        <v>10</v>
      </c>
      <c r="AP8" s="3880">
        <f>T8/AO8</f>
        <v>15817400.75</v>
      </c>
      <c r="AQ8" s="3880">
        <f>U8/AO8</f>
        <v>3601409.8060000003</v>
      </c>
    </row>
    <row r="9" spans="1:43" s="3880" customFormat="1" ht="16.5">
      <c r="A9" s="3881"/>
      <c r="B9" s="3907"/>
      <c r="C9" s="3906" t="s">
        <v>3563</v>
      </c>
      <c r="D9" s="3884">
        <v>2694.17</v>
      </c>
      <c r="E9" s="3881"/>
      <c r="F9" s="3885">
        <v>6.47</v>
      </c>
      <c r="G9" s="3885">
        <f>F9*D9*30</f>
        <v>522938.39700000006</v>
      </c>
      <c r="H9" s="3886"/>
      <c r="I9" s="3887"/>
      <c r="J9" s="3887"/>
      <c r="K9" s="3887"/>
      <c r="L9" s="3908"/>
      <c r="M9" s="3890"/>
      <c r="N9" s="3890"/>
      <c r="O9" s="3890"/>
      <c r="P9" s="3891"/>
      <c r="Q9" s="3909"/>
      <c r="R9" s="3910"/>
      <c r="S9" s="3894"/>
      <c r="T9" s="3895"/>
      <c r="U9" s="3895"/>
      <c r="V9" s="3911"/>
      <c r="W9" s="3911"/>
      <c r="X9" s="3912"/>
      <c r="Y9" s="3898"/>
      <c r="Z9" s="3912"/>
      <c r="AA9" s="3913"/>
      <c r="AB9" s="3914"/>
      <c r="AC9" s="3915"/>
      <c r="AD9" s="3914"/>
      <c r="AE9" s="3914"/>
      <c r="AF9" s="3915"/>
      <c r="AG9" s="3914"/>
      <c r="AH9" s="3916"/>
      <c r="AI9" s="3917"/>
      <c r="AJ9" s="3918"/>
      <c r="AK9" s="3918"/>
      <c r="AL9" s="3919"/>
      <c r="AO9" s="3881"/>
    </row>
    <row r="10" spans="1:43" s="3880" customFormat="1" ht="16.5">
      <c r="A10" s="3881"/>
      <c r="B10" s="3920"/>
      <c r="C10" s="3906" t="s">
        <v>3564</v>
      </c>
      <c r="D10" s="3884"/>
      <c r="E10" s="3881"/>
      <c r="F10" s="3885">
        <v>5.82</v>
      </c>
      <c r="G10" s="3885">
        <f>F10*D10*30</f>
        <v>0</v>
      </c>
      <c r="H10" s="3886"/>
      <c r="I10" s="3887"/>
      <c r="J10" s="3887"/>
      <c r="K10" s="3887"/>
      <c r="L10" s="3921"/>
      <c r="M10" s="3890"/>
      <c r="N10" s="3890"/>
      <c r="O10" s="3890"/>
      <c r="P10" s="3891"/>
      <c r="Q10" s="3922"/>
      <c r="R10" s="3923"/>
      <c r="S10" s="3894"/>
      <c r="T10" s="3895"/>
      <c r="U10" s="3895"/>
      <c r="V10" s="3924"/>
      <c r="W10" s="3924"/>
      <c r="X10" s="3925"/>
      <c r="Y10" s="3898"/>
      <c r="Z10" s="3925"/>
      <c r="AA10" s="3926"/>
      <c r="AB10" s="3927"/>
      <c r="AC10" s="3928"/>
      <c r="AD10" s="3927"/>
      <c r="AE10" s="3927"/>
      <c r="AF10" s="3928"/>
      <c r="AG10" s="3927"/>
      <c r="AH10" s="3929"/>
      <c r="AI10" s="3930"/>
      <c r="AJ10" s="3931"/>
      <c r="AK10" s="3931"/>
      <c r="AL10" s="3932"/>
      <c r="AO10" s="3881"/>
    </row>
    <row r="11" spans="1:43" s="3880" customFormat="1" ht="32.1" customHeight="1">
      <c r="A11" s="3906"/>
      <c r="B11" s="3933"/>
      <c r="C11" s="3906"/>
      <c r="D11" s="3906"/>
      <c r="E11" s="3906"/>
      <c r="F11" s="3934"/>
      <c r="G11" s="3934"/>
      <c r="H11" s="3934"/>
      <c r="I11" s="3934"/>
      <c r="J11" s="3934"/>
      <c r="K11" s="3934"/>
      <c r="L11" s="3935"/>
      <c r="M11" s="3935"/>
      <c r="N11" s="3935"/>
      <c r="O11" s="3935"/>
      <c r="P11" s="3936"/>
      <c r="Q11" s="3937"/>
      <c r="R11" s="3938"/>
      <c r="S11" s="3937"/>
      <c r="T11" s="3939"/>
      <c r="U11" s="3940"/>
      <c r="V11" s="3941"/>
      <c r="W11" s="3941"/>
      <c r="X11" s="3906"/>
      <c r="Y11" s="3906"/>
      <c r="Z11" s="3906"/>
      <c r="AA11" s="3876"/>
      <c r="AB11" s="3942"/>
      <c r="AC11" s="3876"/>
      <c r="AD11" s="3942"/>
      <c r="AE11" s="3942"/>
      <c r="AF11" s="3876"/>
      <c r="AG11" s="3942"/>
      <c r="AH11" s="3943"/>
      <c r="AI11" s="3944"/>
      <c r="AJ11" s="3878"/>
      <c r="AK11" s="3878"/>
      <c r="AL11" s="3878"/>
      <c r="AO11" s="3906"/>
    </row>
    <row r="12" spans="1:43" s="3880" customFormat="1" ht="24.95" customHeight="1">
      <c r="A12" s="3881"/>
      <c r="B12" s="3945"/>
      <c r="C12" s="3906"/>
      <c r="D12" s="3906"/>
      <c r="E12" s="3946"/>
      <c r="F12" s="3947"/>
      <c r="G12" s="3885"/>
      <c r="H12" s="3948"/>
      <c r="I12" s="3949"/>
      <c r="J12" s="3950"/>
      <c r="K12" s="3951"/>
      <c r="L12" s="3889"/>
      <c r="M12" s="3889"/>
      <c r="N12" s="3889"/>
      <c r="O12" s="3889"/>
      <c r="P12" s="3952"/>
      <c r="Q12" s="3892"/>
      <c r="R12" s="3893"/>
      <c r="S12" s="3892"/>
      <c r="T12" s="3953"/>
      <c r="U12" s="3954"/>
      <c r="V12" s="3955"/>
      <c r="W12" s="3955"/>
      <c r="X12" s="3946"/>
      <c r="Y12" s="3946"/>
      <c r="Z12" s="3946"/>
      <c r="AA12" s="3899"/>
      <c r="AB12" s="3956"/>
      <c r="AC12" s="3957"/>
      <c r="AD12" s="3900"/>
      <c r="AE12" s="3900"/>
      <c r="AF12" s="3901"/>
      <c r="AG12" s="3958"/>
      <c r="AH12" s="3902"/>
      <c r="AI12" s="3959"/>
      <c r="AJ12" s="3960"/>
      <c r="AK12" s="3905"/>
      <c r="AL12" s="3905"/>
      <c r="AO12" s="3946"/>
    </row>
    <row r="13" spans="1:43" s="3880" customFormat="1" ht="24.95" customHeight="1">
      <c r="A13" s="3881"/>
      <c r="B13" s="3961"/>
      <c r="C13" s="3906"/>
      <c r="D13" s="3906"/>
      <c r="E13" s="3962"/>
      <c r="F13" s="3947"/>
      <c r="G13" s="3885"/>
      <c r="H13" s="3963"/>
      <c r="I13" s="3964"/>
      <c r="J13" s="3965"/>
      <c r="K13" s="3966"/>
      <c r="L13" s="3921"/>
      <c r="M13" s="3921"/>
      <c r="N13" s="3921"/>
      <c r="O13" s="3921"/>
      <c r="P13" s="3967"/>
      <c r="Q13" s="3922"/>
      <c r="R13" s="3923"/>
      <c r="S13" s="3922"/>
      <c r="T13" s="3968"/>
      <c r="U13" s="3969"/>
      <c r="V13" s="3970"/>
      <c r="W13" s="3970"/>
      <c r="X13" s="3962"/>
      <c r="Y13" s="3962"/>
      <c r="Z13" s="3962"/>
      <c r="AA13" s="3926"/>
      <c r="AB13" s="3971"/>
      <c r="AC13" s="3972"/>
      <c r="AD13" s="3927"/>
      <c r="AE13" s="3927"/>
      <c r="AF13" s="3928"/>
      <c r="AG13" s="3973"/>
      <c r="AH13" s="3929"/>
      <c r="AI13" s="3974"/>
      <c r="AJ13" s="3960"/>
      <c r="AK13" s="3932"/>
      <c r="AL13" s="3932"/>
      <c r="AO13" s="3962"/>
    </row>
    <row r="14" spans="1:43" s="3880" customFormat="1" ht="24.95" customHeight="1">
      <c r="A14" s="3906">
        <v>12</v>
      </c>
      <c r="B14" s="3933" t="s">
        <v>3638</v>
      </c>
      <c r="C14" s="4003" t="s">
        <v>3639</v>
      </c>
      <c r="D14" s="3906">
        <v>2531.5700000000002</v>
      </c>
      <c r="E14" s="3906" t="s">
        <v>3567</v>
      </c>
      <c r="F14" s="3934">
        <v>4.4000000000000004</v>
      </c>
      <c r="G14" s="3885">
        <f>F14*D14*30</f>
        <v>334167.24000000005</v>
      </c>
      <c r="H14" s="3934">
        <v>338808.45</v>
      </c>
      <c r="I14" s="3934">
        <v>3049276.05</v>
      </c>
      <c r="J14" s="3934" t="s">
        <v>3640</v>
      </c>
      <c r="K14" s="3934">
        <v>1366722.06</v>
      </c>
      <c r="L14" s="3935">
        <v>1.1000000000000001</v>
      </c>
      <c r="M14" s="3935">
        <v>0</v>
      </c>
      <c r="N14" s="3935">
        <v>84702.11</v>
      </c>
      <c r="O14" s="3935">
        <v>1016425.32</v>
      </c>
      <c r="P14" s="3936">
        <v>341680.5</v>
      </c>
      <c r="Q14" s="3937">
        <v>0</v>
      </c>
      <c r="R14" s="3938">
        <v>0</v>
      </c>
      <c r="S14" s="3937" t="e">
        <v>#REF!</v>
      </c>
      <c r="T14" s="3939">
        <v>20356227.690000001</v>
      </c>
      <c r="U14" s="3940">
        <v>5082126.5999999996</v>
      </c>
      <c r="V14" s="3941" t="s">
        <v>3557</v>
      </c>
      <c r="W14" s="3941" t="s">
        <v>3569</v>
      </c>
      <c r="X14" s="3906" t="s">
        <v>3641</v>
      </c>
      <c r="Y14" s="3906" t="s">
        <v>3642</v>
      </c>
      <c r="Z14" s="3906" t="s">
        <v>630</v>
      </c>
      <c r="AA14" s="3876" t="s">
        <v>3643</v>
      </c>
      <c r="AB14" s="3942">
        <v>1016425.35</v>
      </c>
      <c r="AC14" s="3876" t="s">
        <v>3644</v>
      </c>
      <c r="AD14" s="3942">
        <v>1016425.35</v>
      </c>
      <c r="AE14" s="3942">
        <v>508212.66</v>
      </c>
      <c r="AF14" s="3876" t="s">
        <v>3645</v>
      </c>
      <c r="AG14" s="3942">
        <v>254106.33</v>
      </c>
      <c r="AH14" s="3943">
        <v>45078</v>
      </c>
      <c r="AI14" s="3944">
        <v>1270531.68</v>
      </c>
      <c r="AJ14" s="3878">
        <v>1016425.35</v>
      </c>
      <c r="AK14" s="4024">
        <v>254106.33</v>
      </c>
      <c r="AL14" s="3878">
        <v>0</v>
      </c>
      <c r="AO14" s="3906">
        <v>5</v>
      </c>
      <c r="AP14" s="3880">
        <f t="shared" ref="AP14:AP60" si="0">T14/AO14</f>
        <v>4071245.5380000002</v>
      </c>
      <c r="AQ14" s="3880">
        <f t="shared" ref="AQ14:AQ60" si="1">U14/AO14</f>
        <v>1016425.32</v>
      </c>
    </row>
    <row r="15" spans="1:43" s="3880" customFormat="1" ht="24.95" customHeight="1">
      <c r="A15" s="3906"/>
      <c r="B15" s="3933"/>
      <c r="C15" s="4003"/>
      <c r="D15" s="3906"/>
      <c r="E15" s="3906"/>
      <c r="F15" s="3934"/>
      <c r="G15" s="3885"/>
      <c r="H15" s="4025"/>
      <c r="I15" s="4025"/>
      <c r="J15" s="4028"/>
      <c r="K15" s="4025"/>
      <c r="L15" s="4029"/>
      <c r="M15" s="3935"/>
      <c r="N15" s="3935"/>
      <c r="O15" s="4004"/>
      <c r="P15" s="3936"/>
      <c r="Q15" s="3937"/>
      <c r="R15" s="3938"/>
      <c r="S15" s="3937"/>
      <c r="T15" s="4026"/>
      <c r="U15" s="3940"/>
      <c r="V15" s="3941"/>
      <c r="W15" s="3941"/>
      <c r="X15" s="3906"/>
      <c r="Y15" s="3906"/>
      <c r="Z15" s="3906"/>
      <c r="AA15" s="3876"/>
      <c r="AB15" s="4030"/>
      <c r="AC15" s="3876"/>
      <c r="AD15" s="3942"/>
      <c r="AE15" s="4031"/>
      <c r="AF15" s="3876"/>
      <c r="AG15" s="4031"/>
      <c r="AH15" s="3943"/>
      <c r="AI15" s="4032"/>
      <c r="AJ15" s="4033"/>
      <c r="AK15" s="4034"/>
      <c r="AL15" s="3878"/>
      <c r="AO15" s="3906"/>
    </row>
    <row r="16" spans="1:43" s="3880" customFormat="1" ht="24.95" customHeight="1">
      <c r="A16" s="3906">
        <v>16</v>
      </c>
      <c r="B16" s="3906" t="s">
        <v>3672</v>
      </c>
      <c r="C16" s="4003" t="s">
        <v>3673</v>
      </c>
      <c r="D16" s="3906">
        <v>190.28</v>
      </c>
      <c r="E16" s="3906" t="s">
        <v>3674</v>
      </c>
      <c r="F16" s="4036">
        <v>6</v>
      </c>
      <c r="G16" s="3885">
        <f>F16*D16*30</f>
        <v>34250.400000000001</v>
      </c>
      <c r="H16" s="3947">
        <v>34726.1</v>
      </c>
      <c r="I16" s="3947">
        <v>416713.2</v>
      </c>
      <c r="J16" s="3934">
        <v>0</v>
      </c>
      <c r="K16" s="3947">
        <v>104178.3</v>
      </c>
      <c r="L16" s="3935">
        <v>0</v>
      </c>
      <c r="M16" s="3935">
        <v>0</v>
      </c>
      <c r="N16" s="3935">
        <v>0</v>
      </c>
      <c r="O16" s="3935">
        <v>0</v>
      </c>
      <c r="P16" s="3936">
        <v>0</v>
      </c>
      <c r="Q16" s="3937">
        <v>0</v>
      </c>
      <c r="R16" s="3938">
        <v>0</v>
      </c>
      <c r="S16" s="4006" t="e">
        <v>#REF!</v>
      </c>
      <c r="T16" s="3939">
        <v>833426.4</v>
      </c>
      <c r="U16" s="3940">
        <v>0</v>
      </c>
      <c r="V16" s="3941" t="s">
        <v>3675</v>
      </c>
      <c r="W16" s="3941" t="s">
        <v>3588</v>
      </c>
      <c r="X16" s="3906" t="s">
        <v>3667</v>
      </c>
      <c r="Y16" s="3906" t="s">
        <v>3676</v>
      </c>
      <c r="Z16" s="3906">
        <v>0</v>
      </c>
      <c r="AA16" s="3876" t="s">
        <v>3643</v>
      </c>
      <c r="AB16" s="4030">
        <v>104178.3</v>
      </c>
      <c r="AC16" s="3876" t="s">
        <v>3671</v>
      </c>
      <c r="AD16" s="4030">
        <v>104178.3</v>
      </c>
      <c r="AE16" s="3942">
        <v>0</v>
      </c>
      <c r="AF16" s="3876">
        <v>0</v>
      </c>
      <c r="AG16" s="3942">
        <v>0</v>
      </c>
      <c r="AH16" s="3943">
        <v>45141</v>
      </c>
      <c r="AI16" s="3944">
        <v>104178.3</v>
      </c>
      <c r="AJ16" s="4010">
        <v>104178.3</v>
      </c>
      <c r="AK16" s="4024">
        <v>0</v>
      </c>
      <c r="AL16" s="3878">
        <v>0</v>
      </c>
      <c r="AO16" s="3906">
        <v>2</v>
      </c>
      <c r="AP16" s="3880">
        <f t="shared" si="0"/>
        <v>416713.2</v>
      </c>
      <c r="AQ16" s="3880">
        <f t="shared" si="1"/>
        <v>0</v>
      </c>
    </row>
    <row r="17" spans="1:43" s="3880" customFormat="1" ht="24.95" customHeight="1">
      <c r="A17" s="3906">
        <v>17</v>
      </c>
      <c r="B17" s="3906" t="s">
        <v>3677</v>
      </c>
      <c r="C17" s="4003" t="s">
        <v>3678</v>
      </c>
      <c r="D17" s="3906">
        <v>100.74</v>
      </c>
      <c r="E17" s="3906" t="s">
        <v>3625</v>
      </c>
      <c r="F17" s="4036">
        <v>4</v>
      </c>
      <c r="G17" s="3885">
        <f>F17*D17*30</f>
        <v>12088.8</v>
      </c>
      <c r="H17" s="3947">
        <v>12256.7</v>
      </c>
      <c r="I17" s="3947">
        <v>147080.4</v>
      </c>
      <c r="J17" s="3934">
        <v>0</v>
      </c>
      <c r="K17" s="3947">
        <v>24513.4</v>
      </c>
      <c r="L17" s="3935">
        <v>0</v>
      </c>
      <c r="M17" s="3935">
        <v>0</v>
      </c>
      <c r="N17" s="3935">
        <v>0</v>
      </c>
      <c r="O17" s="3935">
        <v>0</v>
      </c>
      <c r="P17" s="3936">
        <v>0</v>
      </c>
      <c r="Q17" s="3937">
        <v>0</v>
      </c>
      <c r="R17" s="3938">
        <v>0</v>
      </c>
      <c r="S17" s="4006" t="e">
        <v>#REF!</v>
      </c>
      <c r="T17" s="3939">
        <v>147080.4</v>
      </c>
      <c r="U17" s="3940">
        <v>0</v>
      </c>
      <c r="V17" s="3941" t="s">
        <v>3675</v>
      </c>
      <c r="W17" s="3941" t="s">
        <v>3588</v>
      </c>
      <c r="X17" s="3906" t="s">
        <v>3679</v>
      </c>
      <c r="Y17" s="3906" t="s">
        <v>3680</v>
      </c>
      <c r="Z17" s="3906">
        <v>0</v>
      </c>
      <c r="AA17" s="3876" t="s">
        <v>3653</v>
      </c>
      <c r="AB17" s="4030">
        <v>36770.1</v>
      </c>
      <c r="AC17" s="3876" t="s">
        <v>3681</v>
      </c>
      <c r="AD17" s="4030">
        <v>24513.4</v>
      </c>
      <c r="AE17" s="3942">
        <v>0</v>
      </c>
      <c r="AF17" s="3876">
        <v>0</v>
      </c>
      <c r="AG17" s="3942">
        <v>0</v>
      </c>
      <c r="AH17" s="3943">
        <v>45115</v>
      </c>
      <c r="AI17" s="3944">
        <v>36770.1</v>
      </c>
      <c r="AJ17" s="4010">
        <v>36770.1</v>
      </c>
      <c r="AK17" s="4024">
        <v>0</v>
      </c>
      <c r="AL17" s="3878">
        <v>0</v>
      </c>
      <c r="AO17" s="3906">
        <v>1</v>
      </c>
      <c r="AP17" s="3880">
        <f t="shared" si="0"/>
        <v>147080.4</v>
      </c>
      <c r="AQ17" s="3880">
        <f t="shared" si="1"/>
        <v>0</v>
      </c>
    </row>
    <row r="18" spans="1:43" s="3880" customFormat="1" ht="36" customHeight="1">
      <c r="A18" s="3906">
        <v>19</v>
      </c>
      <c r="B18" s="4037" t="s">
        <v>3689</v>
      </c>
      <c r="C18" s="4038" t="s">
        <v>3690</v>
      </c>
      <c r="D18" s="3906">
        <v>69.459999999999994</v>
      </c>
      <c r="E18" s="3906" t="s">
        <v>3625</v>
      </c>
      <c r="F18" s="4036">
        <v>4</v>
      </c>
      <c r="G18" s="3885">
        <f>F18*D18*30</f>
        <v>8335.1999999999989</v>
      </c>
      <c r="H18" s="3947">
        <v>8450.9699999999993</v>
      </c>
      <c r="I18" s="3947">
        <v>101411.64</v>
      </c>
      <c r="J18" s="3934">
        <v>0</v>
      </c>
      <c r="K18" s="3947">
        <v>24513.4</v>
      </c>
      <c r="L18" s="3935">
        <v>0</v>
      </c>
      <c r="M18" s="3935">
        <v>0</v>
      </c>
      <c r="N18" s="3935">
        <v>0</v>
      </c>
      <c r="O18" s="3935">
        <v>0</v>
      </c>
      <c r="P18" s="3936">
        <v>0</v>
      </c>
      <c r="Q18" s="3937">
        <v>0</v>
      </c>
      <c r="R18" s="3938">
        <v>0</v>
      </c>
      <c r="S18" s="4006" t="e">
        <f>T18+U18+#REF!</f>
        <v>#REF!</v>
      </c>
      <c r="T18" s="3940">
        <v>147080.4</v>
      </c>
      <c r="U18" s="3940">
        <v>0</v>
      </c>
      <c r="V18" s="3941" t="s">
        <v>3675</v>
      </c>
      <c r="W18" s="3941" t="s">
        <v>3600</v>
      </c>
      <c r="X18" s="3906" t="s">
        <v>3691</v>
      </c>
      <c r="Y18" s="3906" t="s">
        <v>3692</v>
      </c>
      <c r="Z18" s="3906">
        <v>0</v>
      </c>
      <c r="AA18" s="3876" t="s">
        <v>3653</v>
      </c>
      <c r="AB18" s="4030">
        <v>8450.9699999999993</v>
      </c>
      <c r="AC18" s="3876" t="s">
        <v>3693</v>
      </c>
      <c r="AD18" s="4030">
        <v>24513.4</v>
      </c>
      <c r="AE18" s="3876">
        <v>0</v>
      </c>
      <c r="AF18" s="3876">
        <v>0</v>
      </c>
      <c r="AG18" s="3876">
        <v>0</v>
      </c>
      <c r="AH18" s="3943">
        <v>45325</v>
      </c>
      <c r="AI18" s="3944">
        <f t="shared" ref="AI18:AI24" si="2">AJ18+AK18</f>
        <v>21547.18</v>
      </c>
      <c r="AJ18" s="4010">
        <v>21547.18</v>
      </c>
      <c r="AK18" s="4024">
        <v>0</v>
      </c>
      <c r="AL18" s="3878">
        <v>0</v>
      </c>
      <c r="AO18" s="3906">
        <v>1</v>
      </c>
      <c r="AP18" s="3880">
        <f t="shared" si="0"/>
        <v>147080.4</v>
      </c>
      <c r="AQ18" s="3880">
        <f t="shared" si="1"/>
        <v>0</v>
      </c>
    </row>
    <row r="19" spans="1:43" s="3880" customFormat="1" ht="24.95" customHeight="1">
      <c r="A19" s="3906">
        <v>21</v>
      </c>
      <c r="B19" s="4040" t="s">
        <v>3699</v>
      </c>
      <c r="C19" s="4041" t="s">
        <v>3700</v>
      </c>
      <c r="D19" s="3906">
        <v>97.38</v>
      </c>
      <c r="E19" s="3906" t="s">
        <v>3674</v>
      </c>
      <c r="F19" s="4036">
        <v>6</v>
      </c>
      <c r="G19" s="3885">
        <f>F19*D19*30</f>
        <v>17528.399999999998</v>
      </c>
      <c r="H19" s="3947">
        <v>17771.849999999999</v>
      </c>
      <c r="I19" s="3947">
        <v>213262.2</v>
      </c>
      <c r="J19" s="3934">
        <v>0</v>
      </c>
      <c r="K19" s="3947">
        <v>35543.699999999997</v>
      </c>
      <c r="L19" s="3935">
        <v>0</v>
      </c>
      <c r="M19" s="3935">
        <v>0</v>
      </c>
      <c r="N19" s="3935">
        <v>0</v>
      </c>
      <c r="O19" s="3935">
        <v>0</v>
      </c>
      <c r="P19" s="3936">
        <v>0</v>
      </c>
      <c r="Q19" s="3937">
        <v>0</v>
      </c>
      <c r="R19" s="3938">
        <v>0</v>
      </c>
      <c r="S19" s="4006" t="e">
        <f>T19+U19+#REF!</f>
        <v>#REF!</v>
      </c>
      <c r="T19" s="3940">
        <v>426524.4</v>
      </c>
      <c r="U19" s="3940">
        <v>0</v>
      </c>
      <c r="V19" s="3941" t="s">
        <v>3675</v>
      </c>
      <c r="W19" s="3941" t="s">
        <v>3588</v>
      </c>
      <c r="X19" s="3906" t="s">
        <v>3701</v>
      </c>
      <c r="Y19" s="3906" t="s">
        <v>3702</v>
      </c>
      <c r="Z19" s="3906">
        <v>0</v>
      </c>
      <c r="AA19" s="3876" t="s">
        <v>3653</v>
      </c>
      <c r="AB19" s="4030">
        <v>53315.55</v>
      </c>
      <c r="AC19" s="3876" t="s">
        <v>3703</v>
      </c>
      <c r="AD19" s="4030">
        <v>35543.699999999997</v>
      </c>
      <c r="AE19" s="3876">
        <v>0</v>
      </c>
      <c r="AF19" s="3876">
        <v>0</v>
      </c>
      <c r="AG19" s="3876">
        <v>0</v>
      </c>
      <c r="AH19" s="3943">
        <v>45161</v>
      </c>
      <c r="AI19" s="3944">
        <f t="shared" si="2"/>
        <v>53315.55</v>
      </c>
      <c r="AJ19" s="4010">
        <v>53315.55</v>
      </c>
      <c r="AK19" s="4024">
        <v>0</v>
      </c>
      <c r="AL19" s="3878">
        <v>0</v>
      </c>
      <c r="AO19" s="3906">
        <v>2</v>
      </c>
      <c r="AP19" s="3880">
        <f t="shared" si="0"/>
        <v>213262.2</v>
      </c>
      <c r="AQ19" s="3880">
        <f t="shared" si="1"/>
        <v>0</v>
      </c>
    </row>
    <row r="20" spans="1:43" s="3880" customFormat="1" ht="24.95" customHeight="1">
      <c r="A20" s="3906">
        <v>22</v>
      </c>
      <c r="B20" s="4042" t="s">
        <v>3704</v>
      </c>
      <c r="C20" s="4041" t="s">
        <v>3705</v>
      </c>
      <c r="D20" s="3906">
        <v>153.58000000000001</v>
      </c>
      <c r="E20" s="3906" t="s">
        <v>3625</v>
      </c>
      <c r="F20" s="4036">
        <v>5.9</v>
      </c>
      <c r="G20" s="3885">
        <f>F20*D20*30</f>
        <v>27183.660000000007</v>
      </c>
      <c r="H20" s="3947">
        <v>27561.21</v>
      </c>
      <c r="I20" s="3947">
        <v>330734.52</v>
      </c>
      <c r="J20" s="3934">
        <v>0</v>
      </c>
      <c r="K20" s="3947">
        <v>10000</v>
      </c>
      <c r="L20" s="3935">
        <v>0</v>
      </c>
      <c r="M20" s="3935">
        <v>0</v>
      </c>
      <c r="N20" s="3935">
        <v>0</v>
      </c>
      <c r="O20" s="3935">
        <v>0</v>
      </c>
      <c r="P20" s="3936">
        <v>0</v>
      </c>
      <c r="Q20" s="3937">
        <v>0</v>
      </c>
      <c r="R20" s="3938">
        <v>0</v>
      </c>
      <c r="S20" s="4006" t="e">
        <f>T20+U20+#REF!</f>
        <v>#REF!</v>
      </c>
      <c r="T20" s="3940">
        <v>330734.52</v>
      </c>
      <c r="U20" s="3940">
        <v>0</v>
      </c>
      <c r="V20" s="3941" t="s">
        <v>3675</v>
      </c>
      <c r="W20" s="3941" t="s">
        <v>3588</v>
      </c>
      <c r="X20" s="3906" t="s">
        <v>3589</v>
      </c>
      <c r="Y20" s="3906" t="s">
        <v>3706</v>
      </c>
      <c r="Z20" s="3906">
        <v>0</v>
      </c>
      <c r="AA20" s="3876" t="s">
        <v>3707</v>
      </c>
      <c r="AB20" s="4030">
        <v>165367.26</v>
      </c>
      <c r="AC20" s="3876" t="s">
        <v>3708</v>
      </c>
      <c r="AD20" s="4030">
        <v>10000</v>
      </c>
      <c r="AE20" s="3876">
        <v>0</v>
      </c>
      <c r="AF20" s="3876">
        <v>0</v>
      </c>
      <c r="AG20" s="3876">
        <v>0</v>
      </c>
      <c r="AH20" s="3943">
        <v>45222</v>
      </c>
      <c r="AI20" s="3944">
        <f t="shared" si="2"/>
        <v>165367.26</v>
      </c>
      <c r="AJ20" s="4010">
        <v>165367.26</v>
      </c>
      <c r="AK20" s="4024">
        <v>0</v>
      </c>
      <c r="AL20" s="3878">
        <v>0</v>
      </c>
      <c r="AO20" s="3906">
        <v>1</v>
      </c>
      <c r="AP20" s="3880">
        <f t="shared" si="0"/>
        <v>330734.52</v>
      </c>
      <c r="AQ20" s="3880">
        <f t="shared" si="1"/>
        <v>0</v>
      </c>
    </row>
    <row r="21" spans="1:43" s="3880" customFormat="1" ht="24.95" customHeight="1">
      <c r="A21" s="3906">
        <v>23</v>
      </c>
      <c r="B21" s="4039" t="s">
        <v>3709</v>
      </c>
      <c r="C21" s="4003" t="s">
        <v>3710</v>
      </c>
      <c r="D21" s="3906">
        <v>120.12</v>
      </c>
      <c r="E21" s="3906" t="s">
        <v>3625</v>
      </c>
      <c r="F21" s="4036">
        <v>6</v>
      </c>
      <c r="G21" s="3885">
        <f>F21*D21*30</f>
        <v>21621.600000000002</v>
      </c>
      <c r="H21" s="3947">
        <v>21921.9</v>
      </c>
      <c r="I21" s="3947">
        <v>263062.8</v>
      </c>
      <c r="J21" s="3934">
        <v>0</v>
      </c>
      <c r="K21" s="3947">
        <v>43843.8</v>
      </c>
      <c r="L21" s="3935">
        <v>0</v>
      </c>
      <c r="M21" s="3935">
        <v>0</v>
      </c>
      <c r="N21" s="3935">
        <v>0</v>
      </c>
      <c r="O21" s="3935">
        <v>0</v>
      </c>
      <c r="P21" s="3936">
        <v>0</v>
      </c>
      <c r="Q21" s="3937">
        <v>0</v>
      </c>
      <c r="R21" s="3938">
        <v>0</v>
      </c>
      <c r="S21" s="4006" t="e">
        <f>T21+U21+#REF!</f>
        <v>#REF!</v>
      </c>
      <c r="T21" s="3940">
        <v>43843.8</v>
      </c>
      <c r="U21" s="3940">
        <v>0</v>
      </c>
      <c r="V21" s="3941" t="s">
        <v>3675</v>
      </c>
      <c r="W21" s="3941" t="s">
        <v>3588</v>
      </c>
      <c r="X21" s="3906" t="s">
        <v>3711</v>
      </c>
      <c r="Y21" s="3906" t="s">
        <v>3692</v>
      </c>
      <c r="Z21" s="3906">
        <v>0</v>
      </c>
      <c r="AA21" s="3876" t="s">
        <v>3653</v>
      </c>
      <c r="AB21" s="4030">
        <v>65765.7</v>
      </c>
      <c r="AC21" s="3876" t="s">
        <v>3671</v>
      </c>
      <c r="AD21" s="4030">
        <v>43843.8</v>
      </c>
      <c r="AE21" s="3876">
        <v>0</v>
      </c>
      <c r="AF21" s="3876">
        <v>0</v>
      </c>
      <c r="AG21" s="3876">
        <v>0</v>
      </c>
      <c r="AH21" s="3943">
        <v>45141</v>
      </c>
      <c r="AI21" s="4009">
        <f t="shared" si="2"/>
        <v>65765.7</v>
      </c>
      <c r="AJ21" s="4010">
        <v>65765.7</v>
      </c>
      <c r="AK21" s="4024">
        <v>0</v>
      </c>
      <c r="AL21" s="3878">
        <v>0</v>
      </c>
      <c r="AO21" s="3906">
        <v>1</v>
      </c>
      <c r="AP21" s="3880">
        <f t="shared" si="0"/>
        <v>43843.8</v>
      </c>
      <c r="AQ21" s="3880">
        <f t="shared" si="1"/>
        <v>0</v>
      </c>
    </row>
    <row r="22" spans="1:43" s="3880" customFormat="1" ht="24.95" customHeight="1">
      <c r="A22" s="3906">
        <v>24</v>
      </c>
      <c r="B22" s="4039" t="s">
        <v>3712</v>
      </c>
      <c r="C22" s="4003" t="s">
        <v>3713</v>
      </c>
      <c r="D22" s="3906">
        <v>63.42</v>
      </c>
      <c r="E22" s="3906" t="s">
        <v>3625</v>
      </c>
      <c r="F22" s="4036">
        <v>4</v>
      </c>
      <c r="G22" s="3885">
        <f>F22*D22*30</f>
        <v>7610.4000000000005</v>
      </c>
      <c r="H22" s="3947">
        <v>7716.1</v>
      </c>
      <c r="I22" s="3947">
        <v>92593.2</v>
      </c>
      <c r="J22" s="3934">
        <v>0</v>
      </c>
      <c r="K22" s="3947">
        <v>7716.1</v>
      </c>
      <c r="L22" s="3935">
        <v>0</v>
      </c>
      <c r="M22" s="3935">
        <v>0</v>
      </c>
      <c r="N22" s="3935">
        <v>0</v>
      </c>
      <c r="O22" s="3935">
        <v>0</v>
      </c>
      <c r="P22" s="3936">
        <v>0</v>
      </c>
      <c r="Q22" s="3937">
        <v>0</v>
      </c>
      <c r="R22" s="3938">
        <v>0</v>
      </c>
      <c r="S22" s="4006" t="e">
        <f>T22+U22+#REF!</f>
        <v>#REF!</v>
      </c>
      <c r="T22" s="3940">
        <v>92593.2</v>
      </c>
      <c r="U22" s="3940">
        <v>0</v>
      </c>
      <c r="V22" s="3941" t="s">
        <v>3675</v>
      </c>
      <c r="W22" s="3941" t="s">
        <v>3588</v>
      </c>
      <c r="X22" s="3906" t="s">
        <v>3589</v>
      </c>
      <c r="Y22" s="3906" t="s">
        <v>3714</v>
      </c>
      <c r="Z22" s="3906">
        <v>0</v>
      </c>
      <c r="AA22" s="3876" t="s">
        <v>3715</v>
      </c>
      <c r="AB22" s="4030">
        <v>46296.6</v>
      </c>
      <c r="AC22" s="3876" t="s">
        <v>3716</v>
      </c>
      <c r="AD22" s="4030">
        <v>15432.2</v>
      </c>
      <c r="AE22" s="3876">
        <v>0</v>
      </c>
      <c r="AF22" s="3876">
        <v>0</v>
      </c>
      <c r="AG22" s="3876">
        <v>0</v>
      </c>
      <c r="AH22" s="3943">
        <v>45231</v>
      </c>
      <c r="AI22" s="3944">
        <f t="shared" si="2"/>
        <v>46296.6</v>
      </c>
      <c r="AJ22" s="4010">
        <v>46296.6</v>
      </c>
      <c r="AK22" s="4024">
        <v>0</v>
      </c>
      <c r="AL22" s="3878">
        <v>0</v>
      </c>
      <c r="AO22" s="3906">
        <v>1</v>
      </c>
      <c r="AP22" s="3880">
        <f t="shared" si="0"/>
        <v>92593.2</v>
      </c>
      <c r="AQ22" s="3880">
        <f t="shared" si="1"/>
        <v>0</v>
      </c>
    </row>
    <row r="23" spans="1:43" s="3880" customFormat="1" ht="24.95" customHeight="1">
      <c r="A23" s="3906">
        <v>25</v>
      </c>
      <c r="B23" s="4039" t="s">
        <v>3717</v>
      </c>
      <c r="C23" s="4003" t="s">
        <v>3718</v>
      </c>
      <c r="D23" s="3906">
        <v>190.28</v>
      </c>
      <c r="E23" s="3906" t="s">
        <v>3696</v>
      </c>
      <c r="F23" s="4036">
        <v>5.9</v>
      </c>
      <c r="G23" s="3885">
        <f>F23*D23*30</f>
        <v>33679.56</v>
      </c>
      <c r="H23" s="3947">
        <v>34147.33</v>
      </c>
      <c r="I23" s="3947">
        <v>386192.31</v>
      </c>
      <c r="J23" s="3934">
        <v>0</v>
      </c>
      <c r="K23" s="3947">
        <v>68294.66</v>
      </c>
      <c r="L23" s="3935">
        <v>0</v>
      </c>
      <c r="M23" s="3935">
        <v>0</v>
      </c>
      <c r="N23" s="3935">
        <v>0</v>
      </c>
      <c r="O23" s="3935">
        <v>0</v>
      </c>
      <c r="P23" s="3936">
        <v>0</v>
      </c>
      <c r="Q23" s="3937">
        <v>0</v>
      </c>
      <c r="R23" s="3938">
        <v>0</v>
      </c>
      <c r="S23" s="4006" t="e">
        <f>T23+U23+#REF!</f>
        <v>#REF!</v>
      </c>
      <c r="T23" s="3940">
        <v>1205728.23</v>
      </c>
      <c r="U23" s="3940">
        <v>0</v>
      </c>
      <c r="V23" s="3941" t="s">
        <v>3675</v>
      </c>
      <c r="W23" s="3941" t="s">
        <v>3588</v>
      </c>
      <c r="X23" s="3906" t="s">
        <v>3589</v>
      </c>
      <c r="Y23" s="3906" t="s">
        <v>3719</v>
      </c>
      <c r="Z23" s="3906" t="s">
        <v>3720</v>
      </c>
      <c r="AA23" s="3876" t="s">
        <v>3721</v>
      </c>
      <c r="AB23" s="4030">
        <v>386192.31</v>
      </c>
      <c r="AC23" s="3876" t="s">
        <v>3722</v>
      </c>
      <c r="AD23" s="4030">
        <v>68294.66</v>
      </c>
      <c r="AE23" s="3876">
        <v>0</v>
      </c>
      <c r="AF23" s="3876">
        <v>0</v>
      </c>
      <c r="AG23" s="3876">
        <v>0</v>
      </c>
      <c r="AH23" s="3943">
        <v>45408</v>
      </c>
      <c r="AI23" s="3944">
        <f t="shared" si="2"/>
        <v>409767.96</v>
      </c>
      <c r="AJ23" s="4010">
        <v>409767.96</v>
      </c>
      <c r="AK23" s="4024">
        <v>0</v>
      </c>
      <c r="AL23" s="3878">
        <v>0</v>
      </c>
      <c r="AO23" s="3906">
        <v>3</v>
      </c>
      <c r="AP23" s="3880">
        <f t="shared" si="0"/>
        <v>401909.41</v>
      </c>
      <c r="AQ23" s="3880">
        <f t="shared" si="1"/>
        <v>0</v>
      </c>
    </row>
    <row r="24" spans="1:43" s="3880" customFormat="1" ht="24.95" customHeight="1">
      <c r="A24" s="3906">
        <v>26</v>
      </c>
      <c r="B24" s="3933" t="s">
        <v>3723</v>
      </c>
      <c r="C24" s="4003" t="s">
        <v>3724</v>
      </c>
      <c r="D24" s="3906">
        <v>140.44</v>
      </c>
      <c r="E24" s="3906" t="s">
        <v>3625</v>
      </c>
      <c r="F24" s="4036">
        <v>4</v>
      </c>
      <c r="G24" s="3885">
        <f>F24*D24*30</f>
        <v>16852.8</v>
      </c>
      <c r="H24" s="3934">
        <v>17086.87</v>
      </c>
      <c r="I24" s="3934">
        <v>205042.44</v>
      </c>
      <c r="J24" s="3934">
        <v>0</v>
      </c>
      <c r="K24" s="3934">
        <v>34173.74</v>
      </c>
      <c r="L24" s="3935">
        <v>0</v>
      </c>
      <c r="M24" s="3935">
        <v>0</v>
      </c>
      <c r="N24" s="3935">
        <v>0</v>
      </c>
      <c r="O24" s="3935">
        <v>0</v>
      </c>
      <c r="P24" s="3936">
        <v>0</v>
      </c>
      <c r="Q24" s="3937">
        <v>0</v>
      </c>
      <c r="R24" s="3938">
        <v>0</v>
      </c>
      <c r="S24" s="4006" t="e">
        <f>T24+U24+#REF!</f>
        <v>#REF!</v>
      </c>
      <c r="T24" s="3939">
        <v>205042.44</v>
      </c>
      <c r="U24" s="3940">
        <v>0</v>
      </c>
      <c r="V24" s="3941" t="s">
        <v>3675</v>
      </c>
      <c r="W24" s="3941" t="s">
        <v>3588</v>
      </c>
      <c r="X24" s="3906" t="s">
        <v>3725</v>
      </c>
      <c r="Y24" s="3906" t="s">
        <v>3726</v>
      </c>
      <c r="Z24" s="3906">
        <v>0</v>
      </c>
      <c r="AA24" s="3876" t="s">
        <v>3653</v>
      </c>
      <c r="AB24" s="3942">
        <v>51260.61</v>
      </c>
      <c r="AC24" s="3876" t="s">
        <v>3727</v>
      </c>
      <c r="AD24" s="3942">
        <v>34173.74</v>
      </c>
      <c r="AE24" s="3876">
        <v>0</v>
      </c>
      <c r="AF24" s="3876">
        <v>0</v>
      </c>
      <c r="AG24" s="3876">
        <v>0</v>
      </c>
      <c r="AH24" s="3943">
        <v>45151</v>
      </c>
      <c r="AI24" s="3944">
        <f t="shared" si="2"/>
        <v>51260.61</v>
      </c>
      <c r="AJ24" s="3878">
        <v>51260.61</v>
      </c>
      <c r="AK24" s="4024">
        <v>0</v>
      </c>
      <c r="AL24" s="3878">
        <v>0</v>
      </c>
      <c r="AO24" s="3906">
        <v>1</v>
      </c>
      <c r="AP24" s="3880">
        <f t="shared" si="0"/>
        <v>205042.44</v>
      </c>
      <c r="AQ24" s="3880">
        <f t="shared" si="1"/>
        <v>0</v>
      </c>
    </row>
    <row r="25" spans="1:43" s="3880" customFormat="1" ht="24.95" customHeight="1">
      <c r="A25" s="3906">
        <v>28</v>
      </c>
      <c r="B25" s="4054" t="s">
        <v>3734</v>
      </c>
      <c r="C25" s="4041" t="s">
        <v>3735</v>
      </c>
      <c r="D25" s="4045">
        <v>138.91999999999999</v>
      </c>
      <c r="E25" s="3906" t="s">
        <v>3674</v>
      </c>
      <c r="F25" s="4046">
        <v>4</v>
      </c>
      <c r="G25" s="3885">
        <f>F25*D25*30</f>
        <v>16670.399999999998</v>
      </c>
      <c r="H25" s="4014">
        <v>16901.93</v>
      </c>
      <c r="I25" s="4014">
        <v>202823.16</v>
      </c>
      <c r="J25" s="4014">
        <v>0</v>
      </c>
      <c r="K25" s="4014">
        <v>33803.86</v>
      </c>
      <c r="L25" s="4016">
        <v>0</v>
      </c>
      <c r="M25" s="4016">
        <v>0</v>
      </c>
      <c r="N25" s="4016">
        <v>0</v>
      </c>
      <c r="O25" s="4016">
        <v>0</v>
      </c>
      <c r="P25" s="4017">
        <v>0</v>
      </c>
      <c r="Q25" s="4018">
        <v>0</v>
      </c>
      <c r="R25" s="4019">
        <v>0</v>
      </c>
      <c r="S25" s="4006" t="e">
        <f>T25+U25+#REF!</f>
        <v>#REF!</v>
      </c>
      <c r="T25" s="4047">
        <v>401756.56</v>
      </c>
      <c r="U25" s="4048">
        <v>0</v>
      </c>
      <c r="V25" s="3941" t="s">
        <v>3675</v>
      </c>
      <c r="W25" s="3941" t="s">
        <v>3588</v>
      </c>
      <c r="X25" s="4045" t="s">
        <v>3736</v>
      </c>
      <c r="Y25" s="3906" t="s">
        <v>3702</v>
      </c>
      <c r="Z25" s="4045" t="s">
        <v>3737</v>
      </c>
      <c r="AA25" s="3876" t="s">
        <v>3653</v>
      </c>
      <c r="AB25" s="4050">
        <v>46816.03</v>
      </c>
      <c r="AC25" s="3876" t="s">
        <v>3738</v>
      </c>
      <c r="AD25" s="4050">
        <v>33803.86</v>
      </c>
      <c r="AE25" s="4049">
        <v>0</v>
      </c>
      <c r="AF25" s="4049">
        <v>0</v>
      </c>
      <c r="AG25" s="4049">
        <v>0</v>
      </c>
      <c r="AH25" s="4051"/>
      <c r="AI25" s="3944"/>
      <c r="AJ25" s="4052"/>
      <c r="AK25" s="4053"/>
      <c r="AL25" s="4052"/>
      <c r="AO25" s="3906">
        <v>2</v>
      </c>
      <c r="AP25" s="3880">
        <f t="shared" si="0"/>
        <v>200878.28</v>
      </c>
      <c r="AQ25" s="3880">
        <f t="shared" si="1"/>
        <v>0</v>
      </c>
    </row>
    <row r="26" spans="1:43" s="3880" customFormat="1" ht="24.95" customHeight="1">
      <c r="A26" s="3906">
        <v>29</v>
      </c>
      <c r="B26" s="4043" t="s">
        <v>3739</v>
      </c>
      <c r="C26" s="4044" t="s">
        <v>3740</v>
      </c>
      <c r="D26" s="4045">
        <v>127.38</v>
      </c>
      <c r="E26" s="3906" t="s">
        <v>3625</v>
      </c>
      <c r="F26" s="4046">
        <v>5</v>
      </c>
      <c r="G26" s="3885">
        <f>F26*D26*30</f>
        <v>19107</v>
      </c>
      <c r="H26" s="4014">
        <v>19372.38</v>
      </c>
      <c r="I26" s="4014">
        <v>232468.56</v>
      </c>
      <c r="J26" s="4014">
        <v>0</v>
      </c>
      <c r="K26" s="4014">
        <v>58117.14</v>
      </c>
      <c r="L26" s="4016">
        <v>0</v>
      </c>
      <c r="M26" s="4016">
        <v>0</v>
      </c>
      <c r="N26" s="4016">
        <v>0</v>
      </c>
      <c r="O26" s="4016">
        <v>0</v>
      </c>
      <c r="P26" s="4017">
        <v>0</v>
      </c>
      <c r="Q26" s="4018">
        <v>0</v>
      </c>
      <c r="R26" s="4019">
        <v>0</v>
      </c>
      <c r="S26" s="4055" t="e">
        <f>T26+U26+#REF!</f>
        <v>#REF!</v>
      </c>
      <c r="T26" s="4056">
        <v>232468.56</v>
      </c>
      <c r="U26" s="4048">
        <v>0</v>
      </c>
      <c r="V26" s="3941" t="s">
        <v>3675</v>
      </c>
      <c r="W26" s="3941" t="s">
        <v>3588</v>
      </c>
      <c r="X26" s="4045" t="s">
        <v>3741</v>
      </c>
      <c r="Y26" s="3906" t="s">
        <v>3742</v>
      </c>
      <c r="Z26" s="4045">
        <v>0</v>
      </c>
      <c r="AA26" s="3876" t="s">
        <v>3743</v>
      </c>
      <c r="AB26" s="4050">
        <v>31882.86</v>
      </c>
      <c r="AC26" s="4049" t="s">
        <v>3744</v>
      </c>
      <c r="AD26" s="4050">
        <v>58117.14</v>
      </c>
      <c r="AE26" s="4049">
        <v>0</v>
      </c>
      <c r="AF26" s="4049">
        <v>0</v>
      </c>
      <c r="AG26" s="4049">
        <v>0</v>
      </c>
      <c r="AH26" s="4051" t="s">
        <v>3745</v>
      </c>
      <c r="AI26" s="3944">
        <f t="shared" ref="AI26:AI60" si="3">AJ26+AK26</f>
        <v>45606.66</v>
      </c>
      <c r="AJ26" s="4052">
        <v>38744.76</v>
      </c>
      <c r="AK26" s="4057">
        <v>6861.9</v>
      </c>
      <c r="AL26" s="4052">
        <v>0</v>
      </c>
      <c r="AO26" s="3906">
        <v>1</v>
      </c>
      <c r="AP26" s="3880">
        <f t="shared" si="0"/>
        <v>232468.56</v>
      </c>
      <c r="AQ26" s="3880">
        <f t="shared" si="1"/>
        <v>0</v>
      </c>
    </row>
    <row r="27" spans="1:43" s="3880" customFormat="1" ht="24.95" customHeight="1">
      <c r="A27" s="3906">
        <v>30</v>
      </c>
      <c r="B27" s="4054" t="s">
        <v>3746</v>
      </c>
      <c r="C27" s="4041" t="s">
        <v>3747</v>
      </c>
      <c r="D27" s="4045">
        <v>60.02</v>
      </c>
      <c r="E27" s="3906" t="s">
        <v>3625</v>
      </c>
      <c r="F27" s="4046">
        <v>4</v>
      </c>
      <c r="G27" s="3885">
        <f>F27*D27*30</f>
        <v>7202.4000000000005</v>
      </c>
      <c r="H27" s="4014">
        <v>7302.43</v>
      </c>
      <c r="I27" s="4014">
        <v>87629.16</v>
      </c>
      <c r="J27" s="4014">
        <v>0</v>
      </c>
      <c r="K27" s="4014">
        <v>14604.86</v>
      </c>
      <c r="L27" s="4016">
        <v>0</v>
      </c>
      <c r="M27" s="4016">
        <v>0</v>
      </c>
      <c r="N27" s="4016">
        <v>0</v>
      </c>
      <c r="O27" s="4016">
        <v>0</v>
      </c>
      <c r="P27" s="4017">
        <v>0</v>
      </c>
      <c r="Q27" s="4018">
        <v>0</v>
      </c>
      <c r="R27" s="4019">
        <v>0</v>
      </c>
      <c r="S27" s="4055" t="e">
        <f>T27+U27+#REF!</f>
        <v>#REF!</v>
      </c>
      <c r="T27" s="4056">
        <v>87629.16</v>
      </c>
      <c r="U27" s="4048">
        <v>0</v>
      </c>
      <c r="V27" s="3941" t="s">
        <v>3675</v>
      </c>
      <c r="W27" s="3941" t="s">
        <v>3588</v>
      </c>
      <c r="X27" s="4045" t="s">
        <v>3748</v>
      </c>
      <c r="Y27" s="3906" t="s">
        <v>3749</v>
      </c>
      <c r="Z27" s="4045">
        <v>0</v>
      </c>
      <c r="AA27" s="3876" t="s">
        <v>3653</v>
      </c>
      <c r="AB27" s="4050">
        <v>21907.29</v>
      </c>
      <c r="AC27" s="4049" t="s">
        <v>3750</v>
      </c>
      <c r="AD27" s="4050">
        <v>14604.86</v>
      </c>
      <c r="AE27" s="4049">
        <v>0</v>
      </c>
      <c r="AF27" s="4049">
        <v>0</v>
      </c>
      <c r="AG27" s="4049">
        <v>0</v>
      </c>
      <c r="AH27" s="4051"/>
      <c r="AI27" s="3944"/>
      <c r="AJ27" s="4052"/>
      <c r="AK27" s="4053"/>
      <c r="AL27" s="4052">
        <v>0</v>
      </c>
      <c r="AO27" s="3906">
        <v>1</v>
      </c>
      <c r="AP27" s="3880">
        <f t="shared" si="0"/>
        <v>87629.16</v>
      </c>
      <c r="AQ27" s="3880">
        <f t="shared" si="1"/>
        <v>0</v>
      </c>
    </row>
    <row r="28" spans="1:43" s="3880" customFormat="1" ht="24.95" customHeight="1">
      <c r="A28" s="3906">
        <v>31</v>
      </c>
      <c r="B28" s="4054" t="s">
        <v>3751</v>
      </c>
      <c r="C28" s="4041" t="s">
        <v>3752</v>
      </c>
      <c r="D28" s="4058">
        <v>121.3</v>
      </c>
      <c r="E28" s="3906" t="s">
        <v>3674</v>
      </c>
      <c r="F28" s="4046">
        <v>4</v>
      </c>
      <c r="G28" s="3885">
        <f>F28*D28*30</f>
        <v>14556</v>
      </c>
      <c r="H28" s="4014">
        <v>14758.17</v>
      </c>
      <c r="I28" s="4014">
        <v>177098.04</v>
      </c>
      <c r="J28" s="4014">
        <v>0</v>
      </c>
      <c r="K28" s="4014">
        <v>29516.34</v>
      </c>
      <c r="L28" s="4016">
        <v>0</v>
      </c>
      <c r="M28" s="4016">
        <v>0</v>
      </c>
      <c r="N28" s="4016">
        <v>0</v>
      </c>
      <c r="O28" s="4016">
        <v>0</v>
      </c>
      <c r="P28" s="4017">
        <v>0</v>
      </c>
      <c r="Q28" s="4018">
        <v>0</v>
      </c>
      <c r="R28" s="4019">
        <v>0</v>
      </c>
      <c r="S28" s="4055" t="e">
        <f>T28+U28+#REF!</f>
        <v>#REF!</v>
      </c>
      <c r="T28" s="4056">
        <v>354196.08</v>
      </c>
      <c r="U28" s="4048">
        <v>0</v>
      </c>
      <c r="V28" s="3941" t="s">
        <v>3675</v>
      </c>
      <c r="W28" s="3941" t="s">
        <v>3588</v>
      </c>
      <c r="X28" s="4045" t="s">
        <v>3753</v>
      </c>
      <c r="Y28" s="3906" t="s">
        <v>3754</v>
      </c>
      <c r="Z28" s="4045">
        <v>0</v>
      </c>
      <c r="AA28" s="3876" t="s">
        <v>3715</v>
      </c>
      <c r="AB28" s="4050">
        <v>88549.02</v>
      </c>
      <c r="AC28" s="4049" t="s">
        <v>3755</v>
      </c>
      <c r="AD28" s="4050">
        <v>29516.34</v>
      </c>
      <c r="AE28" s="4049">
        <v>0</v>
      </c>
      <c r="AF28" s="4049">
        <v>0</v>
      </c>
      <c r="AG28" s="4049">
        <v>0</v>
      </c>
      <c r="AH28" s="4051"/>
      <c r="AI28" s="3944"/>
      <c r="AJ28" s="4052"/>
      <c r="AK28" s="4053"/>
      <c r="AL28" s="4052"/>
      <c r="AO28" s="3906">
        <v>2</v>
      </c>
      <c r="AP28" s="3880">
        <f t="shared" si="0"/>
        <v>177098.04</v>
      </c>
      <c r="AQ28" s="3880">
        <f t="shared" si="1"/>
        <v>0</v>
      </c>
    </row>
    <row r="29" spans="1:43" s="3880" customFormat="1" ht="38.1" customHeight="1">
      <c r="A29" s="3906">
        <v>32</v>
      </c>
      <c r="B29" s="4059" t="s">
        <v>3756</v>
      </c>
      <c r="C29" s="4038" t="s">
        <v>3757</v>
      </c>
      <c r="D29" s="4058">
        <v>121.3</v>
      </c>
      <c r="E29" s="3906" t="s">
        <v>3674</v>
      </c>
      <c r="F29" s="4046">
        <v>4</v>
      </c>
      <c r="G29" s="3885">
        <f>F29*D29*30</f>
        <v>14556</v>
      </c>
      <c r="H29" s="4014">
        <v>14758.17</v>
      </c>
      <c r="I29" s="4014">
        <v>177098.04</v>
      </c>
      <c r="J29" s="4014">
        <v>0</v>
      </c>
      <c r="K29" s="4014">
        <v>35502.58</v>
      </c>
      <c r="L29" s="4016">
        <v>0</v>
      </c>
      <c r="M29" s="4016">
        <v>0</v>
      </c>
      <c r="N29" s="4016">
        <v>0</v>
      </c>
      <c r="O29" s="4016">
        <v>0</v>
      </c>
      <c r="P29" s="4017">
        <v>0</v>
      </c>
      <c r="Q29" s="4018">
        <v>0</v>
      </c>
      <c r="R29" s="4019">
        <v>0</v>
      </c>
      <c r="S29" s="4055" t="e">
        <f>T29+U29+#REF!</f>
        <v>#REF!</v>
      </c>
      <c r="T29" s="4056">
        <v>426030.96</v>
      </c>
      <c r="U29" s="4048">
        <v>0</v>
      </c>
      <c r="V29" s="3941" t="s">
        <v>3675</v>
      </c>
      <c r="W29" s="4060" t="s">
        <v>3600</v>
      </c>
      <c r="X29" s="4045" t="s">
        <v>3691</v>
      </c>
      <c r="Y29" s="3906" t="s">
        <v>3758</v>
      </c>
      <c r="Z29" s="4045">
        <v>0</v>
      </c>
      <c r="AA29" s="3876" t="s">
        <v>3653</v>
      </c>
      <c r="AB29" s="4050">
        <v>44274.51</v>
      </c>
      <c r="AC29" s="4049" t="s">
        <v>3759</v>
      </c>
      <c r="AD29" s="4050">
        <v>35502.58</v>
      </c>
      <c r="AE29" s="4049">
        <v>0</v>
      </c>
      <c r="AF29" s="4049">
        <v>0</v>
      </c>
      <c r="AG29" s="4049">
        <v>0</v>
      </c>
      <c r="AH29" s="4051">
        <v>45390</v>
      </c>
      <c r="AI29" s="3944">
        <f>AJ29+AK29</f>
        <v>44274.51</v>
      </c>
      <c r="AJ29" s="4052">
        <v>44274.51</v>
      </c>
      <c r="AK29" s="4053">
        <v>0</v>
      </c>
      <c r="AL29" s="4052">
        <v>0</v>
      </c>
      <c r="AO29" s="3906">
        <v>2</v>
      </c>
      <c r="AP29" s="3880">
        <f t="shared" si="0"/>
        <v>213015.48</v>
      </c>
      <c r="AQ29" s="3880">
        <f t="shared" si="1"/>
        <v>0</v>
      </c>
    </row>
    <row r="30" spans="1:43" s="3880" customFormat="1" ht="24.95" customHeight="1">
      <c r="A30" s="3906">
        <v>33</v>
      </c>
      <c r="B30" s="4043" t="s">
        <v>3760</v>
      </c>
      <c r="C30" s="4003" t="s">
        <v>3761</v>
      </c>
      <c r="D30" s="4058">
        <v>1042.0899999999999</v>
      </c>
      <c r="E30" s="3906" t="s">
        <v>3696</v>
      </c>
      <c r="F30" s="4046">
        <v>4.2300000000000004</v>
      </c>
      <c r="G30" s="3885">
        <f>F30*D30*30</f>
        <v>132241.22100000002</v>
      </c>
      <c r="H30" s="4014">
        <v>134077.9</v>
      </c>
      <c r="I30" s="4014">
        <v>1608934.8</v>
      </c>
      <c r="J30" s="4014">
        <v>0</v>
      </c>
      <c r="K30" s="4014">
        <v>402233.7</v>
      </c>
      <c r="L30" s="4016">
        <v>1.1000000000000001</v>
      </c>
      <c r="M30" s="4016">
        <v>0</v>
      </c>
      <c r="N30" s="4016">
        <v>34866.589999999997</v>
      </c>
      <c r="O30" s="4016">
        <v>418399.08</v>
      </c>
      <c r="P30" s="4017">
        <v>104599.77</v>
      </c>
      <c r="Q30" s="4018">
        <v>0</v>
      </c>
      <c r="R30" s="4019">
        <v>0</v>
      </c>
      <c r="S30" s="4055" t="e">
        <f>T30+U30+#REF!</f>
        <v>#REF!</v>
      </c>
      <c r="T30" s="4056">
        <v>4826804.4000000004</v>
      </c>
      <c r="U30" s="4048">
        <v>1255197.24</v>
      </c>
      <c r="V30" s="3941" t="s">
        <v>3557</v>
      </c>
      <c r="W30" s="3941" t="s">
        <v>3577</v>
      </c>
      <c r="X30" s="4045" t="s">
        <v>3762</v>
      </c>
      <c r="Y30" s="3906" t="s">
        <v>3763</v>
      </c>
      <c r="Z30" s="4045">
        <v>0</v>
      </c>
      <c r="AA30" s="3876" t="s">
        <v>3764</v>
      </c>
      <c r="AB30" s="4061">
        <v>1608934.8</v>
      </c>
      <c r="AC30" s="4049" t="s">
        <v>3765</v>
      </c>
      <c r="AD30" s="4061">
        <v>402233.7</v>
      </c>
      <c r="AE30" s="4050">
        <v>418399.08</v>
      </c>
      <c r="AF30" s="4049" t="s">
        <v>3765</v>
      </c>
      <c r="AG30" s="4050">
        <v>104599.77</v>
      </c>
      <c r="AH30" s="4051">
        <v>45543</v>
      </c>
      <c r="AI30" s="3944">
        <f t="shared" si="3"/>
        <v>2027333.8800000001</v>
      </c>
      <c r="AJ30" s="4062">
        <v>1608934.8</v>
      </c>
      <c r="AK30" s="4053">
        <v>418399.08</v>
      </c>
      <c r="AL30" s="4052">
        <v>0</v>
      </c>
      <c r="AO30" s="3906">
        <v>3</v>
      </c>
      <c r="AP30" s="3880">
        <f t="shared" si="0"/>
        <v>1608934.8</v>
      </c>
      <c r="AQ30" s="3880">
        <f t="shared" si="1"/>
        <v>418399.08</v>
      </c>
    </row>
    <row r="31" spans="1:43" s="3880" customFormat="1" ht="24.95" customHeight="1">
      <c r="A31" s="3906">
        <v>34</v>
      </c>
      <c r="B31" s="4054" t="s">
        <v>3766</v>
      </c>
      <c r="C31" s="4041" t="s">
        <v>3767</v>
      </c>
      <c r="D31" s="4058">
        <v>63.42</v>
      </c>
      <c r="E31" s="3906" t="s">
        <v>3625</v>
      </c>
      <c r="F31" s="4046">
        <v>4</v>
      </c>
      <c r="G31" s="3885">
        <f>F31*D31*30</f>
        <v>7610.4000000000005</v>
      </c>
      <c r="H31" s="4063">
        <v>7716.1</v>
      </c>
      <c r="I31" s="4063">
        <v>92593.2</v>
      </c>
      <c r="J31" s="4014">
        <v>0</v>
      </c>
      <c r="K31" s="4063">
        <v>15432.2</v>
      </c>
      <c r="L31" s="4016">
        <v>0</v>
      </c>
      <c r="M31" s="4016">
        <v>0</v>
      </c>
      <c r="N31" s="4016">
        <v>0</v>
      </c>
      <c r="O31" s="4016">
        <v>0</v>
      </c>
      <c r="P31" s="4017">
        <v>0</v>
      </c>
      <c r="Q31" s="4018">
        <v>0</v>
      </c>
      <c r="R31" s="4019">
        <v>0</v>
      </c>
      <c r="S31" s="4055" t="e">
        <f>T31+U31+#REF!</f>
        <v>#REF!</v>
      </c>
      <c r="T31" s="4056">
        <v>92593.2</v>
      </c>
      <c r="U31" s="4048">
        <v>0</v>
      </c>
      <c r="V31" s="3941" t="s">
        <v>3768</v>
      </c>
      <c r="W31" s="3941" t="s">
        <v>3588</v>
      </c>
      <c r="X31" s="4045" t="s">
        <v>3769</v>
      </c>
      <c r="Y31" s="3906" t="s">
        <v>3770</v>
      </c>
      <c r="Z31" s="4045">
        <v>0</v>
      </c>
      <c r="AA31" s="3876" t="s">
        <v>3653</v>
      </c>
      <c r="AB31" s="4061">
        <v>23148.3</v>
      </c>
      <c r="AC31" s="4049" t="s">
        <v>3771</v>
      </c>
      <c r="AD31" s="4061">
        <v>15432.2</v>
      </c>
      <c r="AE31" s="4049">
        <v>0</v>
      </c>
      <c r="AF31" s="4049">
        <v>0</v>
      </c>
      <c r="AG31" s="4049">
        <v>0</v>
      </c>
      <c r="AH31" s="4051"/>
      <c r="AI31" s="3944"/>
      <c r="AJ31" s="4062"/>
      <c r="AK31" s="4053"/>
      <c r="AL31" s="4052"/>
      <c r="AO31" s="3906">
        <v>1</v>
      </c>
      <c r="AP31" s="3880">
        <f t="shared" si="0"/>
        <v>92593.2</v>
      </c>
      <c r="AQ31" s="3880">
        <f t="shared" si="1"/>
        <v>0</v>
      </c>
    </row>
    <row r="32" spans="1:43" s="3880" customFormat="1" ht="24.95" customHeight="1">
      <c r="A32" s="3906">
        <v>35</v>
      </c>
      <c r="B32" s="4064" t="s">
        <v>3772</v>
      </c>
      <c r="C32" s="4003" t="s">
        <v>3773</v>
      </c>
      <c r="D32" s="4058">
        <v>102.56</v>
      </c>
      <c r="E32" s="3906" t="s">
        <v>3625</v>
      </c>
      <c r="F32" s="4046">
        <v>4</v>
      </c>
      <c r="G32" s="3885">
        <f>F32*D32*30</f>
        <v>12307.2</v>
      </c>
      <c r="H32" s="4014">
        <v>12478.13</v>
      </c>
      <c r="I32" s="4014">
        <v>149737.56</v>
      </c>
      <c r="J32" s="4014">
        <v>0</v>
      </c>
      <c r="K32" s="4014">
        <v>24956.26</v>
      </c>
      <c r="L32" s="4016">
        <v>0</v>
      </c>
      <c r="M32" s="4016">
        <v>0</v>
      </c>
      <c r="N32" s="4016">
        <v>0</v>
      </c>
      <c r="O32" s="4016">
        <v>0</v>
      </c>
      <c r="P32" s="4017">
        <v>0</v>
      </c>
      <c r="Q32" s="4018">
        <v>0</v>
      </c>
      <c r="R32" s="4019">
        <v>0</v>
      </c>
      <c r="S32" s="4055" t="e">
        <f>T32+U32+#REF!</f>
        <v>#REF!</v>
      </c>
      <c r="T32" s="4056">
        <v>149737.56</v>
      </c>
      <c r="U32" s="4048">
        <v>0</v>
      </c>
      <c r="V32" s="3941" t="s">
        <v>3675</v>
      </c>
      <c r="W32" s="3941" t="s">
        <v>3588</v>
      </c>
      <c r="X32" s="4045" t="s">
        <v>3774</v>
      </c>
      <c r="Y32" s="3906" t="s">
        <v>3775</v>
      </c>
      <c r="Z32" s="4045">
        <v>0</v>
      </c>
      <c r="AA32" s="3876" t="s">
        <v>3653</v>
      </c>
      <c r="AB32" s="4050">
        <v>37434.39</v>
      </c>
      <c r="AC32" s="4049" t="s">
        <v>3688</v>
      </c>
      <c r="AD32" s="4050">
        <v>24956.26</v>
      </c>
      <c r="AE32" s="4049">
        <v>0</v>
      </c>
      <c r="AF32" s="4049">
        <v>0</v>
      </c>
      <c r="AG32" s="4049">
        <v>0</v>
      </c>
      <c r="AH32" s="4051">
        <v>45207</v>
      </c>
      <c r="AI32" s="3944">
        <f t="shared" si="3"/>
        <v>37434.39</v>
      </c>
      <c r="AJ32" s="3878">
        <v>37434.39</v>
      </c>
      <c r="AK32" s="4053">
        <v>0</v>
      </c>
      <c r="AL32" s="4052">
        <v>0</v>
      </c>
      <c r="AO32" s="3906">
        <v>1</v>
      </c>
      <c r="AP32" s="3880">
        <f t="shared" si="0"/>
        <v>149737.56</v>
      </c>
      <c r="AQ32" s="3880">
        <f t="shared" si="1"/>
        <v>0</v>
      </c>
    </row>
    <row r="33" spans="1:43" s="3880" customFormat="1" ht="24.95" customHeight="1">
      <c r="A33" s="3906">
        <v>36</v>
      </c>
      <c r="B33" s="4064" t="s">
        <v>3776</v>
      </c>
      <c r="C33" s="4044" t="s">
        <v>3777</v>
      </c>
      <c r="D33" s="4058">
        <v>653.76</v>
      </c>
      <c r="E33" s="4045" t="s">
        <v>3778</v>
      </c>
      <c r="F33" s="4046">
        <v>4.0999999999999996</v>
      </c>
      <c r="G33" s="3885">
        <f>F33*D33*30</f>
        <v>80412.479999999996</v>
      </c>
      <c r="H33" s="4014">
        <v>81529.320000000007</v>
      </c>
      <c r="I33" s="4014">
        <v>733762.8</v>
      </c>
      <c r="J33" s="4014" t="s">
        <v>3779</v>
      </c>
      <c r="K33" s="4014">
        <v>163058.64000000001</v>
      </c>
      <c r="L33" s="4016">
        <v>1.1000000000000001</v>
      </c>
      <c r="M33" s="4016">
        <v>0</v>
      </c>
      <c r="N33" s="4016">
        <v>21873.72</v>
      </c>
      <c r="O33" s="4016">
        <v>240610.92</v>
      </c>
      <c r="P33" s="4017">
        <v>43747.44</v>
      </c>
      <c r="Q33" s="4018">
        <v>0</v>
      </c>
      <c r="R33" s="4019">
        <v>0</v>
      </c>
      <c r="S33" s="4055" t="e">
        <f>T33+U33+#REF!</f>
        <v>#REF!</v>
      </c>
      <c r="T33" s="4056">
        <v>3687511.44</v>
      </c>
      <c r="U33" s="4048">
        <v>1028064.84</v>
      </c>
      <c r="V33" s="3941" t="s">
        <v>3557</v>
      </c>
      <c r="W33" s="4060" t="s">
        <v>3780</v>
      </c>
      <c r="X33" s="4045" t="s">
        <v>3781</v>
      </c>
      <c r="Y33" s="3906" t="s">
        <v>3782</v>
      </c>
      <c r="Z33" s="4045" t="s">
        <v>3783</v>
      </c>
      <c r="AA33" s="3876" t="s">
        <v>3653</v>
      </c>
      <c r="AB33" s="4050">
        <v>244587.96</v>
      </c>
      <c r="AC33" s="4049" t="s">
        <v>3784</v>
      </c>
      <c r="AD33" s="4050">
        <v>163058.64000000001</v>
      </c>
      <c r="AE33" s="4050">
        <v>43747.44</v>
      </c>
      <c r="AF33" s="4049" t="s">
        <v>3785</v>
      </c>
      <c r="AG33" s="4050">
        <v>43747.44</v>
      </c>
      <c r="AH33" s="4051">
        <v>45222</v>
      </c>
      <c r="AI33" s="3944">
        <f t="shared" si="3"/>
        <v>65621.16</v>
      </c>
      <c r="AJ33" s="4052">
        <v>0</v>
      </c>
      <c r="AK33" s="4053">
        <v>65621.16</v>
      </c>
      <c r="AL33" s="4052">
        <v>0</v>
      </c>
      <c r="AO33" s="4045">
        <v>4</v>
      </c>
      <c r="AP33" s="3880">
        <f t="shared" si="0"/>
        <v>921877.86</v>
      </c>
      <c r="AQ33" s="3880">
        <f t="shared" si="1"/>
        <v>257016.21</v>
      </c>
    </row>
    <row r="34" spans="1:43" s="3880" customFormat="1" ht="27.95" customHeight="1">
      <c r="A34" s="3906">
        <v>37</v>
      </c>
      <c r="B34" s="4064" t="s">
        <v>3786</v>
      </c>
      <c r="C34" s="4003" t="s">
        <v>3787</v>
      </c>
      <c r="D34" s="4058">
        <v>85.16</v>
      </c>
      <c r="E34" s="3906" t="s">
        <v>3674</v>
      </c>
      <c r="F34" s="4046">
        <v>5.5</v>
      </c>
      <c r="G34" s="3885">
        <f>F34*D34*30</f>
        <v>14051.4</v>
      </c>
      <c r="H34" s="4014">
        <v>14246.56</v>
      </c>
      <c r="I34" s="4014">
        <v>170958.72</v>
      </c>
      <c r="J34" s="4014">
        <v>0</v>
      </c>
      <c r="K34" s="4014">
        <v>28493.119999999999</v>
      </c>
      <c r="L34" s="4016">
        <v>0</v>
      </c>
      <c r="M34" s="4016">
        <v>0</v>
      </c>
      <c r="N34" s="4016">
        <v>0</v>
      </c>
      <c r="O34" s="4016">
        <v>0</v>
      </c>
      <c r="P34" s="4017">
        <v>0</v>
      </c>
      <c r="Q34" s="4018">
        <v>0</v>
      </c>
      <c r="R34" s="4019">
        <v>0</v>
      </c>
      <c r="S34" s="4055" t="e">
        <f>T34+U34+#REF!</f>
        <v>#REF!</v>
      </c>
      <c r="T34" s="4056">
        <v>337233.64</v>
      </c>
      <c r="U34" s="4048">
        <v>0</v>
      </c>
      <c r="V34" s="3941" t="s">
        <v>3675</v>
      </c>
      <c r="W34" s="4060" t="s">
        <v>3600</v>
      </c>
      <c r="X34" s="4045" t="s">
        <v>3788</v>
      </c>
      <c r="Y34" s="3906" t="s">
        <v>3789</v>
      </c>
      <c r="Z34" s="4045" t="s">
        <v>3790</v>
      </c>
      <c r="AA34" s="3876" t="s">
        <v>3653</v>
      </c>
      <c r="AB34" s="4050">
        <v>38055.879999999997</v>
      </c>
      <c r="AC34" s="4049" t="s">
        <v>3791</v>
      </c>
      <c r="AD34" s="4050">
        <v>28493.119999999999</v>
      </c>
      <c r="AE34" s="4049">
        <v>0</v>
      </c>
      <c r="AF34" s="4049">
        <v>0</v>
      </c>
      <c r="AG34" s="4049">
        <v>0</v>
      </c>
      <c r="AH34" s="4051">
        <v>45222</v>
      </c>
      <c r="AI34" s="3944">
        <f t="shared" si="3"/>
        <v>47239.68</v>
      </c>
      <c r="AJ34" s="4052">
        <v>47239.68</v>
      </c>
      <c r="AK34" s="4053">
        <v>0</v>
      </c>
      <c r="AL34" s="4052">
        <v>0</v>
      </c>
      <c r="AO34" s="3906">
        <v>2</v>
      </c>
      <c r="AP34" s="3880">
        <f t="shared" si="0"/>
        <v>168616.82</v>
      </c>
      <c r="AQ34" s="3880">
        <f t="shared" si="1"/>
        <v>0</v>
      </c>
    </row>
    <row r="35" spans="1:43" s="3880" customFormat="1" ht="27.95" customHeight="1">
      <c r="A35" s="3906">
        <v>38</v>
      </c>
      <c r="B35" s="4064" t="s">
        <v>3786</v>
      </c>
      <c r="C35" s="4003" t="s">
        <v>3792</v>
      </c>
      <c r="D35" s="4058">
        <v>120.74</v>
      </c>
      <c r="E35" s="3906" t="s">
        <v>3674</v>
      </c>
      <c r="F35" s="4046">
        <v>4</v>
      </c>
      <c r="G35" s="3885">
        <f>F35*D35*30</f>
        <v>14488.8</v>
      </c>
      <c r="H35" s="4014">
        <v>14690.03</v>
      </c>
      <c r="I35" s="4014">
        <v>176280.36</v>
      </c>
      <c r="J35" s="4014">
        <v>0</v>
      </c>
      <c r="K35" s="4014">
        <v>29380.06</v>
      </c>
      <c r="L35" s="4016">
        <v>0</v>
      </c>
      <c r="M35" s="4016">
        <v>0</v>
      </c>
      <c r="N35" s="4016">
        <v>0</v>
      </c>
      <c r="O35" s="4016">
        <v>0</v>
      </c>
      <c r="P35" s="4017">
        <v>0</v>
      </c>
      <c r="Q35" s="4018">
        <v>0</v>
      </c>
      <c r="R35" s="4019">
        <v>0</v>
      </c>
      <c r="S35" s="4055" t="e">
        <f>T35+U35+#REF!</f>
        <v>#REF!</v>
      </c>
      <c r="T35" s="4056">
        <v>347731.12</v>
      </c>
      <c r="U35" s="4048">
        <v>0</v>
      </c>
      <c r="V35" s="3941" t="s">
        <v>3675</v>
      </c>
      <c r="W35" s="4060" t="s">
        <v>3600</v>
      </c>
      <c r="X35" s="4045" t="s">
        <v>3788</v>
      </c>
      <c r="Y35" s="3906" t="s">
        <v>3789</v>
      </c>
      <c r="Z35" s="4045" t="s">
        <v>3790</v>
      </c>
      <c r="AA35" s="3876" t="s">
        <v>3653</v>
      </c>
      <c r="AB35" s="4050">
        <v>39240.49</v>
      </c>
      <c r="AC35" s="4049" t="s">
        <v>3791</v>
      </c>
      <c r="AD35" s="4050">
        <v>29380.06</v>
      </c>
      <c r="AE35" s="4049">
        <v>0</v>
      </c>
      <c r="AF35" s="4049">
        <v>0</v>
      </c>
      <c r="AG35" s="4049">
        <v>0</v>
      </c>
      <c r="AH35" s="4051">
        <v>45222</v>
      </c>
      <c r="AI35" s="3944">
        <f t="shared" si="3"/>
        <v>4070.09</v>
      </c>
      <c r="AJ35" s="4052">
        <v>4070.09</v>
      </c>
      <c r="AK35" s="4053">
        <v>0</v>
      </c>
      <c r="AL35" s="4052">
        <v>0</v>
      </c>
      <c r="AO35" s="3906">
        <v>2</v>
      </c>
      <c r="AP35" s="3880">
        <f t="shared" si="0"/>
        <v>173865.56</v>
      </c>
      <c r="AQ35" s="3880">
        <f t="shared" si="1"/>
        <v>0</v>
      </c>
    </row>
    <row r="36" spans="1:43" s="3880" customFormat="1" ht="27.95" customHeight="1">
      <c r="A36" s="3906">
        <v>39</v>
      </c>
      <c r="B36" s="4064" t="s">
        <v>3793</v>
      </c>
      <c r="C36" s="4003" t="s">
        <v>3794</v>
      </c>
      <c r="D36" s="4058">
        <v>171.24</v>
      </c>
      <c r="E36" s="3906" t="s">
        <v>3625</v>
      </c>
      <c r="F36" s="4046">
        <v>5.4</v>
      </c>
      <c r="G36" s="3885">
        <f>F36*D36*30</f>
        <v>27740.880000000005</v>
      </c>
      <c r="H36" s="4014">
        <v>28126.17</v>
      </c>
      <c r="I36" s="4014">
        <v>337514.04</v>
      </c>
      <c r="J36" s="4014">
        <v>0</v>
      </c>
      <c r="K36" s="4014">
        <v>28126.17</v>
      </c>
      <c r="L36" s="4016">
        <v>0</v>
      </c>
      <c r="M36" s="4016">
        <v>0</v>
      </c>
      <c r="N36" s="4016">
        <v>0</v>
      </c>
      <c r="O36" s="4016">
        <v>0</v>
      </c>
      <c r="P36" s="4017">
        <v>0</v>
      </c>
      <c r="Q36" s="4018">
        <v>0</v>
      </c>
      <c r="R36" s="4019">
        <v>0</v>
      </c>
      <c r="S36" s="4055" t="e">
        <f>T36+U36+#REF!</f>
        <v>#REF!</v>
      </c>
      <c r="T36" s="4056">
        <v>337514.04</v>
      </c>
      <c r="U36" s="4048">
        <v>0</v>
      </c>
      <c r="V36" s="3941" t="s">
        <v>3675</v>
      </c>
      <c r="W36" s="4060" t="s">
        <v>3600</v>
      </c>
      <c r="X36" s="4045" t="s">
        <v>3795</v>
      </c>
      <c r="Y36" s="3906" t="s">
        <v>3796</v>
      </c>
      <c r="Z36" s="4045" t="s">
        <v>3669</v>
      </c>
      <c r="AA36" s="3876" t="s">
        <v>3686</v>
      </c>
      <c r="AB36" s="4050">
        <v>56252.34</v>
      </c>
      <c r="AC36" s="4049" t="s">
        <v>3785</v>
      </c>
      <c r="AD36" s="4050">
        <v>28126.17</v>
      </c>
      <c r="AE36" s="4049">
        <v>0</v>
      </c>
      <c r="AF36" s="4049">
        <v>0</v>
      </c>
      <c r="AG36" s="4049">
        <v>0</v>
      </c>
      <c r="AH36" s="4051">
        <v>45222</v>
      </c>
      <c r="AI36" s="3944">
        <f t="shared" si="3"/>
        <v>84378.51</v>
      </c>
      <c r="AJ36" s="4052">
        <v>84378.51</v>
      </c>
      <c r="AK36" s="4053">
        <v>0</v>
      </c>
      <c r="AL36" s="4052">
        <v>0</v>
      </c>
      <c r="AO36" s="3906">
        <v>1</v>
      </c>
      <c r="AP36" s="3880">
        <f t="shared" si="0"/>
        <v>337514.04</v>
      </c>
      <c r="AQ36" s="3880">
        <f t="shared" si="1"/>
        <v>0</v>
      </c>
    </row>
    <row r="37" spans="1:43" s="3880" customFormat="1" ht="27.95" customHeight="1">
      <c r="A37" s="3906">
        <v>40</v>
      </c>
      <c r="B37" s="4064" t="s">
        <v>3797</v>
      </c>
      <c r="C37" s="4003" t="s">
        <v>3798</v>
      </c>
      <c r="D37" s="4058">
        <v>60.02</v>
      </c>
      <c r="E37" s="3906" t="s">
        <v>3674</v>
      </c>
      <c r="F37" s="4046">
        <v>4</v>
      </c>
      <c r="G37" s="3885">
        <f>F37*D37*30</f>
        <v>7202.4000000000005</v>
      </c>
      <c r="H37" s="4014">
        <v>7302.43</v>
      </c>
      <c r="I37" s="4014">
        <v>87629.16</v>
      </c>
      <c r="J37" s="4014">
        <v>0</v>
      </c>
      <c r="K37" s="4014">
        <v>14604.86</v>
      </c>
      <c r="L37" s="4016">
        <v>0</v>
      </c>
      <c r="M37" s="4016">
        <v>0</v>
      </c>
      <c r="N37" s="4016">
        <v>0</v>
      </c>
      <c r="O37" s="4016">
        <v>0</v>
      </c>
      <c r="P37" s="4017">
        <v>0</v>
      </c>
      <c r="Q37" s="4018">
        <v>0</v>
      </c>
      <c r="R37" s="4019">
        <v>0</v>
      </c>
      <c r="S37" s="4055" t="e">
        <f>T37+U37+#REF!</f>
        <v>#REF!</v>
      </c>
      <c r="T37" s="4056">
        <v>167955.89</v>
      </c>
      <c r="U37" s="4048">
        <v>0</v>
      </c>
      <c r="V37" s="3941" t="s">
        <v>3675</v>
      </c>
      <c r="W37" s="4060" t="s">
        <v>3600</v>
      </c>
      <c r="X37" s="4045" t="s">
        <v>3799</v>
      </c>
      <c r="Y37" s="3906" t="s">
        <v>3800</v>
      </c>
      <c r="Z37" s="4045" t="s">
        <v>3669</v>
      </c>
      <c r="AA37" s="3876" t="s">
        <v>3653</v>
      </c>
      <c r="AB37" s="4050">
        <v>14604.86</v>
      </c>
      <c r="AC37" s="4049" t="s">
        <v>3801</v>
      </c>
      <c r="AD37" s="4050">
        <v>14604.86</v>
      </c>
      <c r="AE37" s="4049">
        <v>0</v>
      </c>
      <c r="AF37" s="4049">
        <v>0</v>
      </c>
      <c r="AG37" s="4049">
        <v>0</v>
      </c>
      <c r="AH37" s="4051">
        <v>45253</v>
      </c>
      <c r="AI37" s="3878">
        <f t="shared" si="3"/>
        <v>21907.29</v>
      </c>
      <c r="AJ37" s="3944">
        <v>21907.29</v>
      </c>
      <c r="AK37" s="4053">
        <v>0</v>
      </c>
      <c r="AL37" s="4052">
        <v>0</v>
      </c>
      <c r="AO37" s="3906">
        <v>2</v>
      </c>
      <c r="AP37" s="3880">
        <f t="shared" si="0"/>
        <v>83977.945000000007</v>
      </c>
      <c r="AQ37" s="3880">
        <f t="shared" si="1"/>
        <v>0</v>
      </c>
    </row>
    <row r="38" spans="1:43" s="3880" customFormat="1" ht="27.95" customHeight="1">
      <c r="A38" s="3906">
        <v>41</v>
      </c>
      <c r="B38" s="4064" t="s">
        <v>3802</v>
      </c>
      <c r="C38" s="4044" t="s">
        <v>3803</v>
      </c>
      <c r="D38" s="4058">
        <v>140.44</v>
      </c>
      <c r="E38" s="3906" t="s">
        <v>3674</v>
      </c>
      <c r="F38" s="4046">
        <v>4</v>
      </c>
      <c r="G38" s="3885">
        <f>F38*D38*30</f>
        <v>16852.8</v>
      </c>
      <c r="H38" s="4014">
        <v>17086.87</v>
      </c>
      <c r="I38" s="4014">
        <v>205042.44</v>
      </c>
      <c r="J38" s="4014">
        <v>0</v>
      </c>
      <c r="K38" s="4014">
        <v>34173.74</v>
      </c>
      <c r="L38" s="4016">
        <v>0</v>
      </c>
      <c r="M38" s="4016">
        <v>0</v>
      </c>
      <c r="N38" s="4016">
        <v>0</v>
      </c>
      <c r="O38" s="4016">
        <v>0</v>
      </c>
      <c r="P38" s="4017">
        <v>0</v>
      </c>
      <c r="Q38" s="4018">
        <v>0</v>
      </c>
      <c r="R38" s="4019">
        <v>0</v>
      </c>
      <c r="S38" s="4055" t="e">
        <f>T38+U38+#REF!</f>
        <v>#REF!</v>
      </c>
      <c r="T38" s="4056">
        <v>410084.88</v>
      </c>
      <c r="U38" s="4048">
        <v>0</v>
      </c>
      <c r="V38" s="3941" t="s">
        <v>3675</v>
      </c>
      <c r="W38" s="4060" t="s">
        <v>3600</v>
      </c>
      <c r="X38" s="4045" t="s">
        <v>3804</v>
      </c>
      <c r="Y38" s="3906" t="s">
        <v>3800</v>
      </c>
      <c r="Z38" s="4045">
        <v>0</v>
      </c>
      <c r="AA38" s="3876" t="s">
        <v>3715</v>
      </c>
      <c r="AB38" s="4050">
        <v>102521.22</v>
      </c>
      <c r="AC38" s="4049" t="s">
        <v>3805</v>
      </c>
      <c r="AD38" s="4050">
        <v>34173.74</v>
      </c>
      <c r="AE38" s="4049">
        <v>0</v>
      </c>
      <c r="AF38" s="4049">
        <v>0</v>
      </c>
      <c r="AG38" s="4049">
        <v>0</v>
      </c>
      <c r="AH38" s="3943">
        <v>45344</v>
      </c>
      <c r="AI38" s="3944">
        <f t="shared" si="3"/>
        <v>102521.22</v>
      </c>
      <c r="AJ38" s="4052">
        <v>102521.22</v>
      </c>
      <c r="AK38" s="4053">
        <v>0</v>
      </c>
      <c r="AL38" s="4052">
        <v>0</v>
      </c>
      <c r="AO38" s="3906">
        <v>2</v>
      </c>
      <c r="AP38" s="3880">
        <f t="shared" si="0"/>
        <v>205042.44</v>
      </c>
      <c r="AQ38" s="3880">
        <f t="shared" si="1"/>
        <v>0</v>
      </c>
    </row>
    <row r="39" spans="1:43" s="3880" customFormat="1" ht="27.95" customHeight="1">
      <c r="A39" s="3906">
        <v>42</v>
      </c>
      <c r="B39" s="4065" t="s">
        <v>3806</v>
      </c>
      <c r="C39" s="4066" t="s">
        <v>3807</v>
      </c>
      <c r="D39" s="4058">
        <v>96.24</v>
      </c>
      <c r="E39" s="4045" t="s">
        <v>3625</v>
      </c>
      <c r="F39" s="4046">
        <v>5.6</v>
      </c>
      <c r="G39" s="3885">
        <f>F39*D39*30</f>
        <v>16168.32</v>
      </c>
      <c r="H39" s="4014">
        <v>16392.88</v>
      </c>
      <c r="I39" s="4014">
        <v>196714.56</v>
      </c>
      <c r="J39" s="4014">
        <v>0</v>
      </c>
      <c r="K39" s="4014">
        <v>16392.88</v>
      </c>
      <c r="L39" s="4016">
        <v>0</v>
      </c>
      <c r="M39" s="4016">
        <v>0</v>
      </c>
      <c r="N39" s="4016">
        <v>0</v>
      </c>
      <c r="O39" s="4016">
        <v>0</v>
      </c>
      <c r="P39" s="4017">
        <v>0</v>
      </c>
      <c r="Q39" s="4018">
        <v>0</v>
      </c>
      <c r="R39" s="4019">
        <v>0</v>
      </c>
      <c r="S39" s="4055" t="e">
        <f>T39+U39+#REF!</f>
        <v>#REF!</v>
      </c>
      <c r="T39" s="4056">
        <v>196714.56</v>
      </c>
      <c r="U39" s="4048">
        <v>0</v>
      </c>
      <c r="V39" s="3941" t="s">
        <v>3675</v>
      </c>
      <c r="W39" s="4060" t="s">
        <v>3600</v>
      </c>
      <c r="X39" s="4045" t="s">
        <v>3808</v>
      </c>
      <c r="Y39" s="4045" t="s">
        <v>3809</v>
      </c>
      <c r="Z39" s="4045">
        <v>0</v>
      </c>
      <c r="AA39" s="3876" t="s">
        <v>3609</v>
      </c>
      <c r="AB39" s="4050">
        <v>16392.88</v>
      </c>
      <c r="AC39" s="4049" t="s">
        <v>3810</v>
      </c>
      <c r="AD39" s="4050">
        <v>16392.88</v>
      </c>
      <c r="AE39" s="4049">
        <v>0</v>
      </c>
      <c r="AF39" s="4049">
        <v>0</v>
      </c>
      <c r="AG39" s="4049">
        <v>0</v>
      </c>
      <c r="AH39" s="4051">
        <v>45170</v>
      </c>
      <c r="AI39" s="3944">
        <f t="shared" si="3"/>
        <v>16392.88</v>
      </c>
      <c r="AJ39" s="4052">
        <v>16392.88</v>
      </c>
      <c r="AK39" s="4053">
        <v>0</v>
      </c>
      <c r="AL39" s="4052">
        <v>0</v>
      </c>
      <c r="AO39" s="4045">
        <v>1</v>
      </c>
      <c r="AP39" s="3880">
        <f t="shared" si="0"/>
        <v>196714.56</v>
      </c>
      <c r="AQ39" s="3880">
        <f t="shared" si="1"/>
        <v>0</v>
      </c>
    </row>
    <row r="40" spans="1:43" s="3880" customFormat="1" ht="36" customHeight="1">
      <c r="A40" s="3906">
        <v>43</v>
      </c>
      <c r="B40" s="4067" t="s">
        <v>3811</v>
      </c>
      <c r="C40" s="4068" t="s">
        <v>3812</v>
      </c>
      <c r="D40" s="4058">
        <v>60.02</v>
      </c>
      <c r="E40" s="4045" t="s">
        <v>3625</v>
      </c>
      <c r="F40" s="4046">
        <v>3.8</v>
      </c>
      <c r="G40" s="3885">
        <f>F40*D40*30</f>
        <v>6842.28</v>
      </c>
      <c r="H40" s="4063">
        <v>6937.31</v>
      </c>
      <c r="I40" s="4063">
        <v>83247.72</v>
      </c>
      <c r="J40" s="4014">
        <v>0</v>
      </c>
      <c r="K40" s="4063">
        <v>13874.62</v>
      </c>
      <c r="L40" s="4016">
        <v>0</v>
      </c>
      <c r="M40" s="4016">
        <v>0</v>
      </c>
      <c r="N40" s="4016">
        <v>0</v>
      </c>
      <c r="O40" s="4016">
        <v>0</v>
      </c>
      <c r="P40" s="4017">
        <v>0</v>
      </c>
      <c r="Q40" s="4018">
        <v>0</v>
      </c>
      <c r="R40" s="4019">
        <v>0</v>
      </c>
      <c r="S40" s="4055" t="e">
        <f>T40+U40+#REF!</f>
        <v>#REF!</v>
      </c>
      <c r="T40" s="4056">
        <v>83247.72</v>
      </c>
      <c r="U40" s="4048">
        <v>0</v>
      </c>
      <c r="V40" s="3941" t="s">
        <v>3675</v>
      </c>
      <c r="W40" s="4060" t="s">
        <v>3600</v>
      </c>
      <c r="X40" s="4045" t="s">
        <v>3691</v>
      </c>
      <c r="Y40" s="3906" t="s">
        <v>3813</v>
      </c>
      <c r="Z40" s="4045">
        <v>0</v>
      </c>
      <c r="AA40" s="3876" t="s">
        <v>3653</v>
      </c>
      <c r="AB40" s="4050"/>
      <c r="AC40" s="4049"/>
      <c r="AD40" s="4069" t="s">
        <v>3814</v>
      </c>
      <c r="AE40" s="4049">
        <v>0</v>
      </c>
      <c r="AF40" s="4049">
        <v>0</v>
      </c>
      <c r="AG40" s="4050">
        <v>0</v>
      </c>
      <c r="AH40" s="4051">
        <v>45306</v>
      </c>
      <c r="AI40" s="3944">
        <f t="shared" si="3"/>
        <v>20811.93</v>
      </c>
      <c r="AJ40" s="4062">
        <v>20811.93</v>
      </c>
      <c r="AK40" s="4053">
        <v>0</v>
      </c>
      <c r="AL40" s="4052">
        <v>0</v>
      </c>
      <c r="AO40" s="4045">
        <v>1</v>
      </c>
      <c r="AP40" s="3880">
        <f t="shared" si="0"/>
        <v>83247.72</v>
      </c>
      <c r="AQ40" s="3880">
        <f t="shared" si="1"/>
        <v>0</v>
      </c>
    </row>
    <row r="41" spans="1:43" s="3880" customFormat="1" ht="27.95" customHeight="1">
      <c r="A41" s="3906">
        <v>44</v>
      </c>
      <c r="B41" s="4054" t="s">
        <v>3815</v>
      </c>
      <c r="C41" s="4066" t="s">
        <v>3816</v>
      </c>
      <c r="D41" s="4058">
        <v>92.9</v>
      </c>
      <c r="E41" s="4045" t="s">
        <v>3625</v>
      </c>
      <c r="F41" s="4046">
        <v>3.8</v>
      </c>
      <c r="G41" s="3885">
        <f>F41*D41*30</f>
        <v>10590.599999999999</v>
      </c>
      <c r="H41" s="4014">
        <v>10737.69</v>
      </c>
      <c r="I41" s="4014">
        <v>128852.28</v>
      </c>
      <c r="J41" s="4014">
        <v>0</v>
      </c>
      <c r="K41" s="4014">
        <v>21475.38</v>
      </c>
      <c r="L41" s="4016">
        <v>0</v>
      </c>
      <c r="M41" s="4016">
        <v>0</v>
      </c>
      <c r="N41" s="4016">
        <v>0</v>
      </c>
      <c r="O41" s="4016">
        <v>0</v>
      </c>
      <c r="P41" s="4017">
        <v>0</v>
      </c>
      <c r="Q41" s="4018">
        <v>0</v>
      </c>
      <c r="R41" s="4019">
        <v>0</v>
      </c>
      <c r="S41" s="4055" t="e">
        <f>T41+U41+#REF!</f>
        <v>#REF!</v>
      </c>
      <c r="T41" s="4056">
        <v>128852.28</v>
      </c>
      <c r="U41" s="4048">
        <v>0</v>
      </c>
      <c r="V41" s="3941" t="s">
        <v>3675</v>
      </c>
      <c r="W41" s="4060" t="s">
        <v>3600</v>
      </c>
      <c r="X41" s="4045"/>
      <c r="Y41" s="3906" t="s">
        <v>3817</v>
      </c>
      <c r="Z41" s="4045">
        <v>0</v>
      </c>
      <c r="AA41" s="3876" t="s">
        <v>3653</v>
      </c>
      <c r="AB41" s="4050">
        <v>32213.07</v>
      </c>
      <c r="AC41" s="4049" t="s">
        <v>3818</v>
      </c>
      <c r="AD41" s="4050">
        <v>21475.38</v>
      </c>
      <c r="AE41" s="4049">
        <v>0</v>
      </c>
      <c r="AF41" s="4049">
        <v>0</v>
      </c>
      <c r="AG41" s="4050">
        <v>0</v>
      </c>
      <c r="AH41" s="4051"/>
      <c r="AI41" s="3944"/>
      <c r="AJ41" s="4052"/>
      <c r="AK41" s="4053"/>
      <c r="AL41" s="4052"/>
      <c r="AO41" s="4045">
        <v>1</v>
      </c>
      <c r="AP41" s="3880">
        <f t="shared" si="0"/>
        <v>128852.28</v>
      </c>
      <c r="AQ41" s="3880">
        <f t="shared" si="1"/>
        <v>0</v>
      </c>
    </row>
    <row r="42" spans="1:43" s="3880" customFormat="1" ht="27.95" customHeight="1">
      <c r="A42" s="3906">
        <v>45</v>
      </c>
      <c r="B42" s="3933" t="s">
        <v>3638</v>
      </c>
      <c r="C42" s="4044" t="s">
        <v>3819</v>
      </c>
      <c r="D42" s="4058">
        <v>872.47</v>
      </c>
      <c r="E42" s="4045" t="s">
        <v>3820</v>
      </c>
      <c r="F42" s="4046">
        <v>4.4000000000000004</v>
      </c>
      <c r="G42" s="3885">
        <f>F42*D42*30</f>
        <v>115166.04000000001</v>
      </c>
      <c r="H42" s="4014">
        <v>116765.57</v>
      </c>
      <c r="I42" s="4014">
        <v>1050890.1299999999</v>
      </c>
      <c r="J42" s="4014" t="s">
        <v>3640</v>
      </c>
      <c r="K42" s="4014">
        <v>350296.71</v>
      </c>
      <c r="L42" s="4016">
        <v>1.1000000000000001</v>
      </c>
      <c r="M42" s="4016">
        <v>0</v>
      </c>
      <c r="N42" s="4016">
        <v>29191.39</v>
      </c>
      <c r="O42" s="4016">
        <v>350296.68</v>
      </c>
      <c r="P42" s="4017">
        <v>87574.17</v>
      </c>
      <c r="Q42" s="4018">
        <v>0</v>
      </c>
      <c r="R42" s="4019">
        <v>0</v>
      </c>
      <c r="S42" s="4055" t="e">
        <f>T42+U42+#REF!</f>
        <v>#REF!</v>
      </c>
      <c r="T42" s="4056">
        <v>5854731.8099999996</v>
      </c>
      <c r="U42" s="4048">
        <v>1488760.89</v>
      </c>
      <c r="V42" s="3941" t="s">
        <v>3557</v>
      </c>
      <c r="W42" s="4060" t="s">
        <v>3558</v>
      </c>
      <c r="X42" s="4045" t="s">
        <v>3821</v>
      </c>
      <c r="Y42" s="4045" t="s">
        <v>3822</v>
      </c>
      <c r="Z42" s="4045" t="s">
        <v>630</v>
      </c>
      <c r="AA42" s="4049" t="s">
        <v>3643</v>
      </c>
      <c r="AB42" s="4050"/>
      <c r="AC42" s="4049" t="s">
        <v>3823</v>
      </c>
      <c r="AD42" s="4050"/>
      <c r="AE42" s="4049"/>
      <c r="AF42" s="4049"/>
      <c r="AG42" s="4050"/>
      <c r="AH42" s="4051"/>
      <c r="AI42" s="3944"/>
      <c r="AJ42" s="4070"/>
      <c r="AK42" s="4053"/>
      <c r="AL42" s="4052"/>
      <c r="AO42" s="4045">
        <v>4.25</v>
      </c>
      <c r="AP42" s="3880">
        <f t="shared" si="0"/>
        <v>1377583.9552941176</v>
      </c>
      <c r="AQ42" s="3880">
        <f t="shared" si="1"/>
        <v>350296.68</v>
      </c>
    </row>
    <row r="43" spans="1:43" s="3880" customFormat="1" ht="27.95" customHeight="1">
      <c r="A43" s="3906">
        <v>46</v>
      </c>
      <c r="B43" s="4043" t="s">
        <v>3824</v>
      </c>
      <c r="C43" s="4044" t="s">
        <v>3825</v>
      </c>
      <c r="D43" s="4058">
        <v>81.72</v>
      </c>
      <c r="E43" s="4045" t="s">
        <v>3674</v>
      </c>
      <c r="F43" s="4046">
        <v>5.8</v>
      </c>
      <c r="G43" s="3885">
        <f>F43*D43*30</f>
        <v>14219.28</v>
      </c>
      <c r="H43" s="4014">
        <v>14416.77</v>
      </c>
      <c r="I43" s="4014">
        <v>158584.47</v>
      </c>
      <c r="J43" s="4014">
        <v>0</v>
      </c>
      <c r="K43" s="4014">
        <v>28833.54</v>
      </c>
      <c r="L43" s="4016">
        <v>0</v>
      </c>
      <c r="M43" s="4016">
        <v>0</v>
      </c>
      <c r="N43" s="4016">
        <v>0</v>
      </c>
      <c r="O43" s="4016">
        <v>0</v>
      </c>
      <c r="P43" s="4017">
        <v>0</v>
      </c>
      <c r="Q43" s="4018">
        <v>0</v>
      </c>
      <c r="R43" s="4019">
        <v>0</v>
      </c>
      <c r="S43" s="4055" t="e">
        <f>T43+U43+#REF!</f>
        <v>#REF!</v>
      </c>
      <c r="T43" s="4056">
        <v>331585.71000000002</v>
      </c>
      <c r="U43" s="4048">
        <v>0</v>
      </c>
      <c r="V43" s="3941" t="s">
        <v>3675</v>
      </c>
      <c r="W43" s="4060" t="s">
        <v>3600</v>
      </c>
      <c r="X43" s="4045" t="s">
        <v>3826</v>
      </c>
      <c r="Y43" s="4045" t="s">
        <v>3827</v>
      </c>
      <c r="Z43" s="4045" t="s">
        <v>3669</v>
      </c>
      <c r="AA43" s="3876" t="s">
        <v>3721</v>
      </c>
      <c r="AB43" s="4050">
        <v>158584.47</v>
      </c>
      <c r="AC43" s="4049" t="s">
        <v>3828</v>
      </c>
      <c r="AD43" s="4050">
        <v>28833.54</v>
      </c>
      <c r="AE43" s="4049">
        <v>0</v>
      </c>
      <c r="AF43" s="4049">
        <v>0</v>
      </c>
      <c r="AG43" s="4050">
        <v>0</v>
      </c>
      <c r="AH43" s="4051">
        <v>45573</v>
      </c>
      <c r="AI43" s="3944">
        <f t="shared" si="3"/>
        <v>173001.24</v>
      </c>
      <c r="AJ43" s="4052">
        <v>173001.24</v>
      </c>
      <c r="AK43" s="4053">
        <v>0</v>
      </c>
      <c r="AL43" s="4052">
        <v>0</v>
      </c>
      <c r="AO43" s="4045">
        <v>2</v>
      </c>
      <c r="AP43" s="3880">
        <f t="shared" si="0"/>
        <v>165792.85500000001</v>
      </c>
      <c r="AQ43" s="3880">
        <f t="shared" si="1"/>
        <v>0</v>
      </c>
    </row>
    <row r="44" spans="1:43" s="3880" customFormat="1" ht="27.95" customHeight="1">
      <c r="A44" s="3906">
        <v>47</v>
      </c>
      <c r="B44" s="4043" t="s">
        <v>3829</v>
      </c>
      <c r="C44" s="4044" t="s">
        <v>3830</v>
      </c>
      <c r="D44" s="4058">
        <v>172.72</v>
      </c>
      <c r="E44" s="4045" t="s">
        <v>3625</v>
      </c>
      <c r="F44" s="4046">
        <v>4.5</v>
      </c>
      <c r="G44" s="3885">
        <f>F44*D44*30</f>
        <v>23317.200000000001</v>
      </c>
      <c r="H44" s="4014">
        <v>23641.05</v>
      </c>
      <c r="I44" s="4014">
        <v>283692.59999999998</v>
      </c>
      <c r="J44" s="4014">
        <v>0</v>
      </c>
      <c r="K44" s="4063">
        <v>47282.1</v>
      </c>
      <c r="L44" s="4016">
        <v>1.1000000000000001</v>
      </c>
      <c r="M44" s="4016">
        <v>0</v>
      </c>
      <c r="N44" s="4016">
        <v>5778.92</v>
      </c>
      <c r="O44" s="4016">
        <v>69347.039999999994</v>
      </c>
      <c r="P44" s="4017">
        <v>1157.8399999999999</v>
      </c>
      <c r="Q44" s="4018">
        <v>0</v>
      </c>
      <c r="R44" s="4019">
        <v>0</v>
      </c>
      <c r="S44" s="4055" t="e">
        <f>T44+U44+#REF!</f>
        <v>#REF!</v>
      </c>
      <c r="T44" s="4056"/>
      <c r="U44" s="4048">
        <v>69347.039999999994</v>
      </c>
      <c r="V44" s="3941" t="s">
        <v>3557</v>
      </c>
      <c r="W44" s="4060" t="s">
        <v>3780</v>
      </c>
      <c r="X44" s="4045" t="s">
        <v>3831</v>
      </c>
      <c r="Y44" s="4045" t="s">
        <v>3832</v>
      </c>
      <c r="Z44" s="4045" t="s">
        <v>3669</v>
      </c>
      <c r="AA44" s="3876" t="s">
        <v>3653</v>
      </c>
      <c r="AB44" s="4061">
        <v>47282.1</v>
      </c>
      <c r="AC44" s="4049" t="s">
        <v>3833</v>
      </c>
      <c r="AD44" s="4071">
        <v>47282.1</v>
      </c>
      <c r="AE44" s="4050">
        <v>17336.759999999998</v>
      </c>
      <c r="AF44" s="4049" t="s">
        <v>3784</v>
      </c>
      <c r="AG44" s="4050">
        <v>11557.84</v>
      </c>
      <c r="AH44" s="4051">
        <v>45314</v>
      </c>
      <c r="AI44" s="3944">
        <f t="shared" si="3"/>
        <v>88259.909999999989</v>
      </c>
      <c r="AJ44" s="4052">
        <v>70923.149999999994</v>
      </c>
      <c r="AK44" s="4052">
        <v>17336.759999999998</v>
      </c>
      <c r="AL44" s="4052">
        <v>0</v>
      </c>
      <c r="AO44" s="4045">
        <v>1</v>
      </c>
      <c r="AP44" s="3880">
        <f t="shared" si="0"/>
        <v>0</v>
      </c>
      <c r="AQ44" s="3880">
        <f t="shared" si="1"/>
        <v>69347.039999999994</v>
      </c>
    </row>
    <row r="45" spans="1:43" s="3880" customFormat="1" ht="27.95" customHeight="1">
      <c r="A45" s="3906">
        <v>48</v>
      </c>
      <c r="B45" s="4043" t="s">
        <v>3834</v>
      </c>
      <c r="C45" s="4044" t="s">
        <v>3835</v>
      </c>
      <c r="D45" s="4058">
        <v>120.12</v>
      </c>
      <c r="E45" s="4045" t="s">
        <v>3696</v>
      </c>
      <c r="F45" s="4046">
        <v>4.5999999999999996</v>
      </c>
      <c r="G45" s="3885">
        <f>F45*D45*30</f>
        <v>16576.560000000001</v>
      </c>
      <c r="H45" s="4014">
        <v>16806.79</v>
      </c>
      <c r="I45" s="4014">
        <v>201681.48</v>
      </c>
      <c r="J45" s="4014">
        <v>0</v>
      </c>
      <c r="K45" s="4014">
        <v>0</v>
      </c>
      <c r="L45" s="4016">
        <v>0</v>
      </c>
      <c r="M45" s="4016">
        <v>0</v>
      </c>
      <c r="N45" s="4016">
        <v>0</v>
      </c>
      <c r="O45" s="4016">
        <v>0</v>
      </c>
      <c r="P45" s="4017">
        <v>0</v>
      </c>
      <c r="Q45" s="4018">
        <v>0</v>
      </c>
      <c r="R45" s="4019">
        <v>0</v>
      </c>
      <c r="S45" s="4055" t="e">
        <f>T45+U45+#REF!</f>
        <v>#REF!</v>
      </c>
      <c r="T45" s="4056">
        <v>605044.43999999994</v>
      </c>
      <c r="U45" s="4048">
        <v>0</v>
      </c>
      <c r="V45" s="3941" t="s">
        <v>3675</v>
      </c>
      <c r="W45" s="4060" t="s">
        <v>3600</v>
      </c>
      <c r="X45" s="4045" t="s">
        <v>3831</v>
      </c>
      <c r="Y45" s="4045" t="s">
        <v>3836</v>
      </c>
      <c r="Z45" s="4045">
        <v>0</v>
      </c>
      <c r="AA45" s="3876" t="s">
        <v>3732</v>
      </c>
      <c r="AB45" s="4050"/>
      <c r="AC45" s="4049" t="s">
        <v>3837</v>
      </c>
      <c r="AD45" s="4050"/>
      <c r="AE45" s="4050">
        <v>0</v>
      </c>
      <c r="AF45" s="4049">
        <v>0</v>
      </c>
      <c r="AG45" s="4050">
        <v>0</v>
      </c>
      <c r="AH45" s="4051">
        <v>45435</v>
      </c>
      <c r="AI45" s="3944">
        <f t="shared" si="3"/>
        <v>50420.37</v>
      </c>
      <c r="AJ45" s="4052">
        <v>50420.37</v>
      </c>
      <c r="AK45" s="4053">
        <v>0</v>
      </c>
      <c r="AL45" s="4052">
        <v>0</v>
      </c>
      <c r="AO45" s="4045">
        <v>3</v>
      </c>
      <c r="AP45" s="3880">
        <f t="shared" si="0"/>
        <v>201681.47999999998</v>
      </c>
      <c r="AQ45" s="3880">
        <f t="shared" si="1"/>
        <v>0</v>
      </c>
    </row>
    <row r="46" spans="1:43" s="3880" customFormat="1" ht="27.95" customHeight="1">
      <c r="A46" s="3906">
        <v>49</v>
      </c>
      <c r="B46" s="4043" t="s">
        <v>3838</v>
      </c>
      <c r="C46" s="4044" t="s">
        <v>3839</v>
      </c>
      <c r="D46" s="4058">
        <v>209.07</v>
      </c>
      <c r="E46" s="4045" t="s">
        <v>3696</v>
      </c>
      <c r="F46" s="4046">
        <v>4.4000000000000004</v>
      </c>
      <c r="G46" s="3885">
        <f>F46*D46*30</f>
        <v>27597.24</v>
      </c>
      <c r="H46" s="4014">
        <v>27980.54</v>
      </c>
      <c r="I46" s="4063">
        <v>335766.48</v>
      </c>
      <c r="J46" s="4014">
        <v>0</v>
      </c>
      <c r="K46" s="4014">
        <v>27980.54</v>
      </c>
      <c r="L46" s="4016">
        <v>1.1000000000000001</v>
      </c>
      <c r="M46" s="4016">
        <v>0</v>
      </c>
      <c r="N46" s="4016">
        <v>6995.13</v>
      </c>
      <c r="O46" s="4016">
        <f>N46*12</f>
        <v>83941.56</v>
      </c>
      <c r="P46" s="4017">
        <f>N46</f>
        <v>6995.13</v>
      </c>
      <c r="Q46" s="4018">
        <v>0</v>
      </c>
      <c r="R46" s="4019">
        <v>0</v>
      </c>
      <c r="S46" s="4055" t="e">
        <f>T46+U46+#REF!</f>
        <v>#REF!</v>
      </c>
      <c r="T46" s="4056">
        <v>979318.9</v>
      </c>
      <c r="U46" s="4048">
        <v>244829.55</v>
      </c>
      <c r="V46" s="3941" t="s">
        <v>3557</v>
      </c>
      <c r="W46" s="4060" t="s">
        <v>3780</v>
      </c>
      <c r="X46" s="4045" t="s">
        <v>3831</v>
      </c>
      <c r="Y46" s="4045" t="s">
        <v>3840</v>
      </c>
      <c r="Z46" s="4045" t="s">
        <v>3669</v>
      </c>
      <c r="AA46" s="3876" t="s">
        <v>3686</v>
      </c>
      <c r="AB46" s="4071">
        <v>83941.62</v>
      </c>
      <c r="AC46" s="4049" t="s">
        <v>3841</v>
      </c>
      <c r="AD46" s="4071">
        <v>27980.54</v>
      </c>
      <c r="AE46" s="4071">
        <v>20985.39</v>
      </c>
      <c r="AF46" s="4049" t="s">
        <v>3841</v>
      </c>
      <c r="AG46" s="4071">
        <v>6995.13</v>
      </c>
      <c r="AH46" s="4051">
        <v>45333</v>
      </c>
      <c r="AI46" s="3944">
        <f t="shared" si="3"/>
        <v>104927.01</v>
      </c>
      <c r="AJ46" s="4052">
        <v>83941.62</v>
      </c>
      <c r="AK46" s="4053">
        <v>20985.39</v>
      </c>
      <c r="AL46" s="4052">
        <v>0</v>
      </c>
      <c r="AO46" s="4045">
        <v>3</v>
      </c>
      <c r="AP46" s="3880">
        <f t="shared" si="0"/>
        <v>326439.63333333336</v>
      </c>
      <c r="AQ46" s="3880">
        <f t="shared" si="1"/>
        <v>81609.849999999991</v>
      </c>
    </row>
    <row r="47" spans="1:43" s="3880" customFormat="1" ht="27.95" customHeight="1">
      <c r="A47" s="3906">
        <v>50</v>
      </c>
      <c r="B47" s="4043" t="s">
        <v>3842</v>
      </c>
      <c r="C47" s="4044" t="s">
        <v>3843</v>
      </c>
      <c r="D47" s="4058">
        <v>85.16</v>
      </c>
      <c r="E47" s="4045" t="s">
        <v>3674</v>
      </c>
      <c r="F47" s="4046">
        <v>5.8</v>
      </c>
      <c r="G47" s="3885">
        <f>F47*D47*30</f>
        <v>14817.839999999998</v>
      </c>
      <c r="H47" s="4014">
        <v>15023.64</v>
      </c>
      <c r="I47" s="4014">
        <v>180283.68</v>
      </c>
      <c r="J47" s="4014">
        <v>0</v>
      </c>
      <c r="K47" s="4014">
        <v>30047.279999999999</v>
      </c>
      <c r="L47" s="4016">
        <v>0</v>
      </c>
      <c r="M47" s="4016">
        <v>0</v>
      </c>
      <c r="N47" s="4016">
        <v>0</v>
      </c>
      <c r="O47" s="4016">
        <v>0</v>
      </c>
      <c r="P47" s="4017">
        <v>0</v>
      </c>
      <c r="Q47" s="4018">
        <v>0</v>
      </c>
      <c r="R47" s="4019">
        <v>0</v>
      </c>
      <c r="S47" s="4055" t="e">
        <f>T47+U47+#REF!</f>
        <v>#REF!</v>
      </c>
      <c r="T47" s="4056">
        <v>345543.72</v>
      </c>
      <c r="U47" s="4048">
        <v>0</v>
      </c>
      <c r="V47" s="3941" t="s">
        <v>3675</v>
      </c>
      <c r="W47" s="4060" t="s">
        <v>3600</v>
      </c>
      <c r="X47" s="4045" t="s">
        <v>3831</v>
      </c>
      <c r="Y47" s="4045" t="s">
        <v>3844</v>
      </c>
      <c r="Z47" s="4045" t="s">
        <v>3669</v>
      </c>
      <c r="AA47" s="3876" t="s">
        <v>3715</v>
      </c>
      <c r="AB47" s="4061">
        <v>75118.2</v>
      </c>
      <c r="AC47" s="4049" t="s">
        <v>3845</v>
      </c>
      <c r="AD47" s="4050">
        <v>30047.279999999999</v>
      </c>
      <c r="AE47" s="4050">
        <v>0</v>
      </c>
      <c r="AF47" s="4049">
        <v>0</v>
      </c>
      <c r="AG47" s="4050">
        <v>0</v>
      </c>
      <c r="AH47" s="4051">
        <v>45395</v>
      </c>
      <c r="AI47" s="3944">
        <f t="shared" si="3"/>
        <v>90141.84</v>
      </c>
      <c r="AJ47" s="4052">
        <v>90141.84</v>
      </c>
      <c r="AK47" s="4053">
        <v>0</v>
      </c>
      <c r="AL47" s="4052">
        <v>0</v>
      </c>
      <c r="AO47" s="4045">
        <v>2</v>
      </c>
      <c r="AP47" s="3880">
        <f t="shared" si="0"/>
        <v>172771.86</v>
      </c>
      <c r="AQ47" s="3880">
        <f t="shared" si="1"/>
        <v>0</v>
      </c>
    </row>
    <row r="48" spans="1:43" s="3880" customFormat="1" ht="27.95" customHeight="1">
      <c r="A48" s="3906">
        <v>55</v>
      </c>
      <c r="B48" s="4043" t="s">
        <v>3866</v>
      </c>
      <c r="C48" s="4044" t="s">
        <v>3867</v>
      </c>
      <c r="D48" s="4058">
        <v>75</v>
      </c>
      <c r="E48" s="4045" t="s">
        <v>3674</v>
      </c>
      <c r="F48" s="4046">
        <v>5.8</v>
      </c>
      <c r="G48" s="3885">
        <f>F48*D48*30</f>
        <v>13050</v>
      </c>
      <c r="H48" s="4014">
        <v>13231.25</v>
      </c>
      <c r="I48" s="4063">
        <v>158775</v>
      </c>
      <c r="J48" s="4014">
        <v>0</v>
      </c>
      <c r="K48" s="4063">
        <v>26462.5</v>
      </c>
      <c r="L48" s="4016">
        <v>0</v>
      </c>
      <c r="M48" s="4016">
        <v>0</v>
      </c>
      <c r="N48" s="4016">
        <v>0</v>
      </c>
      <c r="O48" s="4016">
        <v>0</v>
      </c>
      <c r="P48" s="4017">
        <v>0</v>
      </c>
      <c r="Q48" s="4018">
        <v>0</v>
      </c>
      <c r="R48" s="4019">
        <v>0</v>
      </c>
      <c r="S48" s="4055" t="e">
        <f>T48+U48+#REF!</f>
        <v>#REF!</v>
      </c>
      <c r="T48" s="4056">
        <v>304318.75</v>
      </c>
      <c r="U48" s="4048">
        <v>0</v>
      </c>
      <c r="V48" s="4060" t="s">
        <v>3868</v>
      </c>
      <c r="W48" s="4060" t="s">
        <v>3600</v>
      </c>
      <c r="X48" s="4045" t="s">
        <v>3869</v>
      </c>
      <c r="Y48" s="4045" t="s">
        <v>3870</v>
      </c>
      <c r="Z48" s="4045" t="s">
        <v>3669</v>
      </c>
      <c r="AA48" s="3876" t="s">
        <v>3653</v>
      </c>
      <c r="AB48" s="4050">
        <v>26462.5</v>
      </c>
      <c r="AC48" s="4049" t="s">
        <v>3833</v>
      </c>
      <c r="AD48" s="4050">
        <v>26462.5</v>
      </c>
      <c r="AE48" s="4050">
        <v>0</v>
      </c>
      <c r="AF48" s="4049">
        <v>0</v>
      </c>
      <c r="AG48" s="4050">
        <v>0</v>
      </c>
      <c r="AH48" s="4051">
        <v>45314</v>
      </c>
      <c r="AI48" s="3944">
        <f t="shared" si="3"/>
        <v>39693.75</v>
      </c>
      <c r="AJ48" s="4052">
        <v>39693.75</v>
      </c>
      <c r="AK48" s="4053">
        <v>0</v>
      </c>
      <c r="AL48" s="4052">
        <v>0</v>
      </c>
      <c r="AO48" s="4045">
        <v>2</v>
      </c>
      <c r="AP48" s="3880">
        <f t="shared" si="0"/>
        <v>152159.375</v>
      </c>
      <c r="AQ48" s="3880">
        <f t="shared" si="1"/>
        <v>0</v>
      </c>
    </row>
    <row r="49" spans="1:43" s="3880" customFormat="1" ht="27.95" customHeight="1">
      <c r="A49" s="3906">
        <v>56</v>
      </c>
      <c r="B49" s="4043" t="s">
        <v>3871</v>
      </c>
      <c r="C49" s="4044" t="s">
        <v>3872</v>
      </c>
      <c r="D49" s="4058">
        <v>92.9</v>
      </c>
      <c r="E49" s="4045" t="s">
        <v>3674</v>
      </c>
      <c r="F49" s="4046">
        <v>3.8</v>
      </c>
      <c r="G49" s="3885">
        <f>F49*D49*30</f>
        <v>10590.599999999999</v>
      </c>
      <c r="H49" s="4014">
        <v>10737.69</v>
      </c>
      <c r="I49" s="4014">
        <v>128852.28</v>
      </c>
      <c r="J49" s="4014">
        <v>0</v>
      </c>
      <c r="K49" s="4014">
        <v>21475.38</v>
      </c>
      <c r="L49" s="4016">
        <v>0</v>
      </c>
      <c r="M49" s="4016">
        <v>0</v>
      </c>
      <c r="N49" s="4016">
        <v>0</v>
      </c>
      <c r="O49" s="4016">
        <v>0</v>
      </c>
      <c r="P49" s="4017">
        <v>0</v>
      </c>
      <c r="Q49" s="4018">
        <v>0</v>
      </c>
      <c r="R49" s="4019">
        <v>0</v>
      </c>
      <c r="S49" s="4055" t="e">
        <f>T49+U49+#REF!</f>
        <v>#REF!</v>
      </c>
      <c r="T49" s="4056">
        <v>246966.87</v>
      </c>
      <c r="U49" s="4048">
        <v>0</v>
      </c>
      <c r="V49" s="3941" t="s">
        <v>3675</v>
      </c>
      <c r="W49" s="4060" t="s">
        <v>3600</v>
      </c>
      <c r="X49" s="4045" t="s">
        <v>3873</v>
      </c>
      <c r="Y49" s="4045" t="s">
        <v>3874</v>
      </c>
      <c r="Z49" s="4045" t="s">
        <v>3669</v>
      </c>
      <c r="AA49" s="3876" t="s">
        <v>3653</v>
      </c>
      <c r="AB49" s="4050">
        <v>21475.38</v>
      </c>
      <c r="AC49" s="4049" t="s">
        <v>3875</v>
      </c>
      <c r="AD49" s="4050">
        <v>21475.38</v>
      </c>
      <c r="AE49" s="4050">
        <v>0</v>
      </c>
      <c r="AF49" s="4049">
        <v>0</v>
      </c>
      <c r="AG49" s="4050">
        <v>0</v>
      </c>
      <c r="AH49" s="4051">
        <v>45335</v>
      </c>
      <c r="AI49" s="3944">
        <f t="shared" si="3"/>
        <v>32213.07</v>
      </c>
      <c r="AJ49" s="4052">
        <v>32213.07</v>
      </c>
      <c r="AK49" s="4053">
        <v>0</v>
      </c>
      <c r="AL49" s="4052">
        <v>0</v>
      </c>
      <c r="AO49" s="4045">
        <v>2</v>
      </c>
      <c r="AP49" s="3880">
        <f t="shared" si="0"/>
        <v>123483.435</v>
      </c>
      <c r="AQ49" s="3880">
        <f t="shared" si="1"/>
        <v>0</v>
      </c>
    </row>
    <row r="50" spans="1:43" s="3880" customFormat="1" ht="27.95" customHeight="1">
      <c r="A50" s="3906">
        <v>57</v>
      </c>
      <c r="B50" s="4054" t="s">
        <v>3876</v>
      </c>
      <c r="C50" s="4066" t="s">
        <v>3767</v>
      </c>
      <c r="D50" s="4058">
        <v>63.42</v>
      </c>
      <c r="E50" s="4045" t="s">
        <v>3674</v>
      </c>
      <c r="F50" s="4046">
        <v>4</v>
      </c>
      <c r="G50" s="3885">
        <f>F50*D50*30</f>
        <v>7610.4000000000005</v>
      </c>
      <c r="H50" s="4063">
        <v>7716.1</v>
      </c>
      <c r="I50" s="4063">
        <v>92593.2</v>
      </c>
      <c r="J50" s="4014">
        <v>0</v>
      </c>
      <c r="K50" s="4063">
        <v>15432.2</v>
      </c>
      <c r="L50" s="4016">
        <v>0</v>
      </c>
      <c r="M50" s="4016">
        <v>0</v>
      </c>
      <c r="N50" s="4016">
        <v>0</v>
      </c>
      <c r="O50" s="4016">
        <v>0</v>
      </c>
      <c r="P50" s="4017">
        <v>0</v>
      </c>
      <c r="Q50" s="4018">
        <v>0</v>
      </c>
      <c r="R50" s="4019">
        <v>0</v>
      </c>
      <c r="S50" s="4055" t="e">
        <f>T50+U50+#REF!</f>
        <v>#REF!</v>
      </c>
      <c r="T50" s="4056">
        <v>185186.4</v>
      </c>
      <c r="U50" s="4048">
        <v>0</v>
      </c>
      <c r="V50" s="3941" t="s">
        <v>3675</v>
      </c>
      <c r="W50" s="4060" t="s">
        <v>3600</v>
      </c>
      <c r="X50" s="4045" t="s">
        <v>3877</v>
      </c>
      <c r="Y50" s="4045" t="s">
        <v>3878</v>
      </c>
      <c r="Z50" s="4045">
        <v>0</v>
      </c>
      <c r="AA50" s="3876" t="s">
        <v>3653</v>
      </c>
      <c r="AB50" s="4061">
        <v>23148.3</v>
      </c>
      <c r="AC50" s="4049" t="s">
        <v>3879</v>
      </c>
      <c r="AD50" s="4061">
        <v>15432.2</v>
      </c>
      <c r="AE50" s="4050">
        <v>0</v>
      </c>
      <c r="AF50" s="4049">
        <v>0</v>
      </c>
      <c r="AG50" s="4050">
        <v>0</v>
      </c>
      <c r="AH50" s="4051">
        <v>45345</v>
      </c>
      <c r="AI50" s="4009">
        <f t="shared" si="3"/>
        <v>23148.3</v>
      </c>
      <c r="AJ50" s="4062">
        <v>23148.3</v>
      </c>
      <c r="AK50" s="4053">
        <v>0</v>
      </c>
      <c r="AL50" s="4052">
        <v>0</v>
      </c>
      <c r="AO50" s="4045">
        <v>2</v>
      </c>
      <c r="AP50" s="3880">
        <f t="shared" si="0"/>
        <v>92593.2</v>
      </c>
      <c r="AQ50" s="3880">
        <f t="shared" si="1"/>
        <v>0</v>
      </c>
    </row>
    <row r="51" spans="1:43" s="3880" customFormat="1" ht="35.1" customHeight="1">
      <c r="A51" s="3906">
        <v>58</v>
      </c>
      <c r="B51" s="4064" t="s">
        <v>3880</v>
      </c>
      <c r="C51" s="4044" t="s">
        <v>3881</v>
      </c>
      <c r="D51" s="4058">
        <v>81.72</v>
      </c>
      <c r="E51" s="4045" t="s">
        <v>3674</v>
      </c>
      <c r="F51" s="4046">
        <v>5.5</v>
      </c>
      <c r="G51" s="3885">
        <f>F51*D51*30</f>
        <v>13483.8</v>
      </c>
      <c r="H51" s="4014">
        <v>13671.08</v>
      </c>
      <c r="I51" s="4014">
        <v>164052.96</v>
      </c>
      <c r="J51" s="4014">
        <v>0</v>
      </c>
      <c r="K51" s="4014">
        <v>27342.16</v>
      </c>
      <c r="L51" s="4016">
        <v>0</v>
      </c>
      <c r="M51" s="4016">
        <v>0</v>
      </c>
      <c r="N51" s="4016">
        <v>0</v>
      </c>
      <c r="O51" s="4016">
        <v>0</v>
      </c>
      <c r="P51" s="4017">
        <v>0</v>
      </c>
      <c r="Q51" s="4018">
        <v>0</v>
      </c>
      <c r="R51" s="4019">
        <v>0</v>
      </c>
      <c r="S51" s="4055" t="e">
        <f>T51+U51+#REF!</f>
        <v>#REF!</v>
      </c>
      <c r="T51" s="4056">
        <v>314434.84000000003</v>
      </c>
      <c r="U51" s="4048">
        <v>0</v>
      </c>
      <c r="V51" s="3941" t="s">
        <v>3868</v>
      </c>
      <c r="W51" s="4060" t="s">
        <v>3600</v>
      </c>
      <c r="X51" s="4045" t="s">
        <v>3873</v>
      </c>
      <c r="Y51" s="4045" t="s">
        <v>3878</v>
      </c>
      <c r="Z51" s="4045" t="s">
        <v>3669</v>
      </c>
      <c r="AA51" s="3876" t="s">
        <v>3653</v>
      </c>
      <c r="AB51" s="4050">
        <v>27342.16</v>
      </c>
      <c r="AC51" s="4049" t="s">
        <v>3882</v>
      </c>
      <c r="AD51" s="4050">
        <v>27342.16</v>
      </c>
      <c r="AE51" s="4050">
        <v>0</v>
      </c>
      <c r="AF51" s="4049">
        <v>0</v>
      </c>
      <c r="AG51" s="4050">
        <v>0</v>
      </c>
      <c r="AH51" s="4051">
        <v>45345</v>
      </c>
      <c r="AI51" s="3944">
        <f t="shared" si="3"/>
        <v>41013.24</v>
      </c>
      <c r="AJ51" s="4052">
        <v>41013.24</v>
      </c>
      <c r="AK51" s="4053">
        <v>0</v>
      </c>
      <c r="AL51" s="4052">
        <v>0</v>
      </c>
      <c r="AO51" s="4045">
        <v>2</v>
      </c>
      <c r="AP51" s="3880">
        <f t="shared" si="0"/>
        <v>157217.42000000001</v>
      </c>
      <c r="AQ51" s="3880">
        <f t="shared" si="1"/>
        <v>0</v>
      </c>
    </row>
    <row r="52" spans="1:43" s="3880" customFormat="1" ht="27.95" customHeight="1">
      <c r="A52" s="3906">
        <v>59</v>
      </c>
      <c r="B52" s="4043" t="s">
        <v>3883</v>
      </c>
      <c r="C52" s="4044" t="s">
        <v>3884</v>
      </c>
      <c r="D52" s="4058">
        <v>3404.04</v>
      </c>
      <c r="E52" s="4045" t="s">
        <v>3554</v>
      </c>
      <c r="F52" s="4046">
        <v>5.31</v>
      </c>
      <c r="G52" s="3885">
        <f>F52*D52*30</f>
        <v>542263.57199999993</v>
      </c>
      <c r="H52" s="4014">
        <v>549795.01</v>
      </c>
      <c r="I52" s="4014">
        <v>6183381.9299999997</v>
      </c>
      <c r="J52" s="4014" t="s">
        <v>3633</v>
      </c>
      <c r="K52" s="4063">
        <v>1242474.6000000001</v>
      </c>
      <c r="L52" s="4016">
        <v>1.1000000000000001</v>
      </c>
      <c r="M52" s="4016">
        <v>0</v>
      </c>
      <c r="N52" s="4016">
        <v>113893.51</v>
      </c>
      <c r="O52" s="4016">
        <v>1366722.12</v>
      </c>
      <c r="P52" s="4017">
        <v>341680.53</v>
      </c>
      <c r="Q52" s="4018">
        <v>0</v>
      </c>
      <c r="R52" s="4019">
        <v>0</v>
      </c>
      <c r="S52" s="4055" t="e">
        <f>T52+U52+#REF!</f>
        <v>#REF!</v>
      </c>
      <c r="T52" s="4056">
        <v>56603001.219999999</v>
      </c>
      <c r="U52" s="4048">
        <v>13553327.689999999</v>
      </c>
      <c r="V52" s="3941" t="s">
        <v>3557</v>
      </c>
      <c r="W52" s="4060" t="s">
        <v>3885</v>
      </c>
      <c r="X52" s="4045" t="s">
        <v>3886</v>
      </c>
      <c r="Y52" s="4045" t="s">
        <v>3887</v>
      </c>
      <c r="Z52" s="4045" t="s">
        <v>3669</v>
      </c>
      <c r="AA52" s="4049" t="s">
        <v>3764</v>
      </c>
      <c r="AB52" s="4050">
        <v>6183381.9299999997</v>
      </c>
      <c r="AC52" s="4049" t="s">
        <v>3888</v>
      </c>
      <c r="AD52" s="4061">
        <v>1242474.6000000001</v>
      </c>
      <c r="AE52" s="4050">
        <v>1252828.6100000001</v>
      </c>
      <c r="AF52" s="4049" t="s">
        <v>3888</v>
      </c>
      <c r="AG52" s="4050">
        <v>341680.53</v>
      </c>
      <c r="AH52" s="4051">
        <v>45651</v>
      </c>
      <c r="AI52" s="3944">
        <f t="shared" si="3"/>
        <v>7964262.25</v>
      </c>
      <c r="AJ52" s="4052">
        <v>6597540.1299999999</v>
      </c>
      <c r="AK52" s="4053">
        <v>1366722.12</v>
      </c>
      <c r="AL52" s="4052">
        <v>0</v>
      </c>
      <c r="AO52" s="4045">
        <v>10</v>
      </c>
      <c r="AP52" s="3880">
        <f t="shared" si="0"/>
        <v>5660300.1219999995</v>
      </c>
      <c r="AQ52" s="3880">
        <f t="shared" si="1"/>
        <v>1355332.7689999999</v>
      </c>
    </row>
    <row r="53" spans="1:43" s="3880" customFormat="1" ht="27.95" customHeight="1">
      <c r="A53" s="3906">
        <v>60</v>
      </c>
      <c r="B53" s="4043" t="s">
        <v>3889</v>
      </c>
      <c r="C53" s="4044" t="s">
        <v>3890</v>
      </c>
      <c r="D53" s="4058">
        <v>100.74</v>
      </c>
      <c r="E53" s="4045" t="s">
        <v>3674</v>
      </c>
      <c r="F53" s="4046">
        <v>4</v>
      </c>
      <c r="G53" s="3885">
        <f>F53*D53*30</f>
        <v>12088.8</v>
      </c>
      <c r="H53" s="4063">
        <v>12256.7</v>
      </c>
      <c r="I53" s="4063">
        <v>147080.4</v>
      </c>
      <c r="J53" s="4014">
        <v>0</v>
      </c>
      <c r="K53" s="4063">
        <v>24513.4</v>
      </c>
      <c r="L53" s="4016">
        <v>0</v>
      </c>
      <c r="M53" s="4016">
        <v>0</v>
      </c>
      <c r="N53" s="4016">
        <v>0</v>
      </c>
      <c r="O53" s="4016">
        <v>0</v>
      </c>
      <c r="P53" s="4017">
        <v>0</v>
      </c>
      <c r="Q53" s="4018">
        <v>0</v>
      </c>
      <c r="R53" s="4019">
        <v>0</v>
      </c>
      <c r="S53" s="4055" t="e">
        <f>T53+U53+#REF!</f>
        <v>#REF!</v>
      </c>
      <c r="T53" s="4072">
        <v>281904.09999999998</v>
      </c>
      <c r="U53" s="4048">
        <v>0</v>
      </c>
      <c r="V53" s="3941" t="s">
        <v>3675</v>
      </c>
      <c r="W53" s="4060" t="s">
        <v>3600</v>
      </c>
      <c r="X53" s="4045" t="s">
        <v>3891</v>
      </c>
      <c r="Y53" s="4045" t="s">
        <v>3892</v>
      </c>
      <c r="Z53" s="4045" t="s">
        <v>3669</v>
      </c>
      <c r="AA53" s="3876" t="s">
        <v>3653</v>
      </c>
      <c r="AB53" s="4061">
        <v>24513.4</v>
      </c>
      <c r="AC53" s="4049" t="s">
        <v>3893</v>
      </c>
      <c r="AD53" s="4061">
        <v>24513.4</v>
      </c>
      <c r="AE53" s="4050">
        <v>0</v>
      </c>
      <c r="AF53" s="4049">
        <v>0</v>
      </c>
      <c r="AG53" s="4050">
        <v>0</v>
      </c>
      <c r="AH53" s="4051">
        <v>45385</v>
      </c>
      <c r="AI53" s="4009">
        <f t="shared" si="3"/>
        <v>36770.1</v>
      </c>
      <c r="AJ53" s="4062">
        <v>36770.1</v>
      </c>
      <c r="AK53" s="4053">
        <v>0</v>
      </c>
      <c r="AL53" s="4052">
        <v>0</v>
      </c>
      <c r="AO53" s="4045">
        <v>2</v>
      </c>
      <c r="AP53" s="3880">
        <f t="shared" si="0"/>
        <v>140952.04999999999</v>
      </c>
      <c r="AQ53" s="3880">
        <f t="shared" si="1"/>
        <v>0</v>
      </c>
    </row>
    <row r="54" spans="1:43" s="3880" customFormat="1" ht="27.95" customHeight="1">
      <c r="A54" s="3906">
        <v>61</v>
      </c>
      <c r="B54" s="4043" t="s">
        <v>3894</v>
      </c>
      <c r="C54" s="4044" t="s">
        <v>3895</v>
      </c>
      <c r="D54" s="4058">
        <v>200</v>
      </c>
      <c r="E54" s="4045" t="s">
        <v>3674</v>
      </c>
      <c r="F54" s="4063">
        <v>6.39</v>
      </c>
      <c r="G54" s="3885">
        <f>F54*D54*30</f>
        <v>38340</v>
      </c>
      <c r="H54" s="4014">
        <v>38872.5</v>
      </c>
      <c r="I54" s="4014">
        <v>466470</v>
      </c>
      <c r="J54" s="4014">
        <v>0</v>
      </c>
      <c r="K54" s="4014">
        <v>0</v>
      </c>
      <c r="L54" s="4016">
        <v>1.1000000000000001</v>
      </c>
      <c r="M54" s="4016">
        <v>0</v>
      </c>
      <c r="N54" s="4016">
        <v>6691.67</v>
      </c>
      <c r="O54" s="4016">
        <v>80300.039999999994</v>
      </c>
      <c r="P54" s="4017">
        <v>0</v>
      </c>
      <c r="Q54" s="4018">
        <v>0</v>
      </c>
      <c r="R54" s="4019">
        <v>0</v>
      </c>
      <c r="S54" s="4055" t="e">
        <f>T54+U54+#REF!</f>
        <v>#REF!</v>
      </c>
      <c r="T54" s="4056">
        <v>932940</v>
      </c>
      <c r="U54" s="4048">
        <v>160600.07999999999</v>
      </c>
      <c r="V54" s="3941" t="s">
        <v>3557</v>
      </c>
      <c r="W54" s="4060" t="s">
        <v>3885</v>
      </c>
      <c r="X54" s="4045" t="s">
        <v>3896</v>
      </c>
      <c r="Y54" s="4045" t="s">
        <v>3897</v>
      </c>
      <c r="Z54" s="4045">
        <v>0</v>
      </c>
      <c r="AA54" s="4049" t="s">
        <v>3898</v>
      </c>
      <c r="AB54" s="4061">
        <v>466470</v>
      </c>
      <c r="AC54" s="4049" t="s">
        <v>3899</v>
      </c>
      <c r="AD54" s="4050">
        <v>0</v>
      </c>
      <c r="AE54" s="4050">
        <v>80300.039999999994</v>
      </c>
      <c r="AF54" s="4049" t="s">
        <v>3899</v>
      </c>
      <c r="AG54" s="4050">
        <v>0</v>
      </c>
      <c r="AH54" s="4051">
        <v>45705</v>
      </c>
      <c r="AI54" s="3944">
        <f t="shared" si="3"/>
        <v>546770.04</v>
      </c>
      <c r="AJ54" s="4052">
        <v>466470</v>
      </c>
      <c r="AK54" s="4053">
        <v>80300.039999999994</v>
      </c>
      <c r="AL54" s="4052">
        <v>0</v>
      </c>
      <c r="AO54" s="4045">
        <v>2</v>
      </c>
      <c r="AP54" s="3880">
        <f t="shared" si="0"/>
        <v>466470</v>
      </c>
      <c r="AQ54" s="3880">
        <f t="shared" si="1"/>
        <v>80300.039999999994</v>
      </c>
    </row>
    <row r="55" spans="1:43" s="3880" customFormat="1" ht="27.95" customHeight="1">
      <c r="A55" s="3906">
        <v>63</v>
      </c>
      <c r="B55" s="4043" t="s">
        <v>3903</v>
      </c>
      <c r="C55" s="4044" t="s">
        <v>3904</v>
      </c>
      <c r="D55" s="4058">
        <v>69.459999999999994</v>
      </c>
      <c r="E55" s="4045" t="s">
        <v>3625</v>
      </c>
      <c r="F55" s="4046">
        <v>4</v>
      </c>
      <c r="G55" s="3885">
        <f>F55*D55*30</f>
        <v>8335.1999999999989</v>
      </c>
      <c r="H55" s="4014">
        <v>8450.9699999999993</v>
      </c>
      <c r="I55" s="4014">
        <v>101411.64</v>
      </c>
      <c r="J55" s="4014">
        <v>0</v>
      </c>
      <c r="K55" s="4014">
        <v>0</v>
      </c>
      <c r="L55" s="4016">
        <v>0</v>
      </c>
      <c r="M55" s="4016">
        <v>0</v>
      </c>
      <c r="N55" s="4016">
        <v>0</v>
      </c>
      <c r="O55" s="4016">
        <v>0</v>
      </c>
      <c r="P55" s="4017">
        <v>0</v>
      </c>
      <c r="Q55" s="4018">
        <v>0</v>
      </c>
      <c r="R55" s="4019">
        <v>0</v>
      </c>
      <c r="S55" s="4055" t="e">
        <f>T55+U55+#REF!</f>
        <v>#REF!</v>
      </c>
      <c r="T55" s="4056">
        <v>92960.67</v>
      </c>
      <c r="U55" s="4048">
        <v>16901.939999999999</v>
      </c>
      <c r="V55" s="3941" t="s">
        <v>3675</v>
      </c>
      <c r="W55" s="4060" t="s">
        <v>3600</v>
      </c>
      <c r="X55" s="4045" t="s">
        <v>3905</v>
      </c>
      <c r="Y55" s="4045" t="s">
        <v>3906</v>
      </c>
      <c r="Z55" s="4045" t="s">
        <v>3669</v>
      </c>
      <c r="AA55" s="3876" t="s">
        <v>3653</v>
      </c>
      <c r="AB55" s="4050">
        <v>16901.939999999999</v>
      </c>
      <c r="AC55" s="4049" t="s">
        <v>3907</v>
      </c>
      <c r="AD55" s="4050">
        <v>16901.939999999999</v>
      </c>
      <c r="AE55" s="4049"/>
      <c r="AF55" s="4049"/>
      <c r="AG55" s="4050"/>
      <c r="AH55" s="4051">
        <v>45446</v>
      </c>
      <c r="AI55" s="3944">
        <f t="shared" si="3"/>
        <v>25352.91</v>
      </c>
      <c r="AJ55" s="4052">
        <v>25352.91</v>
      </c>
      <c r="AK55" s="4053">
        <v>0</v>
      </c>
      <c r="AL55" s="4052">
        <v>0</v>
      </c>
      <c r="AO55" s="4045">
        <v>1</v>
      </c>
      <c r="AP55" s="3880">
        <f t="shared" si="0"/>
        <v>92960.67</v>
      </c>
      <c r="AQ55" s="3880">
        <f t="shared" si="1"/>
        <v>16901.939999999999</v>
      </c>
    </row>
    <row r="56" spans="1:43" s="3880" customFormat="1" ht="27.95" customHeight="1">
      <c r="A56" s="3906">
        <v>64</v>
      </c>
      <c r="B56" s="4043" t="s">
        <v>3908</v>
      </c>
      <c r="C56" s="4044" t="s">
        <v>3909</v>
      </c>
      <c r="D56" s="4073">
        <v>109.1</v>
      </c>
      <c r="E56" s="4045" t="s">
        <v>3625</v>
      </c>
      <c r="F56" s="4046">
        <v>4.7</v>
      </c>
      <c r="G56" s="3885">
        <f>F56*D56*30</f>
        <v>15383.099999999999</v>
      </c>
      <c r="H56" s="4014">
        <v>15596.75</v>
      </c>
      <c r="I56" s="4063">
        <v>187161</v>
      </c>
      <c r="J56" s="4014">
        <v>0</v>
      </c>
      <c r="K56" s="4014">
        <v>46790.25</v>
      </c>
      <c r="L56" s="4016">
        <v>1.1000000000000001</v>
      </c>
      <c r="M56" s="4016">
        <v>0</v>
      </c>
      <c r="N56" s="4074">
        <v>3650.3</v>
      </c>
      <c r="O56" s="4074">
        <v>43803.6</v>
      </c>
      <c r="P56" s="4075">
        <v>10950.9</v>
      </c>
      <c r="Q56" s="4018">
        <v>0</v>
      </c>
      <c r="R56" s="4019">
        <v>0</v>
      </c>
      <c r="S56" s="4055" t="e">
        <f>T56+U56+#REF!</f>
        <v>#REF!</v>
      </c>
      <c r="T56" s="4056">
        <v>179469.45</v>
      </c>
      <c r="U56" s="4048">
        <v>43803.6</v>
      </c>
      <c r="V56" s="3941" t="s">
        <v>3557</v>
      </c>
      <c r="W56" s="4060" t="s">
        <v>3885</v>
      </c>
      <c r="X56" s="4045" t="s">
        <v>3905</v>
      </c>
      <c r="Y56" s="4045" t="s">
        <v>3910</v>
      </c>
      <c r="Z56" s="4045" t="s">
        <v>3911</v>
      </c>
      <c r="AA56" s="3876" t="s">
        <v>3643</v>
      </c>
      <c r="AB56" s="4061">
        <v>39098.699999999997</v>
      </c>
      <c r="AC56" s="4049" t="s">
        <v>3912</v>
      </c>
      <c r="AD56" s="4050">
        <v>46790.25</v>
      </c>
      <c r="AE56" s="4061">
        <v>10950.9</v>
      </c>
      <c r="AF56" s="4049" t="s">
        <v>3913</v>
      </c>
      <c r="AG56" s="4061">
        <v>10950.9</v>
      </c>
      <c r="AH56" s="4051">
        <v>45440</v>
      </c>
      <c r="AI56" s="3944">
        <f t="shared" si="3"/>
        <v>57741.15</v>
      </c>
      <c r="AJ56" s="4052">
        <v>46790.25</v>
      </c>
      <c r="AK56" s="4076">
        <v>10950.9</v>
      </c>
      <c r="AL56" s="4052">
        <v>0</v>
      </c>
      <c r="AO56" s="4045">
        <v>1</v>
      </c>
      <c r="AP56" s="3880">
        <f t="shared" si="0"/>
        <v>179469.45</v>
      </c>
      <c r="AQ56" s="3880">
        <f t="shared" si="1"/>
        <v>43803.6</v>
      </c>
    </row>
    <row r="57" spans="1:43" s="3880" customFormat="1" ht="27.95" customHeight="1">
      <c r="A57" s="3906">
        <v>66</v>
      </c>
      <c r="B57" s="4043" t="s">
        <v>3917</v>
      </c>
      <c r="C57" s="4044" t="s">
        <v>3918</v>
      </c>
      <c r="D57" s="4058">
        <v>314.12</v>
      </c>
      <c r="E57" s="4045" t="s">
        <v>3696</v>
      </c>
      <c r="F57" s="4046">
        <v>4.5999999999999996</v>
      </c>
      <c r="G57" s="3885">
        <f>F57*D57*30</f>
        <v>43348.56</v>
      </c>
      <c r="H57" s="4014">
        <v>43950.62</v>
      </c>
      <c r="I57" s="4014">
        <v>527407.43999999994</v>
      </c>
      <c r="J57" s="4014">
        <v>0</v>
      </c>
      <c r="K57" s="4014">
        <v>131851.85999999999</v>
      </c>
      <c r="L57" s="4016">
        <v>0</v>
      </c>
      <c r="M57" s="4016">
        <v>0</v>
      </c>
      <c r="N57" s="4016">
        <v>0</v>
      </c>
      <c r="O57" s="4016">
        <v>0</v>
      </c>
      <c r="P57" s="4017">
        <v>0</v>
      </c>
      <c r="Q57" s="4018">
        <v>0</v>
      </c>
      <c r="R57" s="4019">
        <v>0</v>
      </c>
      <c r="S57" s="4055" t="e">
        <f>T57+U57+#REF!</f>
        <v>#REF!</v>
      </c>
      <c r="T57" s="4056">
        <v>1582222.32</v>
      </c>
      <c r="U57" s="4048">
        <v>0</v>
      </c>
      <c r="V57" s="3941" t="s">
        <v>3675</v>
      </c>
      <c r="W57" s="4060" t="s">
        <v>3600</v>
      </c>
      <c r="X57" s="4045" t="s">
        <v>3919</v>
      </c>
      <c r="Y57" s="4045" t="s">
        <v>3920</v>
      </c>
      <c r="Z57" s="4045">
        <v>0</v>
      </c>
      <c r="AA57" s="3876" t="s">
        <v>3643</v>
      </c>
      <c r="AB57" s="4050"/>
      <c r="AC57" s="4049"/>
      <c r="AD57" s="4050"/>
      <c r="AE57" s="4049"/>
      <c r="AF57" s="4049"/>
      <c r="AG57" s="4050"/>
      <c r="AH57" s="4051">
        <v>45429</v>
      </c>
      <c r="AI57" s="3944">
        <f t="shared" si="3"/>
        <v>131851.85999999999</v>
      </c>
      <c r="AJ57" s="4052">
        <v>131851.85999999999</v>
      </c>
      <c r="AK57" s="4053">
        <v>0</v>
      </c>
      <c r="AL57" s="4052">
        <v>0</v>
      </c>
      <c r="AO57" s="4045">
        <v>3</v>
      </c>
      <c r="AP57" s="3880">
        <f t="shared" si="0"/>
        <v>527407.44000000006</v>
      </c>
      <c r="AQ57" s="3880">
        <f t="shared" si="1"/>
        <v>0</v>
      </c>
    </row>
    <row r="58" spans="1:43" s="3880" customFormat="1" ht="27.95" customHeight="1">
      <c r="A58" s="3906">
        <v>67</v>
      </c>
      <c r="B58" s="4043" t="s">
        <v>3921</v>
      </c>
      <c r="C58" s="4044" t="s">
        <v>3922</v>
      </c>
      <c r="D58" s="4058">
        <v>90.91</v>
      </c>
      <c r="E58" s="4045" t="s">
        <v>3696</v>
      </c>
      <c r="F58" s="4046">
        <v>4.5999999999999996</v>
      </c>
      <c r="G58" s="3885">
        <f>F58*D58*30</f>
        <v>12545.58</v>
      </c>
      <c r="H58" s="4014">
        <v>12719.82</v>
      </c>
      <c r="I58" s="4014">
        <v>152637.84</v>
      </c>
      <c r="J58" s="4014">
        <v>0</v>
      </c>
      <c r="K58" s="4014">
        <v>38159.46</v>
      </c>
      <c r="L58" s="4016">
        <v>0</v>
      </c>
      <c r="M58" s="4016">
        <v>0</v>
      </c>
      <c r="N58" s="4016">
        <v>0</v>
      </c>
      <c r="O58" s="4016">
        <v>0</v>
      </c>
      <c r="P58" s="4017">
        <v>0</v>
      </c>
      <c r="Q58" s="4018">
        <v>0</v>
      </c>
      <c r="R58" s="4019">
        <v>0</v>
      </c>
      <c r="S58" s="4055" t="e">
        <f>T58+U58+#REF!</f>
        <v>#REF!</v>
      </c>
      <c r="T58" s="4056">
        <v>457913.52</v>
      </c>
      <c r="U58" s="4048">
        <v>0</v>
      </c>
      <c r="V58" s="3941" t="s">
        <v>3675</v>
      </c>
      <c r="W58" s="4060" t="s">
        <v>3600</v>
      </c>
      <c r="X58" s="4045" t="s">
        <v>3923</v>
      </c>
      <c r="Y58" s="4045" t="s">
        <v>3924</v>
      </c>
      <c r="Z58" s="4045">
        <v>0</v>
      </c>
      <c r="AA58" s="3876" t="s">
        <v>3643</v>
      </c>
      <c r="AB58" s="4050"/>
      <c r="AC58" s="4049"/>
      <c r="AD58" s="4050"/>
      <c r="AE58" s="4049"/>
      <c r="AF58" s="4049"/>
      <c r="AG58" s="4050"/>
      <c r="AH58" s="4051">
        <v>45451</v>
      </c>
      <c r="AI58" s="3944">
        <f t="shared" si="3"/>
        <v>38159.46</v>
      </c>
      <c r="AJ58" s="4052">
        <v>38159.46</v>
      </c>
      <c r="AK58" s="4053">
        <v>0</v>
      </c>
      <c r="AL58" s="4052">
        <v>0</v>
      </c>
      <c r="AO58" s="4045">
        <v>3</v>
      </c>
      <c r="AP58" s="3880">
        <f t="shared" si="0"/>
        <v>152637.84</v>
      </c>
      <c r="AQ58" s="3880">
        <f t="shared" si="1"/>
        <v>0</v>
      </c>
    </row>
    <row r="59" spans="1:43" s="3880" customFormat="1" ht="27.95" customHeight="1">
      <c r="A59" s="3906">
        <v>68</v>
      </c>
      <c r="B59" s="4043" t="s">
        <v>3925</v>
      </c>
      <c r="C59" s="4044" t="s">
        <v>3767</v>
      </c>
      <c r="D59" s="4058">
        <v>63.42</v>
      </c>
      <c r="E59" s="4045" t="s">
        <v>3625</v>
      </c>
      <c r="F59" s="4046">
        <v>4</v>
      </c>
      <c r="G59" s="3885">
        <f>F59*D59*30</f>
        <v>7610.4000000000005</v>
      </c>
      <c r="H59" s="4063">
        <v>7716.1</v>
      </c>
      <c r="I59" s="4063">
        <v>92593.2</v>
      </c>
      <c r="J59" s="4014">
        <v>0</v>
      </c>
      <c r="K59" s="4063">
        <v>15432.2</v>
      </c>
      <c r="L59" s="4016">
        <v>0</v>
      </c>
      <c r="M59" s="4016">
        <v>0</v>
      </c>
      <c r="N59" s="4016">
        <v>0</v>
      </c>
      <c r="O59" s="4016">
        <v>0</v>
      </c>
      <c r="P59" s="4017">
        <v>0</v>
      </c>
      <c r="Q59" s="4018">
        <v>0</v>
      </c>
      <c r="R59" s="4019">
        <v>0</v>
      </c>
      <c r="S59" s="4055" t="e">
        <f>T59+U59+#REF!</f>
        <v>#REF!</v>
      </c>
      <c r="T59" s="4056">
        <v>88735.15</v>
      </c>
      <c r="U59" s="4048">
        <v>0</v>
      </c>
      <c r="V59" s="3941" t="s">
        <v>3675</v>
      </c>
      <c r="W59" s="4060" t="s">
        <v>3600</v>
      </c>
      <c r="X59" s="4045" t="s">
        <v>3919</v>
      </c>
      <c r="Y59" s="4045" t="s">
        <v>3926</v>
      </c>
      <c r="Z59" s="4045" t="s">
        <v>3927</v>
      </c>
      <c r="AA59" s="3876" t="s">
        <v>3653</v>
      </c>
      <c r="AB59" s="4050">
        <v>19290.25</v>
      </c>
      <c r="AC59" s="4049" t="s">
        <v>3928</v>
      </c>
      <c r="AD59" s="4061">
        <v>15432.2</v>
      </c>
      <c r="AE59" s="4049"/>
      <c r="AF59" s="4049"/>
      <c r="AG59" s="4050"/>
      <c r="AH59" s="4051">
        <v>45451</v>
      </c>
      <c r="AI59" s="4009">
        <f t="shared" si="3"/>
        <v>23148.3</v>
      </c>
      <c r="AJ59" s="4062">
        <v>23148.3</v>
      </c>
      <c r="AK59" s="4053">
        <v>0</v>
      </c>
      <c r="AL59" s="4052">
        <v>0</v>
      </c>
      <c r="AO59" s="4045">
        <v>1</v>
      </c>
      <c r="AP59" s="3880">
        <f t="shared" si="0"/>
        <v>88735.15</v>
      </c>
      <c r="AQ59" s="3880">
        <f t="shared" si="1"/>
        <v>0</v>
      </c>
    </row>
    <row r="60" spans="1:43" s="3880" customFormat="1" ht="27.95" customHeight="1">
      <c r="A60" s="3906">
        <v>69</v>
      </c>
      <c r="B60" s="4043" t="s">
        <v>3929</v>
      </c>
      <c r="C60" s="4044" t="s">
        <v>3816</v>
      </c>
      <c r="D60" s="4058">
        <v>92.9</v>
      </c>
      <c r="E60" s="4045" t="s">
        <v>3674</v>
      </c>
      <c r="F60" s="4046">
        <v>3.8</v>
      </c>
      <c r="G60" s="3885">
        <f>F60*D60*30</f>
        <v>10590.599999999999</v>
      </c>
      <c r="H60" s="4014">
        <v>10737.69</v>
      </c>
      <c r="I60" s="4014">
        <v>128852.28</v>
      </c>
      <c r="J60" s="4014">
        <v>0</v>
      </c>
      <c r="K60" s="4014">
        <v>21475.38</v>
      </c>
      <c r="L60" s="4016">
        <v>0</v>
      </c>
      <c r="M60" s="4016">
        <v>0</v>
      </c>
      <c r="N60" s="4016">
        <v>0</v>
      </c>
      <c r="O60" s="4016">
        <v>0</v>
      </c>
      <c r="P60" s="4017">
        <v>0</v>
      </c>
      <c r="Q60" s="4018">
        <v>0</v>
      </c>
      <c r="R60" s="4019">
        <v>0</v>
      </c>
      <c r="S60" s="4055" t="e">
        <f>T60+U60+#REF!</f>
        <v>#REF!</v>
      </c>
      <c r="T60" s="4056">
        <v>246966.87</v>
      </c>
      <c r="U60" s="4048">
        <v>0</v>
      </c>
      <c r="V60" s="3941" t="s">
        <v>3675</v>
      </c>
      <c r="W60" s="4060" t="s">
        <v>3600</v>
      </c>
      <c r="X60" s="4045" t="s">
        <v>3930</v>
      </c>
      <c r="Y60" s="4045" t="s">
        <v>3931</v>
      </c>
      <c r="Z60" s="4045" t="s">
        <v>3669</v>
      </c>
      <c r="AA60" s="3876" t="s">
        <v>3715</v>
      </c>
      <c r="AB60" s="4050">
        <v>53688.45</v>
      </c>
      <c r="AC60" s="4049" t="s">
        <v>3932</v>
      </c>
      <c r="AD60" s="4050">
        <v>21475.38</v>
      </c>
      <c r="AE60" s="4049"/>
      <c r="AF60" s="4049"/>
      <c r="AG60" s="4050"/>
      <c r="AH60" s="4051" t="s">
        <v>3933</v>
      </c>
      <c r="AI60" s="4009">
        <f t="shared" si="3"/>
        <v>64426.14</v>
      </c>
      <c r="AJ60" s="4052">
        <v>64426.14</v>
      </c>
      <c r="AK60" s="4053">
        <v>0</v>
      </c>
      <c r="AL60" s="4052">
        <v>0</v>
      </c>
      <c r="AO60" s="4045">
        <v>2</v>
      </c>
      <c r="AP60" s="3880">
        <f t="shared" si="0"/>
        <v>123483.435</v>
      </c>
      <c r="AQ60" s="3880">
        <f t="shared" si="1"/>
        <v>0</v>
      </c>
    </row>
    <row r="61" spans="1:43">
      <c r="C61" s="4113">
        <v>33521.360000000001</v>
      </c>
      <c r="D61" s="4113">
        <f>SUM(D8:D60)</f>
        <v>19311.979999999996</v>
      </c>
      <c r="F61" s="4113">
        <f>I61/D61/365</f>
        <v>4.9625583889463636</v>
      </c>
      <c r="I61" s="4113">
        <f>SUM(I8:I60)</f>
        <v>34980442.349999994</v>
      </c>
      <c r="T61" s="4113">
        <f>SUM(T8:T60)</f>
        <v>263863595.77000001</v>
      </c>
      <c r="U61" s="4113">
        <f>SUM(U8:U60)</f>
        <v>58957057.530000001</v>
      </c>
      <c r="AP61" s="4113">
        <f>SUM(AP8:AP60)</f>
        <v>37151109.533627443</v>
      </c>
      <c r="AQ61" s="4113">
        <f>SUM(AQ8:AQ60)</f>
        <v>7290842.334999999</v>
      </c>
    </row>
    <row r="62" spans="1:43">
      <c r="D62" s="4113">
        <f>D61/C61</f>
        <v>0.57610968051415556</v>
      </c>
      <c r="F62" s="4113">
        <f>I62/D61/365</f>
        <v>6.3048311070545298</v>
      </c>
      <c r="I62" s="4113">
        <f>AP61+AQ61</f>
        <v>44441951.868627444</v>
      </c>
    </row>
    <row r="65" spans="2:5">
      <c r="B65" s="4113">
        <v>2816.33</v>
      </c>
      <c r="D65" s="4114" t="s">
        <v>3937</v>
      </c>
    </row>
    <row r="66" spans="2:5">
      <c r="B66" s="4113">
        <v>2380.0700000000002</v>
      </c>
      <c r="D66" s="4114" t="s">
        <v>3938</v>
      </c>
      <c r="E66" s="4114" t="s">
        <v>3939</v>
      </c>
    </row>
    <row r="67" spans="2:5">
      <c r="B67" s="4113">
        <f>33759.02-B66-B65</f>
        <v>28562.619999999995</v>
      </c>
      <c r="D67" s="4115">
        <f>D61/B67</f>
        <v>0.67612775018538207</v>
      </c>
      <c r="E67" s="4115">
        <f>[2]Sheet3!D30</f>
        <v>0.95009439354707936</v>
      </c>
    </row>
  </sheetData>
  <mergeCells count="70">
    <mergeCell ref="AH12:AH13"/>
    <mergeCell ref="AI12:AI13"/>
    <mergeCell ref="AJ12:AJ13"/>
    <mergeCell ref="AK12:AK13"/>
    <mergeCell ref="AL12:AL13"/>
    <mergeCell ref="AO12:AO13"/>
    <mergeCell ref="AB12:AB13"/>
    <mergeCell ref="AC12:AC13"/>
    <mergeCell ref="AD12:AD13"/>
    <mergeCell ref="AE12:AE13"/>
    <mergeCell ref="AF12:AF13"/>
    <mergeCell ref="AG12:AG13"/>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I8:AI10"/>
    <mergeCell ref="AJ8:AJ10"/>
    <mergeCell ref="AK8:AK10"/>
    <mergeCell ref="AL8:AL10"/>
    <mergeCell ref="AO8:AO10"/>
    <mergeCell ref="A12:A13"/>
    <mergeCell ref="B12:B13"/>
    <mergeCell ref="E12:E13"/>
    <mergeCell ref="H12:H13"/>
    <mergeCell ref="I12:I13"/>
    <mergeCell ref="AC8:AC10"/>
    <mergeCell ref="AD8:AD10"/>
    <mergeCell ref="AE8:AE10"/>
    <mergeCell ref="AF8:AF10"/>
    <mergeCell ref="AG8:AG10"/>
    <mergeCell ref="AH8:AH10"/>
    <mergeCell ref="W8:W10"/>
    <mergeCell ref="X8:X10"/>
    <mergeCell ref="Y8:Y10"/>
    <mergeCell ref="Z8:Z10"/>
    <mergeCell ref="AA8:AA10"/>
    <mergeCell ref="AB8:AB10"/>
    <mergeCell ref="Q8:Q10"/>
    <mergeCell ref="R8:R10"/>
    <mergeCell ref="S8:S10"/>
    <mergeCell ref="T8:T10"/>
    <mergeCell ref="U8:U10"/>
    <mergeCell ref="V8:V10"/>
    <mergeCell ref="K8:K10"/>
    <mergeCell ref="L8:L10"/>
    <mergeCell ref="M8:M10"/>
    <mergeCell ref="N8:N10"/>
    <mergeCell ref="O8:O10"/>
    <mergeCell ref="P8:P10"/>
    <mergeCell ref="A8:A10"/>
    <mergeCell ref="B8:B10"/>
    <mergeCell ref="E8:E10"/>
    <mergeCell ref="H8:H10"/>
    <mergeCell ref="I8:I10"/>
    <mergeCell ref="J8:J10"/>
  </mergeCells>
  <phoneticPr fontId="134"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2"/>
  <sheetViews>
    <sheetView topLeftCell="A25" workbookViewId="0">
      <selection activeCell="K18" activeCellId="1" sqref="F18 K18"/>
    </sheetView>
  </sheetViews>
  <sheetFormatPr defaultColWidth="9" defaultRowHeight="13.5"/>
  <cols>
    <col min="1" max="1" width="9" style="4113"/>
    <col min="2" max="2" width="19" style="4113" customWidth="1"/>
    <col min="3" max="3" width="9" style="4113"/>
    <col min="4" max="4" width="10.5" style="4113" bestFit="1" customWidth="1"/>
    <col min="5" max="7" width="9" style="4113"/>
    <col min="8" max="8" width="11.625" style="4113" bestFit="1" customWidth="1"/>
    <col min="9" max="16384" width="9" style="4113"/>
  </cols>
  <sheetData>
    <row r="1" spans="1:43" s="3880" customFormat="1" ht="30.95" customHeight="1">
      <c r="A1" s="3863" t="s">
        <v>3515</v>
      </c>
      <c r="B1" s="3864" t="s">
        <v>3516</v>
      </c>
      <c r="C1" s="3863" t="s">
        <v>3517</v>
      </c>
      <c r="D1" s="3863" t="s">
        <v>3518</v>
      </c>
      <c r="E1" s="3863" t="s">
        <v>3519</v>
      </c>
      <c r="F1" s="3865" t="s">
        <v>3520</v>
      </c>
      <c r="G1" s="3866" t="s">
        <v>3521</v>
      </c>
      <c r="H1" s="3866" t="s">
        <v>3522</v>
      </c>
      <c r="I1" s="3867" t="s">
        <v>3523</v>
      </c>
      <c r="J1" s="3866" t="s">
        <v>3524</v>
      </c>
      <c r="K1" s="3868" t="s">
        <v>3525</v>
      </c>
      <c r="L1" s="3869" t="s">
        <v>3526</v>
      </c>
      <c r="M1" s="3870" t="s">
        <v>3527</v>
      </c>
      <c r="N1" s="3870" t="s">
        <v>3528</v>
      </c>
      <c r="O1" s="3871" t="s">
        <v>3529</v>
      </c>
      <c r="P1" s="3872" t="s">
        <v>3530</v>
      </c>
      <c r="Q1" s="3872" t="s">
        <v>3531</v>
      </c>
      <c r="R1" s="3873" t="s">
        <v>3532</v>
      </c>
      <c r="S1" s="3874" t="s">
        <v>3533</v>
      </c>
      <c r="T1" s="3874" t="s">
        <v>3534</v>
      </c>
      <c r="U1" s="3875" t="s">
        <v>3535</v>
      </c>
      <c r="V1" s="3875" t="s">
        <v>3536</v>
      </c>
      <c r="W1" s="3863" t="s">
        <v>3537</v>
      </c>
      <c r="X1" s="3863" t="s">
        <v>3538</v>
      </c>
      <c r="Y1" s="3863" t="s">
        <v>3539</v>
      </c>
      <c r="Z1" s="3876" t="s">
        <v>3540</v>
      </c>
      <c r="AA1" s="3876" t="s">
        <v>3541</v>
      </c>
      <c r="AB1" s="3876" t="s">
        <v>3542</v>
      </c>
      <c r="AC1" s="3876" t="s">
        <v>3543</v>
      </c>
      <c r="AD1" s="3876" t="s">
        <v>3544</v>
      </c>
      <c r="AE1" s="3876" t="s">
        <v>3545</v>
      </c>
      <c r="AF1" s="3877" t="s">
        <v>3546</v>
      </c>
      <c r="AG1" s="3878" t="s">
        <v>3547</v>
      </c>
      <c r="AH1" s="3879" t="s">
        <v>3548</v>
      </c>
      <c r="AI1" s="3878" t="s">
        <v>3549</v>
      </c>
      <c r="AJ1" s="3878" t="s">
        <v>3550</v>
      </c>
      <c r="AK1" s="3878" t="s">
        <v>3551</v>
      </c>
    </row>
    <row r="2" spans="1:43" s="3880" customFormat="1" ht="24.95" customHeight="1">
      <c r="A2" s="3881">
        <v>3</v>
      </c>
      <c r="B2" s="3945" t="s">
        <v>3574</v>
      </c>
      <c r="C2" s="3906" t="s">
        <v>3575</v>
      </c>
      <c r="D2" s="3906">
        <v>3403.95</v>
      </c>
      <c r="E2" s="3946" t="s">
        <v>3567</v>
      </c>
      <c r="F2" s="3947">
        <f>6-1.48</f>
        <v>4.5199999999999996</v>
      </c>
      <c r="G2" s="3885">
        <f t="shared" ref="G2:G3" si="0">F2*D2*30</f>
        <v>461575.61999999994</v>
      </c>
      <c r="H2" s="3948">
        <v>500745.75</v>
      </c>
      <c r="I2" s="3949">
        <v>5004713.7</v>
      </c>
      <c r="J2" s="3950" t="s">
        <v>3576</v>
      </c>
      <c r="K2" s="3951">
        <v>1502237.25</v>
      </c>
      <c r="L2" s="3889">
        <v>1.48</v>
      </c>
      <c r="M2" s="3889">
        <v>0</v>
      </c>
      <c r="N2" s="3889">
        <v>165602.81</v>
      </c>
      <c r="O2" s="3889">
        <v>1987233.74</v>
      </c>
      <c r="P2" s="3952">
        <v>0</v>
      </c>
      <c r="Q2" s="3892">
        <v>0</v>
      </c>
      <c r="R2" s="3893">
        <v>0</v>
      </c>
      <c r="S2" s="3892" t="e">
        <f>T2+U2+#REF!</f>
        <v>#REF!</v>
      </c>
      <c r="T2" s="3953">
        <v>29598437.420000002</v>
      </c>
      <c r="U2" s="3954">
        <v>9936168.6999999993</v>
      </c>
      <c r="V2" s="3955" t="s">
        <v>3557</v>
      </c>
      <c r="W2" s="3955" t="s">
        <v>3577</v>
      </c>
      <c r="X2" s="3946" t="s">
        <v>3578</v>
      </c>
      <c r="Y2" s="3946" t="s">
        <v>3579</v>
      </c>
      <c r="Z2" s="3946" t="s">
        <v>3580</v>
      </c>
      <c r="AA2" s="3899" t="s">
        <v>3581</v>
      </c>
      <c r="AB2" s="3956">
        <v>11013662.706</v>
      </c>
      <c r="AC2" s="3957" t="s">
        <v>3582</v>
      </c>
      <c r="AD2" s="3900">
        <v>1502237.25</v>
      </c>
      <c r="AE2" s="3900">
        <v>3974467.48</v>
      </c>
      <c r="AF2" s="3901" t="s">
        <v>3582</v>
      </c>
      <c r="AG2" s="3958">
        <v>0</v>
      </c>
      <c r="AH2" s="3902">
        <v>45579</v>
      </c>
      <c r="AI2" s="3959" t="e">
        <f>AJ2+AK2+AL2+#REF!</f>
        <v>#REF!</v>
      </c>
      <c r="AJ2" s="3960">
        <v>6008949.0099999998</v>
      </c>
      <c r="AK2" s="3905">
        <v>1987233.74</v>
      </c>
      <c r="AL2" s="3905"/>
      <c r="AO2" s="3946">
        <v>5</v>
      </c>
      <c r="AP2" s="3880">
        <f>T2/AO2</f>
        <v>5919687.4840000002</v>
      </c>
      <c r="AQ2" s="3880">
        <f>U2/AO2</f>
        <v>1987233.7399999998</v>
      </c>
    </row>
    <row r="3" spans="1:43" s="3880" customFormat="1" ht="24.95" customHeight="1">
      <c r="A3" s="3881"/>
      <c r="B3" s="3961"/>
      <c r="C3" s="3906" t="s">
        <v>3583</v>
      </c>
      <c r="D3" s="3906"/>
      <c r="E3" s="3962"/>
      <c r="F3" s="3947">
        <f>5.4-1.48</f>
        <v>3.9200000000000004</v>
      </c>
      <c r="G3" s="3885">
        <f t="shared" si="0"/>
        <v>0</v>
      </c>
      <c r="H3" s="3963"/>
      <c r="I3" s="3964"/>
      <c r="J3" s="3965"/>
      <c r="K3" s="3966"/>
      <c r="L3" s="3921"/>
      <c r="M3" s="3921"/>
      <c r="N3" s="3921"/>
      <c r="O3" s="3921"/>
      <c r="P3" s="3967"/>
      <c r="Q3" s="3922"/>
      <c r="R3" s="3923"/>
      <c r="S3" s="3922"/>
      <c r="T3" s="3968"/>
      <c r="U3" s="3969"/>
      <c r="V3" s="3970"/>
      <c r="W3" s="3970"/>
      <c r="X3" s="3962"/>
      <c r="Y3" s="3962"/>
      <c r="Z3" s="3962"/>
      <c r="AA3" s="3926"/>
      <c r="AB3" s="3971"/>
      <c r="AC3" s="3972"/>
      <c r="AD3" s="3927"/>
      <c r="AE3" s="3927"/>
      <c r="AF3" s="3928"/>
      <c r="AG3" s="3973"/>
      <c r="AH3" s="3929"/>
      <c r="AI3" s="3974"/>
      <c r="AJ3" s="3960"/>
      <c r="AK3" s="3932"/>
      <c r="AL3" s="3932"/>
      <c r="AO3" s="3962"/>
    </row>
    <row r="4" spans="1:43" s="3880" customFormat="1" ht="32.1" customHeight="1">
      <c r="A4" s="3906">
        <v>2</v>
      </c>
      <c r="B4" s="3933" t="s">
        <v>3565</v>
      </c>
      <c r="C4" s="3906" t="s">
        <v>3566</v>
      </c>
      <c r="D4" s="3906">
        <v>711.88</v>
      </c>
      <c r="E4" s="3906" t="s">
        <v>3567</v>
      </c>
      <c r="F4" s="3934">
        <v>4.7</v>
      </c>
      <c r="G4" s="3934"/>
      <c r="H4" s="3934">
        <v>101769.18</v>
      </c>
      <c r="I4" s="3934">
        <v>1017691.78</v>
      </c>
      <c r="J4" s="3934" t="s">
        <v>3568</v>
      </c>
      <c r="K4" s="3934">
        <v>305307.53999999998</v>
      </c>
      <c r="L4" s="3935">
        <v>1.1000000000000001</v>
      </c>
      <c r="M4" s="3935">
        <v>0</v>
      </c>
      <c r="N4" s="3935">
        <v>23818.32</v>
      </c>
      <c r="O4" s="3935">
        <v>285819.84000000003</v>
      </c>
      <c r="P4" s="3936">
        <v>71454.960000000006</v>
      </c>
      <c r="Q4" s="3937">
        <v>0</v>
      </c>
      <c r="R4" s="3938">
        <v>0</v>
      </c>
      <c r="S4" s="3937" t="e">
        <f>T4+U4+#REF!</f>
        <v>#REF!</v>
      </c>
      <c r="T4" s="3939">
        <v>5726573.3200000003</v>
      </c>
      <c r="U4" s="3940">
        <v>1429099.2</v>
      </c>
      <c r="V4" s="3941" t="s">
        <v>3557</v>
      </c>
      <c r="W4" s="3941" t="s">
        <v>3569</v>
      </c>
      <c r="X4" s="3906" t="s">
        <v>3570</v>
      </c>
      <c r="Y4" s="3906" t="s">
        <v>3571</v>
      </c>
      <c r="Z4" s="3906" t="s">
        <v>3572</v>
      </c>
      <c r="AA4" s="3876" t="s">
        <v>3573</v>
      </c>
      <c r="AB4" s="3942">
        <v>1017691.78</v>
      </c>
      <c r="AC4" s="3876" t="s">
        <v>3562</v>
      </c>
      <c r="AD4" s="3942">
        <v>305307.53999999998</v>
      </c>
      <c r="AE4" s="3942">
        <v>357274.8</v>
      </c>
      <c r="AF4" s="3876" t="s">
        <v>3562</v>
      </c>
      <c r="AG4" s="3942">
        <v>71454.960000000006</v>
      </c>
      <c r="AH4" s="3943">
        <v>45193</v>
      </c>
      <c r="AI4" s="3944" t="e">
        <f>AJ4+AK4+AL4+#REF!</f>
        <v>#REF!</v>
      </c>
      <c r="AJ4" s="3878">
        <v>1119460.96</v>
      </c>
      <c r="AK4" s="3878">
        <v>285819.84000000003</v>
      </c>
      <c r="AL4" s="3878"/>
      <c r="AO4" s="3906">
        <v>5</v>
      </c>
      <c r="AP4" s="3880">
        <f>T4/AO4</f>
        <v>1145314.6640000001</v>
      </c>
      <c r="AQ4" s="3880">
        <f>U4/AO4</f>
        <v>285819.83999999997</v>
      </c>
    </row>
    <row r="5" spans="1:43" s="3880" customFormat="1" ht="24.95" customHeight="1">
      <c r="A5" s="3906">
        <v>14</v>
      </c>
      <c r="B5" s="3933" t="s">
        <v>3574</v>
      </c>
      <c r="C5" s="4003" t="s">
        <v>3657</v>
      </c>
      <c r="D5" s="3906">
        <v>825.06</v>
      </c>
      <c r="E5" s="3906" t="s">
        <v>3567</v>
      </c>
      <c r="F5" s="3934">
        <v>4.5199999999999996</v>
      </c>
      <c r="G5" s="3885">
        <f>F5*D5*30</f>
        <v>111878.13599999997</v>
      </c>
      <c r="H5" s="4025">
        <v>113432</v>
      </c>
      <c r="I5" s="4025">
        <v>906212.9</v>
      </c>
      <c r="J5" s="4028" t="s">
        <v>3576</v>
      </c>
      <c r="K5" s="4025">
        <v>340295.99699999997</v>
      </c>
      <c r="L5" s="4029">
        <v>1.48</v>
      </c>
      <c r="M5" s="3935">
        <v>0</v>
      </c>
      <c r="N5" s="3935">
        <v>37141.449999999997</v>
      </c>
      <c r="O5" s="4004">
        <v>445697.4</v>
      </c>
      <c r="P5" s="3936">
        <v>0</v>
      </c>
      <c r="Q5" s="3937">
        <v>0</v>
      </c>
      <c r="R5" s="3938">
        <v>0</v>
      </c>
      <c r="S5" s="3937" t="e">
        <v>#REF!</v>
      </c>
      <c r="T5" s="4026">
        <v>6477430.5515999999</v>
      </c>
      <c r="U5" s="3940">
        <v>2228487.06</v>
      </c>
      <c r="V5" s="3941" t="s">
        <v>3557</v>
      </c>
      <c r="W5" s="3941" t="s">
        <v>3577</v>
      </c>
      <c r="X5" s="3906" t="s">
        <v>3658</v>
      </c>
      <c r="Y5" s="3906" t="s">
        <v>3659</v>
      </c>
      <c r="Z5" s="3906" t="s">
        <v>3660</v>
      </c>
      <c r="AA5" s="3876" t="s">
        <v>3573</v>
      </c>
      <c r="AB5" s="4030">
        <v>906212.9</v>
      </c>
      <c r="AC5" s="3876" t="s">
        <v>3661</v>
      </c>
      <c r="AD5" s="3942">
        <v>340296</v>
      </c>
      <c r="AE5" s="4031">
        <v>445697.4</v>
      </c>
      <c r="AF5" s="3876" t="s">
        <v>3662</v>
      </c>
      <c r="AG5" s="4031"/>
      <c r="AH5" s="3943">
        <v>45344</v>
      </c>
      <c r="AI5" s="4032">
        <v>1806881.39</v>
      </c>
      <c r="AJ5" s="4033">
        <v>1361183.99</v>
      </c>
      <c r="AK5" s="4034">
        <v>445697.4</v>
      </c>
      <c r="AL5" s="3878">
        <v>0</v>
      </c>
      <c r="AO5" s="3906">
        <v>5</v>
      </c>
      <c r="AP5" s="3880">
        <f t="shared" ref="AP5" si="1">T5/AO5</f>
        <v>1295486.11032</v>
      </c>
      <c r="AQ5" s="3880">
        <f t="shared" ref="AQ5" si="2">U5/AO5</f>
        <v>445697.41200000001</v>
      </c>
    </row>
    <row r="6" spans="1:43" s="3985" customFormat="1" ht="17.100000000000001" customHeight="1">
      <c r="A6" s="3975">
        <v>4</v>
      </c>
      <c r="B6" s="3976" t="s">
        <v>3584</v>
      </c>
      <c r="C6" s="3977" t="s">
        <v>3427</v>
      </c>
      <c r="D6" s="3978">
        <v>4160.68</v>
      </c>
      <c r="E6" s="3975" t="s">
        <v>3585</v>
      </c>
      <c r="F6" s="3886">
        <v>3</v>
      </c>
      <c r="G6" s="3886">
        <v>386662.05</v>
      </c>
      <c r="H6" s="3887">
        <v>4639944.5999999996</v>
      </c>
      <c r="I6" s="3887" t="s">
        <v>3586</v>
      </c>
      <c r="J6" s="3887">
        <v>386662.05</v>
      </c>
      <c r="K6" s="3889">
        <v>0</v>
      </c>
      <c r="L6" s="3979">
        <v>0</v>
      </c>
      <c r="M6" s="3889">
        <v>0</v>
      </c>
      <c r="N6" s="3980">
        <v>0</v>
      </c>
      <c r="O6" s="3952">
        <v>0</v>
      </c>
      <c r="P6" s="3892">
        <v>0</v>
      </c>
      <c r="Q6" s="3893">
        <v>0</v>
      </c>
      <c r="R6" s="3894">
        <f>S6+T6</f>
        <v>42951166.079999998</v>
      </c>
      <c r="S6" s="3895">
        <v>42951166.079999998</v>
      </c>
      <c r="T6" s="3895">
        <v>0</v>
      </c>
      <c r="U6" s="3896" t="s">
        <v>3587</v>
      </c>
      <c r="V6" s="3896" t="s">
        <v>3588</v>
      </c>
      <c r="W6" s="3981" t="s">
        <v>3589</v>
      </c>
      <c r="X6" s="3982" t="s">
        <v>3590</v>
      </c>
      <c r="Y6" s="3981" t="s">
        <v>3591</v>
      </c>
      <c r="Z6" s="3901" t="s">
        <v>3592</v>
      </c>
      <c r="AA6" s="3900"/>
      <c r="AB6" s="3901"/>
      <c r="AC6" s="3900"/>
      <c r="AD6" s="3900"/>
      <c r="AE6" s="3901"/>
      <c r="AF6" s="3900"/>
      <c r="AG6" s="3902">
        <v>45100</v>
      </c>
      <c r="AH6" s="3983">
        <f>AI6+AJ6</f>
        <v>2319972.2999999998</v>
      </c>
      <c r="AI6" s="3984">
        <v>2319972.2999999998</v>
      </c>
      <c r="AJ6" s="3905">
        <v>0</v>
      </c>
      <c r="AK6" s="3905"/>
    </row>
    <row r="7" spans="1:43" s="3985" customFormat="1" ht="16.5">
      <c r="A7" s="3986"/>
      <c r="B7" s="3987"/>
      <c r="C7" s="3977" t="s">
        <v>3593</v>
      </c>
      <c r="D7" s="3988"/>
      <c r="E7" s="3986"/>
      <c r="F7" s="3886"/>
      <c r="G7" s="3886"/>
      <c r="H7" s="3887"/>
      <c r="I7" s="3887"/>
      <c r="J7" s="3887"/>
      <c r="K7" s="3908"/>
      <c r="L7" s="3989"/>
      <c r="M7" s="3908"/>
      <c r="N7" s="3908"/>
      <c r="O7" s="3990"/>
      <c r="P7" s="3909"/>
      <c r="Q7" s="3910"/>
      <c r="R7" s="3894"/>
      <c r="S7" s="3895"/>
      <c r="T7" s="3895"/>
      <c r="U7" s="3911"/>
      <c r="V7" s="3911"/>
      <c r="W7" s="3991"/>
      <c r="X7" s="3982"/>
      <c r="Y7" s="3991"/>
      <c r="Z7" s="3915"/>
      <c r="AA7" s="3914"/>
      <c r="AB7" s="3915"/>
      <c r="AC7" s="3914"/>
      <c r="AD7" s="3914"/>
      <c r="AE7" s="3915"/>
      <c r="AF7" s="3914"/>
      <c r="AG7" s="3916"/>
      <c r="AH7" s="3992"/>
      <c r="AI7" s="3919"/>
      <c r="AJ7" s="3919"/>
      <c r="AK7" s="3919"/>
    </row>
    <row r="8" spans="1:43" s="3985" customFormat="1" ht="16.5">
      <c r="A8" s="3993"/>
      <c r="B8" s="3994"/>
      <c r="C8" s="3977" t="s">
        <v>3594</v>
      </c>
      <c r="D8" s="3995"/>
      <c r="E8" s="3993"/>
      <c r="F8" s="3886"/>
      <c r="G8" s="3886"/>
      <c r="H8" s="3887"/>
      <c r="I8" s="3887"/>
      <c r="J8" s="3887"/>
      <c r="K8" s="3921"/>
      <c r="L8" s="3996"/>
      <c r="M8" s="3921"/>
      <c r="N8" s="3921"/>
      <c r="O8" s="3967"/>
      <c r="P8" s="3922"/>
      <c r="Q8" s="3923"/>
      <c r="R8" s="3894"/>
      <c r="S8" s="3895"/>
      <c r="T8" s="3895"/>
      <c r="U8" s="3924"/>
      <c r="V8" s="3924"/>
      <c r="W8" s="3997"/>
      <c r="X8" s="3982"/>
      <c r="Y8" s="3997"/>
      <c r="Z8" s="3928"/>
      <c r="AA8" s="3927"/>
      <c r="AB8" s="3928"/>
      <c r="AC8" s="3927"/>
      <c r="AD8" s="3927"/>
      <c r="AE8" s="3928"/>
      <c r="AF8" s="3927"/>
      <c r="AG8" s="3929"/>
      <c r="AH8" s="3998"/>
      <c r="AI8" s="3932"/>
      <c r="AJ8" s="3932"/>
      <c r="AK8" s="3932"/>
    </row>
    <row r="9" spans="1:43" s="3880" customFormat="1" ht="84.95" customHeight="1">
      <c r="A9" s="3906">
        <v>5</v>
      </c>
      <c r="B9" s="3933" t="s">
        <v>3595</v>
      </c>
      <c r="C9" s="3906" t="s">
        <v>3596</v>
      </c>
      <c r="D9" s="3906">
        <v>430.11</v>
      </c>
      <c r="E9" s="3906" t="s">
        <v>3597</v>
      </c>
      <c r="F9" s="3934"/>
      <c r="G9" s="3934"/>
      <c r="H9" s="3934"/>
      <c r="I9" s="3934"/>
      <c r="J9" s="3934">
        <v>200000</v>
      </c>
      <c r="K9" s="3935">
        <v>0.75</v>
      </c>
      <c r="L9" s="4000" t="s">
        <v>3598</v>
      </c>
      <c r="M9" s="3935">
        <v>9811.8799999999992</v>
      </c>
      <c r="N9" s="3935">
        <v>117742.61</v>
      </c>
      <c r="O9" s="3936">
        <v>0</v>
      </c>
      <c r="P9" s="3937">
        <v>0</v>
      </c>
      <c r="Q9" s="3938">
        <v>0</v>
      </c>
      <c r="R9" s="3937"/>
      <c r="S9" s="3939"/>
      <c r="T9" s="3939"/>
      <c r="U9" s="4001" t="s">
        <v>3599</v>
      </c>
      <c r="V9" s="4002" t="s">
        <v>3600</v>
      </c>
      <c r="W9" s="3906" t="s">
        <v>3601</v>
      </c>
      <c r="X9" s="3906" t="s">
        <v>3602</v>
      </c>
      <c r="Y9" s="3906">
        <v>0</v>
      </c>
      <c r="Z9" s="3876"/>
      <c r="AA9" s="3942"/>
      <c r="AB9" s="3876"/>
      <c r="AC9" s="3942">
        <v>200000</v>
      </c>
      <c r="AD9" s="3942"/>
      <c r="AE9" s="3876"/>
      <c r="AF9" s="3942"/>
      <c r="AG9" s="3943"/>
      <c r="AH9" s="3944"/>
      <c r="AI9" s="3878"/>
      <c r="AJ9" s="3878"/>
      <c r="AK9" s="3878"/>
    </row>
    <row r="10" spans="1:43" s="3880" customFormat="1" ht="24.95" customHeight="1">
      <c r="A10" s="3906">
        <v>6</v>
      </c>
      <c r="B10" s="4003" t="s">
        <v>3603</v>
      </c>
      <c r="C10" s="3906" t="s">
        <v>3604</v>
      </c>
      <c r="D10" s="3906">
        <v>392.52</v>
      </c>
      <c r="E10" s="3906" t="s">
        <v>3567</v>
      </c>
      <c r="F10" s="3934">
        <v>0</v>
      </c>
      <c r="G10" s="3934">
        <v>0</v>
      </c>
      <c r="H10" s="3934">
        <v>0</v>
      </c>
      <c r="I10" s="3934">
        <v>0</v>
      </c>
      <c r="J10" s="3934">
        <v>0</v>
      </c>
      <c r="K10" s="3935">
        <v>4</v>
      </c>
      <c r="L10" s="3979" t="s">
        <v>3605</v>
      </c>
      <c r="M10" s="4004">
        <v>47756.6</v>
      </c>
      <c r="N10" s="4004">
        <v>573079.19999999995</v>
      </c>
      <c r="O10" s="4005">
        <v>47756.6</v>
      </c>
      <c r="P10" s="4006">
        <f>63.31*D10</f>
        <v>24850.441200000001</v>
      </c>
      <c r="Q10" s="3938">
        <f>42*D10</f>
        <v>16485.84</v>
      </c>
      <c r="R10" s="3937">
        <v>3248298.24</v>
      </c>
      <c r="S10" s="3939">
        <v>0</v>
      </c>
      <c r="T10" s="3939">
        <v>3248298.24</v>
      </c>
      <c r="U10" s="3896" t="s">
        <v>3587</v>
      </c>
      <c r="V10" s="3896" t="s">
        <v>3588</v>
      </c>
      <c r="W10" s="3906" t="s">
        <v>3606</v>
      </c>
      <c r="X10" s="3946" t="s">
        <v>3607</v>
      </c>
      <c r="Y10" s="3946" t="s">
        <v>3608</v>
      </c>
      <c r="Z10" s="3901" t="s">
        <v>3609</v>
      </c>
      <c r="AA10" s="3942">
        <v>95513.2</v>
      </c>
      <c r="AB10" s="3876" t="s">
        <v>3610</v>
      </c>
      <c r="AC10" s="3942">
        <v>47756.6</v>
      </c>
      <c r="AD10" s="4007" t="s">
        <v>3611</v>
      </c>
      <c r="AE10" s="4008"/>
      <c r="AF10" s="3942"/>
      <c r="AG10" s="3943" t="s">
        <v>3612</v>
      </c>
      <c r="AH10" s="4009">
        <f>AI10+AJ10+AK10</f>
        <v>47756.6</v>
      </c>
      <c r="AI10" s="4010">
        <v>47756.6</v>
      </c>
      <c r="AJ10" s="4010"/>
      <c r="AK10" s="3878"/>
    </row>
    <row r="11" spans="1:43" s="3880" customFormat="1" ht="24.95" customHeight="1">
      <c r="A11" s="3906">
        <v>7</v>
      </c>
      <c r="B11" s="3906" t="s">
        <v>3613</v>
      </c>
      <c r="C11" s="3906" t="s">
        <v>3614</v>
      </c>
      <c r="D11" s="3906">
        <v>179.4</v>
      </c>
      <c r="E11" s="3906" t="s">
        <v>3567</v>
      </c>
      <c r="F11" s="3934">
        <v>0</v>
      </c>
      <c r="G11" s="3934">
        <v>0</v>
      </c>
      <c r="H11" s="3934">
        <v>0</v>
      </c>
      <c r="I11" s="3934">
        <v>0</v>
      </c>
      <c r="J11" s="3934">
        <v>0</v>
      </c>
      <c r="K11" s="3935">
        <v>4</v>
      </c>
      <c r="L11" s="3996"/>
      <c r="M11" s="4004">
        <v>21827</v>
      </c>
      <c r="N11" s="4004">
        <v>261924</v>
      </c>
      <c r="O11" s="4005">
        <v>21827</v>
      </c>
      <c r="P11" s="4006">
        <f>63.31*D11</f>
        <v>11357.814</v>
      </c>
      <c r="Q11" s="3938">
        <f>42*D11</f>
        <v>7534.8</v>
      </c>
      <c r="R11" s="3937">
        <v>1484624.77</v>
      </c>
      <c r="S11" s="3939">
        <v>0</v>
      </c>
      <c r="T11" s="3939">
        <v>1484624.77</v>
      </c>
      <c r="U11" s="3924"/>
      <c r="V11" s="3924"/>
      <c r="W11" s="3906" t="s">
        <v>3606</v>
      </c>
      <c r="X11" s="3962"/>
      <c r="Y11" s="3962"/>
      <c r="Z11" s="3928"/>
      <c r="AA11" s="3942">
        <v>43654</v>
      </c>
      <c r="AB11" s="3876" t="s">
        <v>3610</v>
      </c>
      <c r="AC11" s="3942">
        <v>21827</v>
      </c>
      <c r="AD11" s="4007" t="s">
        <v>3615</v>
      </c>
      <c r="AE11" s="4008"/>
      <c r="AF11" s="3942"/>
      <c r="AG11" s="3943" t="s">
        <v>3616</v>
      </c>
      <c r="AH11" s="4009">
        <f>AI11+AJ11+AK11</f>
        <v>21827</v>
      </c>
      <c r="AI11" s="4010">
        <v>21827</v>
      </c>
      <c r="AJ11" s="4010"/>
      <c r="AK11" s="3878"/>
    </row>
    <row r="12" spans="1:43" s="3985" customFormat="1" ht="84" customHeight="1">
      <c r="A12" s="4011">
        <v>8</v>
      </c>
      <c r="B12" s="4012" t="s">
        <v>3617</v>
      </c>
      <c r="C12" s="4013" t="s">
        <v>3618</v>
      </c>
      <c r="D12" s="4011">
        <v>563.91</v>
      </c>
      <c r="E12" s="4011" t="s">
        <v>3567</v>
      </c>
      <c r="F12" s="4014"/>
      <c r="G12" s="4014"/>
      <c r="H12" s="4014"/>
      <c r="I12" s="4014"/>
      <c r="J12" s="4014"/>
      <c r="K12" s="4016"/>
      <c r="L12" s="4016"/>
      <c r="M12" s="4016"/>
      <c r="N12" s="4016"/>
      <c r="O12" s="4017"/>
      <c r="P12" s="4018">
        <f>63.31*D12</f>
        <v>35701.142099999997</v>
      </c>
      <c r="Q12" s="4019">
        <f>42*D12</f>
        <v>23684.219999999998</v>
      </c>
      <c r="R12" s="3937"/>
      <c r="S12" s="3939"/>
      <c r="T12" s="3939"/>
      <c r="U12" s="4020" t="s">
        <v>3619</v>
      </c>
      <c r="V12" s="4021" t="s">
        <v>3620</v>
      </c>
      <c r="W12" s="4011" t="s">
        <v>3621</v>
      </c>
      <c r="X12" s="4011" t="s">
        <v>3571</v>
      </c>
      <c r="Y12" s="4011"/>
      <c r="Z12" s="3876"/>
      <c r="AA12" s="3942"/>
      <c r="AB12" s="3876"/>
      <c r="AC12" s="3942"/>
      <c r="AD12" s="3942"/>
      <c r="AE12" s="3876"/>
      <c r="AF12" s="3942"/>
      <c r="AG12" s="4022" t="s">
        <v>3622</v>
      </c>
      <c r="AH12" s="3944"/>
      <c r="AI12" s="3878"/>
      <c r="AJ12" s="3878"/>
      <c r="AK12" s="3878">
        <v>59385.36</v>
      </c>
    </row>
    <row r="13" spans="1:43" s="3880" customFormat="1" ht="36" customHeight="1">
      <c r="A13" s="3906">
        <v>9</v>
      </c>
      <c r="B13" s="3933" t="s">
        <v>3623</v>
      </c>
      <c r="C13" s="4003" t="s">
        <v>3624</v>
      </c>
      <c r="D13" s="3906">
        <v>967.55</v>
      </c>
      <c r="E13" s="3906" t="s">
        <v>3625</v>
      </c>
      <c r="F13" s="3934"/>
      <c r="G13" s="3934"/>
      <c r="H13" s="3934"/>
      <c r="I13" s="3934"/>
      <c r="J13" s="3934"/>
      <c r="K13" s="3935"/>
      <c r="L13" s="3935"/>
      <c r="M13" s="3935"/>
      <c r="N13" s="3935"/>
      <c r="O13" s="3936"/>
      <c r="P13" s="3937"/>
      <c r="Q13" s="3938"/>
      <c r="R13" s="3937"/>
      <c r="S13" s="3939"/>
      <c r="T13" s="3939"/>
      <c r="U13" s="4020" t="s">
        <v>3626</v>
      </c>
      <c r="V13" s="4020"/>
      <c r="W13" s="3906"/>
      <c r="X13" s="3906"/>
      <c r="Y13" s="3906"/>
      <c r="Z13" s="3876"/>
      <c r="AA13" s="3942"/>
      <c r="AB13" s="3876"/>
      <c r="AC13" s="3942"/>
      <c r="AD13" s="3942"/>
      <c r="AE13" s="3876"/>
      <c r="AF13" s="3942"/>
      <c r="AG13" s="3943"/>
      <c r="AH13" s="3944"/>
      <c r="AI13" s="3878"/>
      <c r="AJ13" s="3878"/>
      <c r="AK13" s="3878">
        <v>0</v>
      </c>
    </row>
    <row r="14" spans="1:43" s="3880" customFormat="1" ht="60.95" customHeight="1">
      <c r="A14" s="3906">
        <v>10</v>
      </c>
      <c r="B14" s="3933" t="s">
        <v>3627</v>
      </c>
      <c r="C14" s="4003" t="s">
        <v>3628</v>
      </c>
      <c r="D14" s="3906">
        <v>160.88</v>
      </c>
      <c r="E14" s="3906" t="s">
        <v>3554</v>
      </c>
      <c r="F14" s="3934"/>
      <c r="G14" s="3934"/>
      <c r="H14" s="3934"/>
      <c r="I14" s="3934"/>
      <c r="J14" s="3934"/>
      <c r="K14" s="3935"/>
      <c r="L14" s="3935"/>
      <c r="M14" s="3935"/>
      <c r="N14" s="3935"/>
      <c r="O14" s="3936"/>
      <c r="P14" s="3937"/>
      <c r="Q14" s="3938"/>
      <c r="R14" s="3937"/>
      <c r="S14" s="3939"/>
      <c r="T14" s="3939"/>
      <c r="U14" s="4020" t="s">
        <v>3629</v>
      </c>
      <c r="V14" s="4021" t="s">
        <v>3620</v>
      </c>
      <c r="W14" s="3906" t="s">
        <v>3621</v>
      </c>
      <c r="X14" s="3906" t="s">
        <v>3630</v>
      </c>
      <c r="Y14" s="3906"/>
      <c r="Z14" s="3876"/>
      <c r="AA14" s="3942"/>
      <c r="AB14" s="3876"/>
      <c r="AC14" s="3942"/>
      <c r="AD14" s="3942"/>
      <c r="AE14" s="3876"/>
      <c r="AF14" s="3942"/>
      <c r="AG14" s="3943"/>
      <c r="AH14" s="3944"/>
      <c r="AI14" s="3878"/>
      <c r="AJ14" s="3878"/>
      <c r="AK14" s="3878">
        <v>0</v>
      </c>
    </row>
    <row r="15" spans="1:43" s="3880" customFormat="1" ht="24.95" customHeight="1">
      <c r="A15" s="3906">
        <v>11</v>
      </c>
      <c r="B15" s="3933" t="s">
        <v>3631</v>
      </c>
      <c r="C15" s="4003" t="s">
        <v>3632</v>
      </c>
      <c r="D15" s="3906">
        <v>34.29</v>
      </c>
      <c r="E15" s="3906" t="s">
        <v>3554</v>
      </c>
      <c r="F15" s="3934">
        <v>3.4</v>
      </c>
      <c r="G15" s="3934">
        <v>3546.16</v>
      </c>
      <c r="H15" s="3934">
        <v>42553.919999999998</v>
      </c>
      <c r="I15" s="3934" t="s">
        <v>3633</v>
      </c>
      <c r="J15" s="3934">
        <v>3546.16</v>
      </c>
      <c r="K15" s="3935"/>
      <c r="L15" s="3935"/>
      <c r="M15" s="3935"/>
      <c r="N15" s="3935"/>
      <c r="O15" s="3936"/>
      <c r="P15" s="3937">
        <v>0</v>
      </c>
      <c r="Q15" s="3938">
        <v>0</v>
      </c>
      <c r="R15" s="3937" t="e">
        <v>#REF!</v>
      </c>
      <c r="S15" s="3939">
        <v>487992.94</v>
      </c>
      <c r="T15" s="3939">
        <v>0</v>
      </c>
      <c r="U15" s="3941" t="s">
        <v>3587</v>
      </c>
      <c r="V15" s="3941" t="s">
        <v>3620</v>
      </c>
      <c r="W15" s="3906" t="s">
        <v>3621</v>
      </c>
      <c r="X15" s="4023" t="s">
        <v>3634</v>
      </c>
      <c r="Y15" s="3906" t="s">
        <v>3635</v>
      </c>
      <c r="Z15" s="3876" t="s">
        <v>3609</v>
      </c>
      <c r="AA15" s="3942">
        <v>7092.32</v>
      </c>
      <c r="AB15" s="3876" t="s">
        <v>3636</v>
      </c>
      <c r="AC15" s="3942">
        <v>3546.16</v>
      </c>
      <c r="AD15" s="3942"/>
      <c r="AE15" s="3876"/>
      <c r="AF15" s="3942">
        <v>50000</v>
      </c>
      <c r="AG15" s="3943" t="s">
        <v>3637</v>
      </c>
      <c r="AH15" s="3878">
        <v>3546.16</v>
      </c>
      <c r="AI15" s="3878"/>
      <c r="AJ15" s="3878"/>
      <c r="AK15" s="3878">
        <v>0</v>
      </c>
    </row>
    <row r="16" spans="1:43" s="3880" customFormat="1" ht="24.95" customHeight="1">
      <c r="A16" s="3906">
        <v>13</v>
      </c>
      <c r="B16" s="3933" t="s">
        <v>3646</v>
      </c>
      <c r="C16" s="4003" t="s">
        <v>3647</v>
      </c>
      <c r="D16" s="3906">
        <v>526.4</v>
      </c>
      <c r="E16" s="3906" t="s">
        <v>3554</v>
      </c>
      <c r="F16" s="3934">
        <v>4.0999999999999996</v>
      </c>
      <c r="G16" s="4025">
        <v>65646.47</v>
      </c>
      <c r="H16" s="3934">
        <v>393878.82</v>
      </c>
      <c r="I16" s="3934" t="s">
        <v>3648</v>
      </c>
      <c r="J16" s="3934">
        <v>131292.94</v>
      </c>
      <c r="K16" s="3935">
        <v>1.4</v>
      </c>
      <c r="L16" s="3935">
        <v>0</v>
      </c>
      <c r="M16" s="3935">
        <v>22415.87</v>
      </c>
      <c r="N16" s="3935">
        <v>268990.44</v>
      </c>
      <c r="O16" s="3935">
        <v>44831.74</v>
      </c>
      <c r="P16" s="3937">
        <v>0</v>
      </c>
      <c r="Q16" s="3938">
        <v>0</v>
      </c>
      <c r="R16" s="3937" t="e">
        <v>#REF!</v>
      </c>
      <c r="S16" s="4026">
        <v>8632670.4600000009</v>
      </c>
      <c r="T16" s="4026">
        <v>2689904.4</v>
      </c>
      <c r="U16" s="3941" t="s">
        <v>3557</v>
      </c>
      <c r="V16" s="3941" t="s">
        <v>3649</v>
      </c>
      <c r="W16" s="3906" t="s">
        <v>3650</v>
      </c>
      <c r="X16" s="3906" t="s">
        <v>3651</v>
      </c>
      <c r="Y16" s="3906" t="s">
        <v>3652</v>
      </c>
      <c r="Z16" s="3876" t="s">
        <v>3653</v>
      </c>
      <c r="AA16" s="4007" t="s">
        <v>3654</v>
      </c>
      <c r="AB16" s="4008"/>
      <c r="AC16" s="3942">
        <v>131292.94</v>
      </c>
      <c r="AD16" s="3942">
        <v>67247.61</v>
      </c>
      <c r="AE16" s="3876" t="s">
        <v>3655</v>
      </c>
      <c r="AF16" s="3942">
        <v>44831.74</v>
      </c>
      <c r="AG16" s="3943">
        <v>45069</v>
      </c>
      <c r="AH16" s="3944">
        <v>67247.61</v>
      </c>
      <c r="AI16" s="4027" t="s">
        <v>3656</v>
      </c>
      <c r="AJ16" s="3944">
        <v>67247.61</v>
      </c>
      <c r="AK16" s="3878">
        <v>0</v>
      </c>
    </row>
    <row r="17" spans="1:37" s="3880" customFormat="1" ht="33" customHeight="1">
      <c r="A17" s="3906">
        <v>15</v>
      </c>
      <c r="B17" s="3906" t="s">
        <v>3663</v>
      </c>
      <c r="C17" s="4003" t="s">
        <v>3664</v>
      </c>
      <c r="D17" s="3906">
        <v>74.040000000000006</v>
      </c>
      <c r="E17" s="3906" t="s">
        <v>3665</v>
      </c>
      <c r="F17" s="3947">
        <v>3.4</v>
      </c>
      <c r="G17" s="3934">
        <v>7656.97</v>
      </c>
      <c r="H17" s="3934">
        <v>84226.67</v>
      </c>
      <c r="I17" s="4035" t="s">
        <v>3666</v>
      </c>
      <c r="J17" s="3934">
        <v>15313.94</v>
      </c>
      <c r="K17" s="3935">
        <v>1.4</v>
      </c>
      <c r="L17" s="3935">
        <v>0</v>
      </c>
      <c r="M17" s="3935">
        <v>3152.87</v>
      </c>
      <c r="N17" s="3935">
        <v>37834.44</v>
      </c>
      <c r="O17" s="3936">
        <v>6305.74</v>
      </c>
      <c r="P17" s="3937">
        <v>0</v>
      </c>
      <c r="Q17" s="3938">
        <v>0</v>
      </c>
      <c r="R17" s="3937" t="e">
        <v>#REF!</v>
      </c>
      <c r="S17" s="4026">
        <v>629042.63</v>
      </c>
      <c r="T17" s="4026">
        <v>227006.64</v>
      </c>
      <c r="U17" s="3941" t="s">
        <v>3557</v>
      </c>
      <c r="V17" s="3941" t="s">
        <v>3649</v>
      </c>
      <c r="W17" s="3906" t="s">
        <v>3667</v>
      </c>
      <c r="X17" s="3906" t="s">
        <v>3668</v>
      </c>
      <c r="Y17" s="3906" t="s">
        <v>3669</v>
      </c>
      <c r="Z17" s="3876" t="s">
        <v>3653</v>
      </c>
      <c r="AA17" s="3942">
        <v>15313.94</v>
      </c>
      <c r="AB17" s="3876" t="s">
        <v>3670</v>
      </c>
      <c r="AC17" s="3942">
        <v>15313.94</v>
      </c>
      <c r="AD17" s="3942">
        <v>9458.61</v>
      </c>
      <c r="AE17" s="3876" t="s">
        <v>3671</v>
      </c>
      <c r="AF17" s="3942">
        <v>6305.74</v>
      </c>
      <c r="AG17" s="3943">
        <v>45141</v>
      </c>
      <c r="AH17" s="4032">
        <v>32429.52</v>
      </c>
      <c r="AI17" s="3878">
        <v>22970.91</v>
      </c>
      <c r="AJ17" s="4024">
        <v>9458.61</v>
      </c>
      <c r="AK17" s="3878">
        <v>0</v>
      </c>
    </row>
    <row r="18" spans="1:37" s="3880" customFormat="1" ht="30.95" customHeight="1">
      <c r="A18" s="3906">
        <v>18</v>
      </c>
      <c r="B18" s="3906" t="s">
        <v>3682</v>
      </c>
      <c r="C18" s="4003" t="s">
        <v>3683</v>
      </c>
      <c r="D18" s="3906">
        <v>1427.91</v>
      </c>
      <c r="E18" s="3906" t="s">
        <v>3554</v>
      </c>
      <c r="F18" s="3947">
        <v>4.5999999999999996</v>
      </c>
      <c r="G18" s="3934">
        <v>199788.41</v>
      </c>
      <c r="H18" s="3934">
        <v>1198730.46</v>
      </c>
      <c r="I18" s="4035" t="s">
        <v>3684</v>
      </c>
      <c r="J18" s="3934">
        <v>199788.41</v>
      </c>
      <c r="K18" s="3935">
        <v>1.4</v>
      </c>
      <c r="L18" s="3935">
        <v>0</v>
      </c>
      <c r="M18" s="3935">
        <v>60805.17</v>
      </c>
      <c r="N18" s="3935">
        <v>547246.53</v>
      </c>
      <c r="O18" s="3936">
        <v>60805.17</v>
      </c>
      <c r="P18" s="3937">
        <v>0</v>
      </c>
      <c r="Q18" s="3938">
        <v>0</v>
      </c>
      <c r="R18" s="3937" t="e">
        <v>#REF!</v>
      </c>
      <c r="S18" s="3939">
        <v>24756389.460000001</v>
      </c>
      <c r="T18" s="3940">
        <v>7114204.8899999997</v>
      </c>
      <c r="U18" s="3941" t="s">
        <v>3557</v>
      </c>
      <c r="V18" s="3941" t="s">
        <v>3649</v>
      </c>
      <c r="W18" s="3906" t="s">
        <v>3679</v>
      </c>
      <c r="X18" s="3906" t="s">
        <v>3685</v>
      </c>
      <c r="Y18" s="3906" t="s">
        <v>3652</v>
      </c>
      <c r="Z18" s="3876" t="s">
        <v>3686</v>
      </c>
      <c r="AA18" s="3942">
        <v>599365.23</v>
      </c>
      <c r="AB18" s="3876" t="s">
        <v>3687</v>
      </c>
      <c r="AC18" s="3942">
        <v>199788.41</v>
      </c>
      <c r="AD18" s="3942">
        <v>182415.51</v>
      </c>
      <c r="AE18" s="3876" t="s">
        <v>3688</v>
      </c>
      <c r="AF18" s="3942">
        <v>60805.17</v>
      </c>
      <c r="AG18" s="3943">
        <v>45207</v>
      </c>
      <c r="AH18" s="3944">
        <v>182415.51</v>
      </c>
      <c r="AI18" s="3878">
        <v>0</v>
      </c>
      <c r="AJ18" s="4024">
        <v>182415.51</v>
      </c>
      <c r="AK18" s="3878">
        <v>0</v>
      </c>
    </row>
    <row r="19" spans="1:37" s="3880" customFormat="1" ht="36" customHeight="1">
      <c r="A19" s="3906">
        <v>20</v>
      </c>
      <c r="B19" s="4039" t="s">
        <v>3694</v>
      </c>
      <c r="C19" s="4039" t="s">
        <v>3695</v>
      </c>
      <c r="D19" s="3906">
        <v>328.8</v>
      </c>
      <c r="E19" s="3906" t="s">
        <v>3696</v>
      </c>
      <c r="F19" s="3947">
        <v>4.5999999999999996</v>
      </c>
      <c r="G19" s="3947">
        <v>46004.6</v>
      </c>
      <c r="H19" s="3947">
        <v>552055.19999999995</v>
      </c>
      <c r="I19" s="3934">
        <v>0</v>
      </c>
      <c r="J19" s="3947">
        <v>0</v>
      </c>
      <c r="K19" s="3935">
        <v>0</v>
      </c>
      <c r="L19" s="3935">
        <v>0</v>
      </c>
      <c r="M19" s="3935">
        <v>0</v>
      </c>
      <c r="N19" s="3935">
        <v>0</v>
      </c>
      <c r="O19" s="3936">
        <v>0</v>
      </c>
      <c r="P19" s="3937">
        <v>0</v>
      </c>
      <c r="Q19" s="3938">
        <v>0</v>
      </c>
      <c r="R19" s="4006" t="e">
        <v>#REF!</v>
      </c>
      <c r="S19" s="3940">
        <v>1656165.6</v>
      </c>
      <c r="T19" s="3940">
        <v>0</v>
      </c>
      <c r="U19" s="3941" t="s">
        <v>3675</v>
      </c>
      <c r="V19" s="3941" t="s">
        <v>3600</v>
      </c>
      <c r="W19" s="3906" t="s">
        <v>3697</v>
      </c>
      <c r="X19" s="3906" t="s">
        <v>3698</v>
      </c>
      <c r="Y19" s="3906">
        <v>0</v>
      </c>
      <c r="Z19" s="3876" t="s">
        <v>3643</v>
      </c>
      <c r="AA19" s="4030"/>
      <c r="AB19" s="3876"/>
      <c r="AC19" s="4030"/>
      <c r="AD19" s="3876"/>
      <c r="AE19" s="3876"/>
      <c r="AF19" s="3876"/>
      <c r="AG19" s="3943"/>
      <c r="AH19" s="3944"/>
      <c r="AI19" s="4010"/>
      <c r="AJ19" s="4024"/>
      <c r="AK19" s="3878"/>
    </row>
    <row r="20" spans="1:37" s="3880" customFormat="1" ht="24.95" customHeight="1">
      <c r="A20" s="3906">
        <v>27</v>
      </c>
      <c r="B20" s="4043" t="s">
        <v>3728</v>
      </c>
      <c r="C20" s="4044" t="s">
        <v>3729</v>
      </c>
      <c r="D20" s="4045">
        <v>48.27</v>
      </c>
      <c r="E20" s="4045" t="s">
        <v>630</v>
      </c>
      <c r="F20" s="4046">
        <v>4</v>
      </c>
      <c r="G20" s="4014">
        <v>5872.85</v>
      </c>
      <c r="H20" s="4014"/>
      <c r="I20" s="4014">
        <v>0</v>
      </c>
      <c r="J20" s="4014">
        <v>0</v>
      </c>
      <c r="K20" s="4016">
        <v>0</v>
      </c>
      <c r="L20" s="4016">
        <v>0</v>
      </c>
      <c r="M20" s="4016">
        <v>0</v>
      </c>
      <c r="N20" s="4016">
        <v>0</v>
      </c>
      <c r="O20" s="4017">
        <v>0</v>
      </c>
      <c r="P20" s="4018">
        <v>0</v>
      </c>
      <c r="Q20" s="4019">
        <v>0</v>
      </c>
      <c r="R20" s="4006" t="e">
        <v>#REF!</v>
      </c>
      <c r="S20" s="4047">
        <v>17618.55</v>
      </c>
      <c r="T20" s="4048">
        <v>0</v>
      </c>
      <c r="U20" s="3941" t="s">
        <v>3675</v>
      </c>
      <c r="V20" s="3941" t="s">
        <v>3588</v>
      </c>
      <c r="W20" s="4045" t="s">
        <v>3730</v>
      </c>
      <c r="X20" s="3906" t="s">
        <v>3731</v>
      </c>
      <c r="Y20" s="4045">
        <v>0</v>
      </c>
      <c r="Z20" s="4049" t="s">
        <v>3732</v>
      </c>
      <c r="AA20" s="4050">
        <v>17618.55</v>
      </c>
      <c r="AB20" s="3876" t="s">
        <v>3733</v>
      </c>
      <c r="AC20" s="4049">
        <v>0</v>
      </c>
      <c r="AD20" s="4049">
        <v>0</v>
      </c>
      <c r="AE20" s="4049">
        <v>0</v>
      </c>
      <c r="AF20" s="4049">
        <v>0</v>
      </c>
      <c r="AG20" s="4051" t="s">
        <v>3379</v>
      </c>
      <c r="AH20" s="3944">
        <v>0</v>
      </c>
      <c r="AI20" s="4052">
        <v>0</v>
      </c>
      <c r="AJ20" s="4053">
        <v>0</v>
      </c>
      <c r="AK20" s="4052">
        <v>0</v>
      </c>
    </row>
    <row r="21" spans="1:37" s="3880" customFormat="1" ht="27.95" customHeight="1">
      <c r="A21" s="3906">
        <v>51</v>
      </c>
      <c r="B21" s="4043" t="s">
        <v>3846</v>
      </c>
      <c r="C21" s="4044" t="s">
        <v>3847</v>
      </c>
      <c r="D21" s="4058">
        <v>85.49</v>
      </c>
      <c r="E21" s="4045" t="s">
        <v>3567</v>
      </c>
      <c r="F21" s="4046" t="s">
        <v>3848</v>
      </c>
      <c r="G21" s="4014"/>
      <c r="H21" s="4014"/>
      <c r="I21" s="4014"/>
      <c r="J21" s="4014">
        <v>0</v>
      </c>
      <c r="K21" s="4016">
        <v>0</v>
      </c>
      <c r="L21" s="4016">
        <v>0</v>
      </c>
      <c r="M21" s="4016">
        <v>0</v>
      </c>
      <c r="N21" s="4016">
        <v>0</v>
      </c>
      <c r="O21" s="4017">
        <v>0</v>
      </c>
      <c r="P21" s="4018">
        <v>0</v>
      </c>
      <c r="Q21" s="4019">
        <v>0</v>
      </c>
      <c r="R21" s="4055" t="e">
        <v>#REF!</v>
      </c>
      <c r="S21" s="4056"/>
      <c r="T21" s="4048"/>
      <c r="U21" s="4060" t="s">
        <v>3849</v>
      </c>
      <c r="V21" s="4060" t="s">
        <v>3600</v>
      </c>
      <c r="W21" s="4045" t="s">
        <v>3850</v>
      </c>
      <c r="X21" s="4045" t="s">
        <v>3851</v>
      </c>
      <c r="Y21" s="4045">
        <v>0</v>
      </c>
      <c r="Z21" s="4049"/>
      <c r="AA21" s="4050"/>
      <c r="AB21" s="4049"/>
      <c r="AC21" s="4050"/>
      <c r="AD21" s="4050"/>
      <c r="AE21" s="4049"/>
      <c r="AF21" s="4050"/>
      <c r="AG21" s="4051"/>
      <c r="AH21" s="3944">
        <v>0</v>
      </c>
      <c r="AI21" s="4052"/>
      <c r="AJ21" s="4053"/>
      <c r="AK21" s="4052"/>
    </row>
    <row r="22" spans="1:37" s="3880" customFormat="1" ht="27.95" customHeight="1">
      <c r="A22" s="3906">
        <v>52</v>
      </c>
      <c r="B22" s="4043" t="s">
        <v>3852</v>
      </c>
      <c r="C22" s="4044" t="s">
        <v>3853</v>
      </c>
      <c r="D22" s="4058">
        <v>1294.28</v>
      </c>
      <c r="E22" s="4045" t="s">
        <v>3854</v>
      </c>
      <c r="F22" s="4046" t="s">
        <v>3855</v>
      </c>
      <c r="G22" s="4014"/>
      <c r="H22" s="4014"/>
      <c r="I22" s="4014"/>
      <c r="J22" s="4014">
        <v>0</v>
      </c>
      <c r="K22" s="4016">
        <v>0</v>
      </c>
      <c r="L22" s="4016">
        <v>0</v>
      </c>
      <c r="M22" s="4016">
        <v>0</v>
      </c>
      <c r="N22" s="4016">
        <v>0</v>
      </c>
      <c r="O22" s="4017">
        <v>0</v>
      </c>
      <c r="P22" s="4018">
        <v>0</v>
      </c>
      <c r="Q22" s="4019">
        <v>0</v>
      </c>
      <c r="R22" s="4055" t="e">
        <v>#REF!</v>
      </c>
      <c r="S22" s="4056"/>
      <c r="T22" s="4048"/>
      <c r="U22" s="4060" t="s">
        <v>3849</v>
      </c>
      <c r="V22" s="4060" t="s">
        <v>3600</v>
      </c>
      <c r="W22" s="4045" t="s">
        <v>3856</v>
      </c>
      <c r="X22" s="4045" t="s">
        <v>3857</v>
      </c>
      <c r="Y22" s="4045">
        <v>0</v>
      </c>
      <c r="Z22" s="4049"/>
      <c r="AA22" s="4050"/>
      <c r="AB22" s="4049"/>
      <c r="AC22" s="4050"/>
      <c r="AD22" s="4050"/>
      <c r="AE22" s="4049"/>
      <c r="AF22" s="4050"/>
      <c r="AG22" s="4051"/>
      <c r="AH22" s="3944">
        <v>0</v>
      </c>
      <c r="AI22" s="4052"/>
      <c r="AJ22" s="4053"/>
      <c r="AK22" s="4052"/>
    </row>
    <row r="23" spans="1:37" s="3880" customFormat="1" ht="27.95" customHeight="1">
      <c r="A23" s="3906">
        <v>53</v>
      </c>
      <c r="B23" s="4043" t="s">
        <v>3858</v>
      </c>
      <c r="C23" s="4044" t="s">
        <v>3859</v>
      </c>
      <c r="D23" s="4058">
        <v>732.79</v>
      </c>
      <c r="E23" s="4045" t="s">
        <v>3625</v>
      </c>
      <c r="F23" s="4046" t="s">
        <v>3860</v>
      </c>
      <c r="G23" s="4014"/>
      <c r="H23" s="4014"/>
      <c r="I23" s="4014"/>
      <c r="J23" s="4014"/>
      <c r="K23" s="4016"/>
      <c r="L23" s="4016"/>
      <c r="M23" s="4016"/>
      <c r="N23" s="4016"/>
      <c r="O23" s="4017"/>
      <c r="P23" s="4018"/>
      <c r="Q23" s="4019"/>
      <c r="R23" s="4055"/>
      <c r="S23" s="4056"/>
      <c r="T23" s="4048"/>
      <c r="U23" s="4060"/>
      <c r="V23" s="4060"/>
      <c r="W23" s="4045"/>
      <c r="X23" s="4045"/>
      <c r="Y23" s="4045"/>
      <c r="Z23" s="4049"/>
      <c r="AA23" s="4050"/>
      <c r="AB23" s="4049"/>
      <c r="AC23" s="4050"/>
      <c r="AD23" s="4050"/>
      <c r="AE23" s="4049"/>
      <c r="AF23" s="4050"/>
      <c r="AG23" s="4051"/>
      <c r="AH23" s="3944"/>
      <c r="AI23" s="4052"/>
      <c r="AJ23" s="4053"/>
      <c r="AK23" s="4052"/>
    </row>
    <row r="24" spans="1:37" s="3880" customFormat="1" ht="27.95" customHeight="1">
      <c r="A24" s="3906">
        <v>54</v>
      </c>
      <c r="B24" s="4043" t="s">
        <v>3646</v>
      </c>
      <c r="C24" s="4044" t="s">
        <v>3861</v>
      </c>
      <c r="D24" s="4058">
        <v>152.35</v>
      </c>
      <c r="E24" s="4045" t="s">
        <v>3625</v>
      </c>
      <c r="F24" s="4046" t="s">
        <v>3862</v>
      </c>
      <c r="G24" s="4014"/>
      <c r="H24" s="4014"/>
      <c r="I24" s="4014"/>
      <c r="J24" s="4014">
        <v>0</v>
      </c>
      <c r="K24" s="4016">
        <v>0</v>
      </c>
      <c r="L24" s="4016">
        <v>0</v>
      </c>
      <c r="M24" s="4016">
        <v>0</v>
      </c>
      <c r="N24" s="4016">
        <v>0</v>
      </c>
      <c r="O24" s="4017">
        <v>0</v>
      </c>
      <c r="P24" s="4018">
        <v>0</v>
      </c>
      <c r="Q24" s="4019">
        <v>0</v>
      </c>
      <c r="R24" s="4055" t="e">
        <v>#REF!</v>
      </c>
      <c r="S24" s="4056"/>
      <c r="T24" s="4048"/>
      <c r="U24" s="4060" t="s">
        <v>3863</v>
      </c>
      <c r="V24" s="4060" t="s">
        <v>3600</v>
      </c>
      <c r="W24" s="4045" t="s">
        <v>3864</v>
      </c>
      <c r="X24" s="4045" t="s">
        <v>3865</v>
      </c>
      <c r="Y24" s="4045">
        <v>0</v>
      </c>
      <c r="Z24" s="4049"/>
      <c r="AA24" s="4050"/>
      <c r="AB24" s="4049"/>
      <c r="AC24" s="4050"/>
      <c r="AD24" s="4050"/>
      <c r="AE24" s="4049"/>
      <c r="AF24" s="4050"/>
      <c r="AG24" s="4051"/>
      <c r="AH24" s="3944">
        <v>0</v>
      </c>
      <c r="AI24" s="4052"/>
      <c r="AJ24" s="4053"/>
      <c r="AK24" s="4052"/>
    </row>
    <row r="25" spans="1:37" s="3880" customFormat="1" ht="27.95" customHeight="1">
      <c r="A25" s="3906">
        <v>62</v>
      </c>
      <c r="B25" s="4043" t="s">
        <v>3900</v>
      </c>
      <c r="C25" s="4044" t="s">
        <v>3901</v>
      </c>
      <c r="D25" s="4058">
        <v>187.62</v>
      </c>
      <c r="E25" s="4045" t="s">
        <v>3674</v>
      </c>
      <c r="F25" s="4046">
        <v>4</v>
      </c>
      <c r="G25" s="4063">
        <v>22827.1</v>
      </c>
      <c r="H25" s="4063">
        <v>273925.2</v>
      </c>
      <c r="I25" s="4014">
        <v>0</v>
      </c>
      <c r="J25" s="4014">
        <v>0</v>
      </c>
      <c r="K25" s="4016">
        <v>0</v>
      </c>
      <c r="L25" s="4016">
        <v>0</v>
      </c>
      <c r="M25" s="4016">
        <v>0</v>
      </c>
      <c r="N25" s="4016">
        <v>0</v>
      </c>
      <c r="O25" s="4017">
        <v>0</v>
      </c>
      <c r="P25" s="4018">
        <v>0</v>
      </c>
      <c r="Q25" s="4019">
        <v>0</v>
      </c>
      <c r="R25" s="4055" t="e">
        <v>#REF!</v>
      </c>
      <c r="S25" s="4056">
        <v>547850.4</v>
      </c>
      <c r="T25" s="4048">
        <v>0</v>
      </c>
      <c r="U25" s="3941" t="s">
        <v>3675</v>
      </c>
      <c r="V25" s="4060" t="s">
        <v>3600</v>
      </c>
      <c r="W25" s="4045" t="s">
        <v>3877</v>
      </c>
      <c r="X25" s="4045" t="s">
        <v>3870</v>
      </c>
      <c r="Y25" s="4045">
        <v>0</v>
      </c>
      <c r="Z25" s="3876" t="s">
        <v>3902</v>
      </c>
      <c r="AA25" s="4050"/>
      <c r="AB25" s="4049"/>
      <c r="AC25" s="4050"/>
      <c r="AD25" s="4049"/>
      <c r="AE25" s="4049"/>
      <c r="AF25" s="4050"/>
      <c r="AG25" s="4051"/>
      <c r="AH25" s="3944"/>
      <c r="AI25" s="4052"/>
      <c r="AJ25" s="4053"/>
      <c r="AK25" s="4052"/>
    </row>
    <row r="26" spans="1:37" s="3880" customFormat="1" ht="27.95" customHeight="1">
      <c r="A26" s="3906">
        <v>65</v>
      </c>
      <c r="B26" s="4043" t="s">
        <v>3914</v>
      </c>
      <c r="C26" s="4044" t="s">
        <v>3915</v>
      </c>
      <c r="D26" s="4058"/>
      <c r="E26" s="4045" t="s">
        <v>3625</v>
      </c>
      <c r="F26" s="4046" t="s">
        <v>3916</v>
      </c>
      <c r="G26" s="4014"/>
      <c r="H26" s="4014"/>
      <c r="I26" s="4014"/>
      <c r="J26" s="4014"/>
      <c r="K26" s="4016"/>
      <c r="L26" s="4016"/>
      <c r="M26" s="4016"/>
      <c r="N26" s="4016"/>
      <c r="O26" s="4017"/>
      <c r="P26" s="4018"/>
      <c r="Q26" s="4019"/>
      <c r="R26" s="4055" t="e">
        <v>#REF!</v>
      </c>
      <c r="S26" s="4056"/>
      <c r="T26" s="4048"/>
      <c r="U26" s="4060"/>
      <c r="V26" s="4060"/>
      <c r="W26" s="4045"/>
      <c r="X26" s="4045"/>
      <c r="Y26" s="4045"/>
      <c r="Z26" s="4049"/>
      <c r="AA26" s="4050"/>
      <c r="AB26" s="4049"/>
      <c r="AC26" s="4050"/>
      <c r="AD26" s="4049"/>
      <c r="AE26" s="4049"/>
      <c r="AF26" s="4050"/>
      <c r="AG26" s="4051"/>
      <c r="AH26" s="3944">
        <v>0</v>
      </c>
      <c r="AI26" s="4052"/>
      <c r="AJ26" s="4053"/>
      <c r="AK26" s="4052"/>
    </row>
    <row r="27" spans="1:37">
      <c r="D27" s="4113">
        <f>SUM(D2:D26)</f>
        <v>16688.179999999997</v>
      </c>
      <c r="H27" s="4116">
        <f>SUM(H2:H26)</f>
        <v>7901261.7999999998</v>
      </c>
      <c r="N27" s="4113">
        <f>SUM(N2:N26)</f>
        <v>2033379.7999999998</v>
      </c>
    </row>
    <row r="28" spans="1:37">
      <c r="C28" s="4113">
        <v>13947.579999999998</v>
      </c>
      <c r="H28" s="4113">
        <f>H27/365/D27</f>
        <v>1.2971631779343062</v>
      </c>
      <c r="N28" s="4113">
        <f>N27/365/D27</f>
        <v>0.33382331456419073</v>
      </c>
    </row>
    <row r="29" spans="1:37">
      <c r="C29" s="4113">
        <v>3617.18</v>
      </c>
    </row>
    <row r="30" spans="1:37">
      <c r="C30" s="4113">
        <f>SUM(C28:C29)</f>
        <v>17564.759999999998</v>
      </c>
      <c r="D30" s="4115">
        <f>D27/C30</f>
        <v>0.95009439354707936</v>
      </c>
    </row>
    <row r="31" spans="1:37">
      <c r="D31" s="4117">
        <f>D2+D4+D5+D6+D15+D16+D17+D18+D19+D25</f>
        <v>11680.630000000001</v>
      </c>
      <c r="H31" s="4113">
        <f>H27+N27</f>
        <v>9934641.5999999996</v>
      </c>
    </row>
    <row r="32" spans="1:37">
      <c r="H32" s="4113">
        <f>H31/365/D31</f>
        <v>2.3301993269527035</v>
      </c>
    </row>
    <row r="34" spans="3:4">
      <c r="C34" s="4114" t="s">
        <v>3940</v>
      </c>
      <c r="D34" s="4117">
        <f>D22</f>
        <v>1294.28</v>
      </c>
    </row>
    <row r="35" spans="3:4">
      <c r="C35" s="4114" t="s">
        <v>3941</v>
      </c>
      <c r="D35" s="4113">
        <f>D13+D15</f>
        <v>1001.8399999999999</v>
      </c>
    </row>
    <row r="36" spans="3:4">
      <c r="C36" s="4114" t="s">
        <v>3942</v>
      </c>
      <c r="D36" s="4117">
        <f>D9+D14+D16+D17+D24</f>
        <v>1343.7799999999997</v>
      </c>
    </row>
    <row r="37" spans="3:4">
      <c r="C37" s="4114" t="s">
        <v>3943</v>
      </c>
      <c r="D37" s="4117">
        <f>D10+D11+D12+D19+D20+D25</f>
        <v>1700.52</v>
      </c>
    </row>
    <row r="38" spans="3:4">
      <c r="C38" s="4114" t="s">
        <v>3944</v>
      </c>
      <c r="D38" s="4113">
        <f>D18</f>
        <v>1427.91</v>
      </c>
    </row>
    <row r="39" spans="3:4">
      <c r="C39" s="4114" t="s">
        <v>3945</v>
      </c>
      <c r="D39" s="4117">
        <f>D6+D23</f>
        <v>4893.47</v>
      </c>
    </row>
    <row r="40" spans="3:4">
      <c r="C40" s="4114" t="s">
        <v>3946</v>
      </c>
      <c r="D40" s="4113">
        <f>D2</f>
        <v>3403.95</v>
      </c>
    </row>
    <row r="41" spans="3:4">
      <c r="C41" s="4114" t="s">
        <v>3947</v>
      </c>
      <c r="D41" s="4113">
        <v>0</v>
      </c>
    </row>
    <row r="42" spans="3:4">
      <c r="C42" s="4114" t="s">
        <v>3948</v>
      </c>
      <c r="D42" s="4113">
        <f>D4+D5</f>
        <v>1536.94</v>
      </c>
    </row>
  </sheetData>
  <mergeCells count="80">
    <mergeCell ref="AA16:AB16"/>
    <mergeCell ref="AK6:AK8"/>
    <mergeCell ref="L10:L11"/>
    <mergeCell ref="U10:U11"/>
    <mergeCell ref="V10:V11"/>
    <mergeCell ref="X10:X11"/>
    <mergeCell ref="Y10:Y11"/>
    <mergeCell ref="Z10:Z11"/>
    <mergeCell ref="AD10:AE10"/>
    <mergeCell ref="AD11:AE11"/>
    <mergeCell ref="AE6:AE8"/>
    <mergeCell ref="AF6:AF8"/>
    <mergeCell ref="AG6:AG8"/>
    <mergeCell ref="AH6:AH8"/>
    <mergeCell ref="AI6:AI8"/>
    <mergeCell ref="AJ6:AJ8"/>
    <mergeCell ref="Y6:Y8"/>
    <mergeCell ref="Z6:Z8"/>
    <mergeCell ref="AA6:AA8"/>
    <mergeCell ref="AB6:AB8"/>
    <mergeCell ref="AC6:AC8"/>
    <mergeCell ref="AD6:AD8"/>
    <mergeCell ref="S6:S8"/>
    <mergeCell ref="T6:T8"/>
    <mergeCell ref="U6:U8"/>
    <mergeCell ref="V6:V8"/>
    <mergeCell ref="W6:W8"/>
    <mergeCell ref="X6:X8"/>
    <mergeCell ref="M6:M8"/>
    <mergeCell ref="N6:N8"/>
    <mergeCell ref="O6:O8"/>
    <mergeCell ref="P6:P8"/>
    <mergeCell ref="Q6:Q8"/>
    <mergeCell ref="R6:R8"/>
    <mergeCell ref="G6:G8"/>
    <mergeCell ref="H6:H8"/>
    <mergeCell ref="I6:I8"/>
    <mergeCell ref="J6:J8"/>
    <mergeCell ref="K6:K8"/>
    <mergeCell ref="L6:L8"/>
    <mergeCell ref="AI2:AI3"/>
    <mergeCell ref="AJ2:AJ3"/>
    <mergeCell ref="AK2:AK3"/>
    <mergeCell ref="AL2:AL3"/>
    <mergeCell ref="AO2:AO3"/>
    <mergeCell ref="A6:A8"/>
    <mergeCell ref="B6:B8"/>
    <mergeCell ref="D6:D7"/>
    <mergeCell ref="E6:E8"/>
    <mergeCell ref="F6:F8"/>
    <mergeCell ref="AC2:AC3"/>
    <mergeCell ref="AD2:AD3"/>
    <mergeCell ref="AE2:AE3"/>
    <mergeCell ref="AF2:AF3"/>
    <mergeCell ref="AG2:AG3"/>
    <mergeCell ref="AH2:AH3"/>
    <mergeCell ref="W2:W3"/>
    <mergeCell ref="X2:X3"/>
    <mergeCell ref="Y2:Y3"/>
    <mergeCell ref="Z2:Z3"/>
    <mergeCell ref="AA2:AA3"/>
    <mergeCell ref="AB2:AB3"/>
    <mergeCell ref="Q2:Q3"/>
    <mergeCell ref="R2:R3"/>
    <mergeCell ref="S2:S3"/>
    <mergeCell ref="T2:T3"/>
    <mergeCell ref="U2:U3"/>
    <mergeCell ref="V2:V3"/>
    <mergeCell ref="K2:K3"/>
    <mergeCell ref="L2:L3"/>
    <mergeCell ref="M2:M3"/>
    <mergeCell ref="N2:N3"/>
    <mergeCell ref="O2:O3"/>
    <mergeCell ref="P2:P3"/>
    <mergeCell ref="A2:A3"/>
    <mergeCell ref="B2:B3"/>
    <mergeCell ref="E2:E3"/>
    <mergeCell ref="H2:H3"/>
    <mergeCell ref="I2:I3"/>
    <mergeCell ref="J2:J3"/>
  </mergeCells>
  <phoneticPr fontId="13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8" t="s">
        <v>948</v>
      </c>
      <c r="B1" s="3538"/>
      <c r="C1" s="3538"/>
      <c r="D1" s="3538"/>
    </row>
    <row r="2" spans="1:4" ht="18">
      <c r="A2" s="3539" t="s">
        <v>932</v>
      </c>
      <c r="B2" s="3539"/>
      <c r="C2" s="3539"/>
      <c r="D2" s="3539"/>
    </row>
    <row r="3" spans="1:4" ht="18.75">
      <c r="A3" s="1505" t="s">
        <v>933</v>
      </c>
      <c r="B3" s="1505" t="s">
        <v>934</v>
      </c>
      <c r="C3" s="1505" t="s">
        <v>935</v>
      </c>
      <c r="D3" s="1505" t="s">
        <v>936</v>
      </c>
    </row>
    <row r="4" spans="1:4" ht="56.25" customHeight="1">
      <c r="A4" s="1506">
        <f>项目基本情况!B4</f>
        <v>0</v>
      </c>
      <c r="B4" s="1507">
        <f>项目基本情况!C4</f>
        <v>0</v>
      </c>
      <c r="C4" s="1508"/>
      <c r="D4" s="1509" t="s">
        <v>937</v>
      </c>
    </row>
    <row r="5" spans="1:4" ht="56.25" customHeight="1">
      <c r="A5" s="1506">
        <f>项目基本情况!D4</f>
        <v>0</v>
      </c>
      <c r="B5" s="1507">
        <f>项目基本情况!E4</f>
        <v>0</v>
      </c>
      <c r="C5" s="1510"/>
      <c r="D5" s="1509" t="s">
        <v>937</v>
      </c>
    </row>
    <row r="6" spans="1:4" ht="18">
      <c r="A6" s="3539" t="s">
        <v>938</v>
      </c>
      <c r="B6" s="3539"/>
      <c r="C6" s="3539"/>
      <c r="D6" s="3539"/>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40" t="s">
        <v>941</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41" t="str">
        <f>IF(项目基本情况!B8="抵押","4.本次评估估价师所知悉的法定优先受偿款情况说明如下：","——")</f>
        <v>4.本次评估估价师所知悉的法定优先受偿款情况说明如下：</v>
      </c>
      <c r="B14" s="3542"/>
      <c r="C14" s="3542"/>
      <c r="D14" s="3542"/>
    </row>
    <row r="15" spans="1:4" ht="42" customHeight="1">
      <c r="A15" s="35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1"/>
      <c r="C15" s="3541"/>
      <c r="D15" s="3541"/>
    </row>
    <row r="16" spans="1:4" ht="30" customHeight="1">
      <c r="A16" s="3544" t="s">
        <v>942</v>
      </c>
      <c r="B16" s="3544"/>
      <c r="C16" s="3544"/>
      <c r="D16" s="3544"/>
    </row>
    <row r="17" spans="1:4" ht="144" customHeight="1">
      <c r="A17" s="3544" t="s">
        <v>943</v>
      </c>
      <c r="B17" s="3544"/>
      <c r="C17" s="3544"/>
      <c r="D17" s="3544"/>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944</v>
      </c>
      <c r="B22" s="3546"/>
      <c r="C22" s="3546"/>
      <c r="D22" s="3546"/>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52" t="s">
        <v>955</v>
      </c>
      <c r="B15" s="3547" t="s">
        <v>109</v>
      </c>
      <c r="C15" s="3548"/>
    </row>
    <row r="16" spans="1:7" ht="13.5">
      <c r="A16" s="3553"/>
      <c r="B16" s="3547" t="s">
        <v>42</v>
      </c>
      <c r="C16" s="3548"/>
    </row>
    <row r="17" spans="1:3" ht="13.5">
      <c r="A17" s="3553"/>
      <c r="B17" s="3550" t="s">
        <v>956</v>
      </c>
      <c r="C17" s="1528" t="s">
        <v>955</v>
      </c>
    </row>
    <row r="18" spans="1:3" ht="13.5">
      <c r="A18" s="3553"/>
      <c r="B18" s="3550"/>
      <c r="C18" s="1528" t="s">
        <v>957</v>
      </c>
    </row>
    <row r="19" spans="1:3" ht="13.5">
      <c r="A19" s="3553"/>
      <c r="B19" s="3550"/>
      <c r="C19" s="1528" t="s">
        <v>958</v>
      </c>
    </row>
    <row r="20" spans="1:3" ht="13.5">
      <c r="A20" s="3554"/>
      <c r="B20" s="3549" t="s">
        <v>959</v>
      </c>
      <c r="C20" s="3548"/>
    </row>
    <row r="21" spans="1:3" ht="13.5">
      <c r="A21" s="1529" t="s">
        <v>960</v>
      </c>
      <c r="B21" s="1530"/>
      <c r="C21" s="1531"/>
    </row>
    <row r="22" spans="1:3" ht="13.5">
      <c r="A22" s="3551" t="s">
        <v>961</v>
      </c>
      <c r="B22" s="3549" t="s">
        <v>962</v>
      </c>
      <c r="C22" s="3548"/>
    </row>
    <row r="23" spans="1:3" ht="13.5">
      <c r="A23" s="3551"/>
      <c r="B23" s="3549" t="s">
        <v>963</v>
      </c>
      <c r="C23" s="3548"/>
    </row>
    <row r="24" spans="1:3" ht="13.5">
      <c r="A24" s="3551"/>
      <c r="B24" s="3549" t="s">
        <v>964</v>
      </c>
      <c r="C24" s="3548"/>
    </row>
    <row r="25" spans="1:3" ht="13.5">
      <c r="A25" s="3551"/>
      <c r="B25" s="3550" t="s">
        <v>965</v>
      </c>
      <c r="C25" s="1528" t="s">
        <v>966</v>
      </c>
    </row>
    <row r="26" spans="1:3" ht="13.5">
      <c r="A26" s="3551"/>
      <c r="B26" s="3550"/>
      <c r="C26" s="1528" t="s">
        <v>967</v>
      </c>
    </row>
    <row r="27" spans="1:3" ht="13.5">
      <c r="A27" s="3551"/>
      <c r="B27" s="3550"/>
      <c r="C27" s="1528" t="s">
        <v>968</v>
      </c>
    </row>
    <row r="28" spans="1:3" ht="13.5">
      <c r="A28" s="3551"/>
      <c r="B28" s="3550"/>
      <c r="C28" s="1528" t="s">
        <v>969</v>
      </c>
    </row>
    <row r="29" spans="1:3" ht="13.5">
      <c r="A29" s="3551"/>
      <c r="B29" s="3550"/>
      <c r="C29" s="1528" t="s">
        <v>970</v>
      </c>
    </row>
    <row r="30" spans="1:3" ht="13.5">
      <c r="A30" s="3551"/>
      <c r="B30" s="3550"/>
      <c r="C30" s="1528" t="s">
        <v>971</v>
      </c>
    </row>
    <row r="31" spans="1:3" ht="13.5">
      <c r="A31" s="3551"/>
      <c r="B31" s="3550"/>
      <c r="C31" s="1528" t="s">
        <v>972</v>
      </c>
    </row>
    <row r="32" spans="1:3" ht="13.5">
      <c r="A32" s="3551"/>
      <c r="B32" s="3550"/>
      <c r="C32" s="1528" t="s">
        <v>973</v>
      </c>
    </row>
    <row r="33" spans="1:3" ht="13.5">
      <c r="A33" s="3551"/>
      <c r="B33" s="3550"/>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45464</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5" t="s">
        <v>2155</v>
      </c>
      <c r="B17" s="3555"/>
      <c r="C17" s="3555"/>
      <c r="D17" s="3555"/>
      <c r="E17" s="3555"/>
      <c r="F17" s="3555"/>
      <c r="G17" s="3555"/>
      <c r="H17" s="3555"/>
    </row>
    <row r="18" spans="1:8" ht="24" customHeight="1">
      <c r="A18" s="3556" t="s">
        <v>2156</v>
      </c>
      <c r="B18" s="3556"/>
      <c r="C18" s="3556"/>
      <c r="D18" s="2339"/>
      <c r="E18" s="3557" t="s">
        <v>2157</v>
      </c>
      <c r="F18" s="3556"/>
      <c r="G18" s="3556"/>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台账-总</vt:lpstr>
      <vt:lpstr>台账-办公</vt:lpstr>
      <vt:lpstr>台账-商业</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2024-06-21T05:51:18Z</dcterms:modified>
</cp:coreProperties>
</file>