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3" i="1" l="1"/>
  <c r="W22" i="1"/>
  <c r="W21" i="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7"/>
  <c r="C76" i="88"/>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L47" i="87"/>
  <c r="F8" i="87"/>
  <c r="F13" i="87"/>
  <c r="F16" i="87"/>
  <c r="F9" i="88"/>
  <c r="F38" i="87"/>
  <c r="M28" i="88"/>
  <c r="M22" i="87"/>
  <c r="F7" i="87"/>
  <c r="M6" i="88"/>
  <c r="F40" i="87"/>
  <c r="J15" i="87"/>
  <c r="F7" i="88"/>
  <c r="F42" i="88"/>
  <c r="M27" i="87"/>
  <c r="F40" i="88"/>
  <c r="F36" i="88"/>
  <c r="M23" i="88"/>
  <c r="M26" i="88"/>
  <c r="M9" i="87"/>
  <c r="L47" i="88"/>
  <c r="M23" i="87"/>
  <c r="F13" i="88"/>
  <c r="F36" i="87"/>
  <c r="F6" i="88"/>
  <c r="F9" i="87"/>
  <c r="M8" i="87"/>
  <c r="M22" i="88"/>
  <c r="M24" i="87"/>
  <c r="M24" i="88"/>
  <c r="M9" i="88"/>
  <c r="F42" i="87"/>
  <c r="M27" i="88"/>
  <c r="M28" i="87"/>
  <c r="F37" i="88"/>
  <c r="F6" i="87"/>
  <c r="J15" i="88"/>
  <c r="F26" i="88"/>
  <c r="F38" i="88"/>
  <c r="M26" i="87"/>
  <c r="F37" i="87"/>
  <c r="F26" i="87"/>
  <c r="F8" i="88"/>
  <c r="M6" i="87"/>
  <c r="M8" i="88"/>
  <c r="F16" i="88"/>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88"/>
  <c r="D5" i="73"/>
  <c r="F20" i="31"/>
  <c r="D7" i="73"/>
  <c r="F3" i="73"/>
  <c r="B9" i="76"/>
  <c r="D3" i="73"/>
  <c r="B13" i="76"/>
  <c r="D6" i="73"/>
  <c r="F6" i="73"/>
  <c r="F7" i="73"/>
  <c r="E9" i="76"/>
  <c r="E11" i="76"/>
  <c r="E12" i="76"/>
  <c r="E2" i="68"/>
  <c r="B11" i="76"/>
  <c r="B12" i="76"/>
  <c r="E13" i="76"/>
  <c r="E10" i="76"/>
  <c r="F43" i="88"/>
  <c r="F4" i="73"/>
  <c r="B10" i="76"/>
  <c r="F5" i="73"/>
  <c r="D4" i="73"/>
  <c r="E2" i="69"/>
  <c r="E8" i="76"/>
  <c r="B8" i="76"/>
  <c r="AO13" i="1"/>
  <c r="G15" i="3" l="1"/>
  <c r="C7" i="35"/>
  <c r="C48" i="35" s="1"/>
  <c r="D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M28" i="82"/>
  <c r="F37" i="82"/>
  <c r="M26" i="15"/>
  <c r="L48" i="15"/>
  <c r="M26" i="67"/>
  <c r="F8" i="15"/>
  <c r="F13" i="15"/>
  <c r="L48" i="87"/>
  <c r="F26" i="67"/>
  <c r="F36" i="82"/>
  <c r="M28" i="67"/>
  <c r="L47" i="67"/>
  <c r="F9" i="82"/>
  <c r="M6" i="15"/>
  <c r="F26" i="82"/>
  <c r="F8" i="82"/>
  <c r="M24" i="67"/>
  <c r="F43" i="82"/>
  <c r="M28" i="15"/>
  <c r="J15" i="82"/>
  <c r="M8" i="82"/>
  <c r="F36" i="15"/>
  <c r="M24" i="15"/>
  <c r="F38" i="67"/>
  <c r="F38" i="82"/>
  <c r="M8" i="67"/>
  <c r="F9" i="15"/>
  <c r="M24" i="82"/>
  <c r="F8" i="67"/>
  <c r="F42" i="67"/>
  <c r="F6" i="82"/>
  <c r="M6" i="67"/>
  <c r="C76" i="67"/>
  <c r="M27" i="82"/>
  <c r="L47" i="15"/>
  <c r="F36" i="67"/>
  <c r="F6" i="15"/>
  <c r="M26" i="82"/>
  <c r="M23" i="82"/>
  <c r="C76" i="82"/>
  <c r="G1" i="73"/>
  <c r="F6" i="67"/>
  <c r="F27" i="83"/>
  <c r="F13" i="67"/>
  <c r="L48" i="88"/>
  <c r="F40" i="82"/>
  <c r="F42" i="82"/>
  <c r="L48" i="67"/>
  <c r="F16" i="15"/>
  <c r="D9" i="83"/>
  <c r="F38" i="15"/>
  <c r="M23" i="15"/>
  <c r="J15" i="67"/>
  <c r="F16" i="82"/>
  <c r="L48" i="82"/>
  <c r="F40" i="15"/>
  <c r="F37" i="67"/>
  <c r="F16" i="67"/>
  <c r="M9" i="82"/>
  <c r="J15" i="15"/>
  <c r="F13" i="82"/>
  <c r="M9" i="15"/>
  <c r="M8" i="15"/>
  <c r="M22" i="82"/>
  <c r="M29" i="82"/>
  <c r="F9" i="67"/>
  <c r="M23" i="67"/>
  <c r="F42" i="15"/>
  <c r="C16" i="88"/>
  <c r="C76" i="15"/>
  <c r="F26" i="15"/>
  <c r="M9" i="67"/>
  <c r="L47" i="82"/>
  <c r="C36" i="83"/>
  <c r="F40" i="67"/>
  <c r="F37" i="15"/>
  <c r="M6" i="82"/>
  <c r="M22" i="15"/>
  <c r="M22" i="67"/>
  <c r="F7" i="82"/>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F43" i="87"/>
  <c r="M29" i="87"/>
  <c r="C16" i="82"/>
  <c r="J5" i="82" l="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J26" i="82"/>
  <c r="J24" i="82"/>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6" i="1"/>
  <c r="C16" i="87"/>
  <c r="AE7" i="1"/>
  <c r="M27" i="67"/>
  <c r="F41" i="82"/>
  <c r="AE8" i="1"/>
  <c r="M27" i="15"/>
  <c r="G37" i="86" l="1"/>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15"/>
  <c r="F41" i="87"/>
  <c r="C17" i="82"/>
  <c r="F41" i="88"/>
  <c r="F41" i="67"/>
  <c r="D10" i="83"/>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M21" i="82"/>
  <c r="C14" i="82"/>
  <c r="F35" i="82"/>
  <c r="C34" i="83"/>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L51" i="82"/>
  <c r="D2" i="21"/>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19" i="85"/>
  <c r="D2" i="34"/>
  <c r="D2" i="35"/>
  <c r="D2" i="36"/>
  <c r="D2" i="37"/>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1" i="1"/>
  <c r="AO9" i="1"/>
  <c r="D20" i="85"/>
  <c r="AO10" i="1"/>
  <c r="AO12" i="1"/>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F43" i="15"/>
  <c r="F7" i="67"/>
  <c r="F7" i="15"/>
  <c r="M29" i="15"/>
  <c r="M29" i="67"/>
  <c r="F43" i="67"/>
  <c r="C16" i="67"/>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6" i="15"/>
  <c r="C14" i="67"/>
  <c r="C17" i="67"/>
  <c r="C17" i="15"/>
  <c r="C15" i="67" l="1"/>
  <c r="C18" i="67"/>
  <c r="C19"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28" i="11"/>
  <c r="C27" i="11" s="1"/>
  <c r="C10" i="67"/>
  <c r="C5" i="67" s="1"/>
  <c r="C32" i="67"/>
  <c r="C33" i="67"/>
  <c r="C17" i="88"/>
  <c r="C17" i="87"/>
  <c r="F35" i="67"/>
  <c r="F35" i="15"/>
  <c r="M21" i="67"/>
  <c r="M21" i="15"/>
  <c r="C14" i="15"/>
  <c r="E6" i="76"/>
  <c r="C22" i="11" l="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31" i="11" s="1"/>
  <c r="C47" i="11"/>
  <c r="D45" i="11" s="1"/>
  <c r="AC10" i="39"/>
  <c r="W10" i="39"/>
  <c r="AB10" i="39"/>
  <c r="U10" i="39"/>
  <c r="F45" i="69"/>
  <c r="C29" i="69"/>
  <c r="D27" i="69" s="1"/>
  <c r="C47" i="69"/>
  <c r="D45" i="69" s="1"/>
  <c r="C21" i="12"/>
  <c r="C20" i="67"/>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59" i="15" s="1"/>
  <c r="C66" i="15"/>
  <c r="D27" i="6"/>
  <c r="D31" i="6" s="1"/>
  <c r="D19" i="69"/>
  <c r="D37" i="69" s="1"/>
  <c r="C37" i="69" s="1"/>
  <c r="C33" i="69" s="1"/>
  <c r="C10" i="69"/>
  <c r="C8" i="69" s="1"/>
  <c r="R26" i="6"/>
  <c r="D16" i="6"/>
  <c r="C7" i="69"/>
  <c r="AA10" i="39"/>
  <c r="S10" i="39"/>
  <c r="J26" i="15"/>
  <c r="J29" i="15" s="1"/>
  <c r="J24" i="15"/>
  <c r="M21" i="88"/>
  <c r="F35" i="88"/>
  <c r="C14" i="88"/>
  <c r="C14" i="87"/>
  <c r="B6" i="76"/>
  <c r="C52" i="83" l="1"/>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57" i="83"/>
  <c r="B3" i="83"/>
  <c r="C20" i="85" s="1"/>
  <c r="C19" i="85"/>
  <c r="D35" i="85"/>
  <c r="C20" i="69" l="1"/>
  <c r="C25" i="69" s="1"/>
  <c r="C21" i="85"/>
  <c r="C102" i="85"/>
  <c r="D22" i="85"/>
  <c r="G19" i="85"/>
  <c r="G21" i="85" s="1"/>
  <c r="G20" i="85"/>
  <c r="C103" i="85"/>
  <c r="C19" i="87"/>
  <c r="C20" i="87" s="1"/>
  <c r="C23" i="87" s="1"/>
  <c r="C29" i="67"/>
  <c r="C36" i="67" s="1"/>
  <c r="C33" i="68"/>
  <c r="C91" i="9" s="1"/>
  <c r="C41" i="69"/>
  <c r="C30" i="12"/>
  <c r="C28" i="12" s="1"/>
  <c r="C32" i="12" s="1"/>
  <c r="B2" i="12" s="1"/>
  <c r="B3" i="12" s="1"/>
  <c r="C46" i="69"/>
  <c r="C45" i="69" s="1"/>
  <c r="C33" i="11"/>
  <c r="C42" i="11" s="1"/>
  <c r="C19" i="88"/>
  <c r="C20" i="88" s="1"/>
  <c r="C26" i="88" s="1"/>
  <c r="C42" i="68"/>
  <c r="C39" i="68"/>
  <c r="C43" i="68" s="1"/>
  <c r="C28" i="69"/>
  <c r="C27" i="69" s="1"/>
  <c r="C56" i="83"/>
  <c r="H27" i="6"/>
  <c r="R19" i="6"/>
  <c r="C23" i="15"/>
  <c r="C29" i="15" s="1"/>
  <c r="F11" i="40"/>
  <c r="H11" i="40"/>
  <c r="J11" i="40"/>
  <c r="C22" i="69"/>
  <c r="C31" i="69" s="1"/>
  <c r="D27" i="85"/>
  <c r="C32" i="85"/>
  <c r="J26" i="86"/>
  <c r="G26" i="86"/>
  <c r="Z7" i="86"/>
  <c r="F26" i="86"/>
  <c r="H26" i="86"/>
  <c r="E26" i="86"/>
  <c r="B116" i="86"/>
  <c r="D34" i="85"/>
  <c r="J14" i="67" l="1"/>
  <c r="J22" i="67" s="1"/>
  <c r="C13" i="67"/>
  <c r="C57" i="67"/>
  <c r="C64" i="67" s="1"/>
  <c r="Q49" i="67"/>
  <c r="J59" i="67"/>
  <c r="J60" i="67" s="1"/>
  <c r="C39" i="11"/>
  <c r="C43" i="11" s="1"/>
  <c r="C56" i="67"/>
  <c r="C65" i="67" s="1"/>
  <c r="C58" i="67" s="1"/>
  <c r="C67" i="67" s="1"/>
  <c r="C68" i="67" s="1"/>
  <c r="C71" i="67" s="1"/>
  <c r="C37" i="67"/>
  <c r="C30" i="67" s="1"/>
  <c r="C39" i="67" s="1"/>
  <c r="Q69" i="67" s="1"/>
  <c r="C49" i="69"/>
  <c r="C51" i="69" s="1"/>
  <c r="C52" i="69" s="1"/>
  <c r="B2" i="69" s="1"/>
  <c r="B3" i="69" s="1"/>
  <c r="J13" i="67"/>
  <c r="J23" i="67" s="1"/>
  <c r="J16" i="67" s="1"/>
  <c r="J25" i="67" s="1"/>
  <c r="C41" i="68"/>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I118" i="85"/>
  <c r="C35" i="85"/>
  <c r="G118" i="85" s="1"/>
  <c r="F118" i="85" s="1"/>
  <c r="F119" i="85" s="1"/>
  <c r="AB11" i="40"/>
  <c r="U11" i="40"/>
  <c r="C41" i="11"/>
  <c r="S11" i="40"/>
  <c r="AA11" i="40"/>
  <c r="C94" i="9"/>
  <c r="C92" i="9"/>
  <c r="C23" i="88"/>
  <c r="C29" i="88" s="1"/>
  <c r="C26" i="87"/>
  <c r="C29" i="87" s="1"/>
  <c r="C46" i="68"/>
  <c r="C45" i="68" s="1"/>
  <c r="C46" i="11"/>
  <c r="C45" i="11" s="1"/>
  <c r="L51" i="67"/>
  <c r="F35" i="87"/>
  <c r="M21" i="87"/>
  <c r="L46" i="67" l="1"/>
  <c r="Q48" i="67"/>
  <c r="C75" i="67"/>
  <c r="C80" i="67" s="1"/>
  <c r="C79" i="67" s="1"/>
  <c r="Q70" i="67"/>
  <c r="Q68" i="67" s="1"/>
  <c r="C49" i="68"/>
  <c r="C51" i="68" s="1"/>
  <c r="Q67" i="67"/>
  <c r="C40" i="67"/>
  <c r="C45" i="67" s="1"/>
  <c r="C46" i="67" s="1"/>
  <c r="C57" i="69"/>
  <c r="C56" i="69" s="1"/>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C75" i="15"/>
  <c r="C56" i="15"/>
  <c r="C65" i="15" s="1"/>
  <c r="C58" i="15" s="1"/>
  <c r="C67" i="15" s="1"/>
  <c r="C68" i="15" s="1"/>
  <c r="E118" i="85"/>
  <c r="D118" i="85" s="1"/>
  <c r="D119" i="85" s="1"/>
  <c r="H118" i="85"/>
  <c r="H102" i="85"/>
  <c r="C105" i="85"/>
  <c r="Q65" i="67"/>
  <c r="Q75" i="67" s="1"/>
  <c r="C34" i="85"/>
  <c r="J22" i="15"/>
  <c r="J13" i="15"/>
  <c r="J23" i="15" s="1"/>
  <c r="R16" i="1"/>
  <c r="L51" i="15"/>
  <c r="D2" i="67" l="1"/>
  <c r="C83" i="67"/>
  <c r="C82" i="67" s="1"/>
  <c r="C43" i="67"/>
  <c r="Q47" i="67"/>
  <c r="Q53" i="67" s="1"/>
  <c r="Q56" i="67"/>
  <c r="Q62" i="67" s="1"/>
  <c r="C80" i="15"/>
  <c r="C79" i="15" s="1"/>
  <c r="C56" i="11"/>
  <c r="C57" i="11" s="1"/>
  <c r="Q67" i="15"/>
  <c r="H119" i="85"/>
  <c r="C104" i="85"/>
  <c r="H101" i="85"/>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C75" i="88"/>
  <c r="Q70" i="88"/>
  <c r="C56" i="88"/>
  <c r="C65" i="88" s="1"/>
  <c r="C58" i="88" s="1"/>
  <c r="C67" i="88" s="1"/>
  <c r="C68" i="88" s="1"/>
  <c r="Q48" i="88"/>
  <c r="L46" i="88"/>
  <c r="C30" i="87"/>
  <c r="C39" i="87" s="1"/>
  <c r="C40" i="15"/>
  <c r="Q69" i="15"/>
  <c r="Q68" i="15" s="1"/>
  <c r="C71" i="15"/>
  <c r="B3" i="67"/>
  <c r="B2" i="67"/>
  <c r="J22" i="88"/>
  <c r="J13" i="88"/>
  <c r="J23" i="88" s="1"/>
  <c r="L51" i="87"/>
  <c r="E7" i="76"/>
  <c r="L51" i="88"/>
  <c r="J16" i="87" l="1"/>
  <c r="J25" i="87" s="1"/>
  <c r="Q67" i="88"/>
  <c r="E2" i="76"/>
  <c r="Q67" i="87"/>
  <c r="C71" i="87"/>
  <c r="C40" i="88"/>
  <c r="Q69" i="88"/>
  <c r="Q68" i="88" s="1"/>
  <c r="C71" i="88"/>
  <c r="C43" i="15"/>
  <c r="Q65" i="15"/>
  <c r="Q75" i="15" s="1"/>
  <c r="B2" i="15"/>
  <c r="Q56" i="15"/>
  <c r="Q62" i="15" s="1"/>
  <c r="Q47" i="15"/>
  <c r="Q53" i="15" s="1"/>
  <c r="C83" i="15"/>
  <c r="C82" i="15" s="1"/>
  <c r="M48" i="85"/>
  <c r="H107" i="85"/>
  <c r="D45" i="85"/>
  <c r="B2" i="86"/>
  <c r="C80" i="87"/>
  <c r="C79" i="87" s="1"/>
  <c r="C40" i="87"/>
  <c r="Q69" i="87"/>
  <c r="Q68" i="87" s="1"/>
  <c r="J16" i="88"/>
  <c r="J25" i="88" s="1"/>
  <c r="C46" i="15"/>
  <c r="C80" i="88"/>
  <c r="C79" i="88" s="1"/>
  <c r="B7" i="76"/>
  <c r="AO7" i="1"/>
  <c r="B7" i="70" l="1"/>
  <c r="C6" i="68"/>
  <c r="B2" i="76"/>
  <c r="B3" i="76" s="1"/>
  <c r="B3" i="15"/>
  <c r="B3" i="86"/>
  <c r="D52" i="85"/>
  <c r="D53" i="85"/>
  <c r="D55" i="85"/>
  <c r="M53" i="85" s="1"/>
  <c r="C72" i="85"/>
  <c r="C78" i="85"/>
  <c r="C73" i="85" s="1"/>
  <c r="C85" i="85"/>
  <c r="C64" i="85"/>
  <c r="C63" i="85" s="1"/>
  <c r="C67" i="85" s="1"/>
  <c r="C93" i="85"/>
  <c r="C86" i="85" s="1"/>
  <c r="B2" i="88"/>
  <c r="C43" i="88"/>
  <c r="Q47" i="88"/>
  <c r="Q53" i="88" s="1"/>
  <c r="Q65" i="88"/>
  <c r="Q75" i="88" s="1"/>
  <c r="Q56" i="88"/>
  <c r="Q62" i="88" s="1"/>
  <c r="C83" i="88"/>
  <c r="C82" i="88" s="1"/>
  <c r="B2" i="87"/>
  <c r="C43" i="87"/>
  <c r="Q65" i="87"/>
  <c r="Q75" i="87" s="1"/>
  <c r="Q47" i="87"/>
  <c r="Q53" i="87" s="1"/>
  <c r="Q56" i="87"/>
  <c r="Q62" i="87" s="1"/>
  <c r="C83" i="87"/>
  <c r="C82" i="87" s="1"/>
  <c r="M49" i="85"/>
  <c r="D122" i="85"/>
  <c r="D123" i="85" s="1"/>
  <c r="H108" i="85"/>
  <c r="C46" i="88"/>
  <c r="C46" i="87"/>
  <c r="AO6" i="1"/>
  <c r="AO8" i="1"/>
  <c r="C95" i="85" l="1"/>
  <c r="C96" i="85" s="1"/>
  <c r="E96" i="85" s="1"/>
  <c r="E97" i="85" s="1"/>
  <c r="B8" i="70"/>
  <c r="B6" i="70"/>
  <c r="D59" i="85"/>
  <c r="M55" i="85" s="1"/>
  <c r="C68" i="85"/>
  <c r="D54" i="85" s="1"/>
  <c r="L67" i="85"/>
  <c r="M67" i="85" s="1"/>
  <c r="L66" i="85"/>
  <c r="M66" i="85" s="1"/>
  <c r="L68" i="85"/>
  <c r="M68" i="85" s="1"/>
  <c r="L63" i="85"/>
  <c r="M63" i="85" s="1"/>
  <c r="M69" i="85" s="1"/>
  <c r="N69" i="85" s="1"/>
  <c r="L64" i="85"/>
  <c r="M64" i="85" s="1"/>
  <c r="L65" i="85"/>
  <c r="M65" i="85" s="1"/>
  <c r="B3" i="88"/>
  <c r="C7" i="68"/>
  <c r="C5" i="68" s="1"/>
  <c r="B3" i="87"/>
  <c r="C79" i="85"/>
  <c r="C97" i="85" l="1"/>
  <c r="D58" i="85" s="1"/>
  <c r="D56" i="85" s="1"/>
  <c r="M54" i="85" s="1"/>
  <c r="N57" i="85" s="1"/>
  <c r="N59" i="85" s="1"/>
  <c r="B2" i="70"/>
  <c r="C81" i="85"/>
  <c r="C80" i="85"/>
  <c r="E80" i="85" s="1"/>
  <c r="E81" i="85" s="1"/>
  <c r="C20" i="68"/>
  <c r="C25" i="68" s="1"/>
  <c r="C23" i="68"/>
  <c r="D19" i="9"/>
  <c r="N58" i="85" l="1"/>
  <c r="P57" i="85"/>
  <c r="D21" i="9"/>
  <c r="D102" i="9"/>
  <c r="B3" i="70"/>
  <c r="C22" i="68"/>
  <c r="C28" i="68"/>
  <c r="C27" i="68" s="1"/>
  <c r="N60" i="85"/>
  <c r="N61" i="85"/>
  <c r="H112" i="85" s="1"/>
  <c r="H111" i="85"/>
  <c r="D126" i="85" s="1"/>
  <c r="D127" i="85" s="1"/>
  <c r="D20" i="9"/>
  <c r="D103" i="9" l="1"/>
  <c r="C31" i="68"/>
  <c r="C52" i="68" s="1"/>
  <c r="B2" i="68" l="1"/>
  <c r="C57" i="68"/>
  <c r="C56" i="68" s="1"/>
  <c r="C19" i="9"/>
  <c r="C102" i="9" l="1"/>
  <c r="C21" i="9"/>
  <c r="D22" i="9"/>
  <c r="G19" i="9"/>
  <c r="B3" i="68"/>
  <c r="D34" i="9"/>
  <c r="D35" i="9"/>
  <c r="C20"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H108" i="9"/>
  <c r="D15" i="53" s="1"/>
  <c r="B31" i="72" s="1"/>
  <c r="D14" i="74"/>
  <c r="D122" i="9"/>
  <c r="D52" i="9"/>
  <c r="C93" i="9"/>
  <c r="C86" i="9" s="1"/>
  <c r="D55" i="9"/>
  <c r="M53" i="9" s="1"/>
  <c r="C78" i="9"/>
  <c r="C73" i="9" s="1"/>
  <c r="C72" i="9"/>
  <c r="C79" i="9" s="1"/>
  <c r="D53" i="9"/>
  <c r="D48" i="9" s="1"/>
  <c r="M52" i="9" s="1"/>
  <c r="C85" i="9"/>
  <c r="C64" i="9"/>
  <c r="C63" i="9" s="1"/>
  <c r="C67" i="9" s="1"/>
  <c r="C68" i="9" s="1"/>
  <c r="D54" i="9" s="1"/>
  <c r="D6" i="53"/>
  <c r="B22" i="72" s="1"/>
  <c r="B20" i="72"/>
  <c r="C95" i="9" l="1"/>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<sst xmlns="http://schemas.openxmlformats.org/spreadsheetml/2006/main" count="10488" uniqueCount="3509">
  <si>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</si>
  <si>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</si>
  <si>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</si>
  <si>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</si>
  <si>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</si>
  <si>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</si>
  <si>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</si>
  <si>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</si>
  <si>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</si>
  <si>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</si>
  <si>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</si>
  <si>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</si>
  <si>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</si>
  <si>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</si>
  <si>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</si>
  <si>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</si>
  <si>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</si>
  <si>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</si>
  <si>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</si>
  <si>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</si>
  <si>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</si>
  <si>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</si>
  <si>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</si>
  <si>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</si>
  <si>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</si>
  <si>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</si>
  <si>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</si>
  <si>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</si>
  <si>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</si>
  <si>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</si>
  <si>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</si>
  <si>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</si>
  <si>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</si>
  <si>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</si>
  <si>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</si>
  <si>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</si>
  <si>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</si>
  <si>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</si>
  <si>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</si>
  <si>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</si>
  <si>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</si>
  <si>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</si>
  <si>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</si>
  <si>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</si>
  <si>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</si>
  <si>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</si>
  <si>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</si>
  <si>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</si>
  <si>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</si>
  <si>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</si>
  <si>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</si>
  <si>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</si>
  <si>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</si>
  <si>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</si>
  <si>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</si>
  <si>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</si>
  <si>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</si>
  <si>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</si>
  <si>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</si>
  <si>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</si>
  <si>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</si>
  <si>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</si>
  <si>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</si>
  <si>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</si>
  <si>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</si>
  <si>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</si>
  <si>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</si>
  <si>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</si>
  <si>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</si>
  <si>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</si>
  <si>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</si>
  <si>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</si>
  <si>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</si>
  <si>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</si>
  <si>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</si>
  <si>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</si>
  <si>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</si>
  <si>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</si>
  <si>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</si>
  <si>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</si>
  <si>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</si>
  <si>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</si>
  <si>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</si>
  <si>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</si>
  <si>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</si>
  <si>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</si>
  <si>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</si>
  <si>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</si>
  <si>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</si>
  <si>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</si>
  <si>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</si>
  <si>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</si>
  <si>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</si>
  <si>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</si>
  <si>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</si>
  <si>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</si>
  <si>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</si>
  <si>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</si>
  <si>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</si>
  <si>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</si>
  <si>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</si>
  <si>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</si>
  <si>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</si>
  <si>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</si>
  <si>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</si>
  <si>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</si>
  <si>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</si>
  <si>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</si>
  <si>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</si>
  <si>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</si>
  <si>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</si>
  <si>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</si>
  <si>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</si>
  <si>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</si>
  <si>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</si>
  <si>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</si>
  <si>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</si>
  <si>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</si>
  <si>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</si>
  <si>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</si>
  <si>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</si>
  <si>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</si>
  <si>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</si>
  <si>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</si>
  <si>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</si>
  <si>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</si>
  <si>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</si>
  <si>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</si>
  <si>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</si>
  <si>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</si>
  <si>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</si>
  <si>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</si>
  <si>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</si>
  <si>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</si>
  <si>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</si>
  <si>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</si>
  <si>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</si>
  <si>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</si>
  <si>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</si>
  <si>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</si>
  <si>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</si>
  <si>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</si>
  <si>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</si>
  <si>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</si>
  <si>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</si>
  <si>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</si>
  <si>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</si>
  <si>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</si>
  <si>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</si>
  <si>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</si>
  <si>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</si>
  <si>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</si>
  <si>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</si>
  <si>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</si>
  <si>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</si>
  <si>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</si>
  <si>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</si>
  <si>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</si>
  <si>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</si>
  <si>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</si>
  <si>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</si>
  <si>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</si>
  <si>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</si>
  <si>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</si>
  <si>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</si>
  <si>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</si>
  <si>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</si>
  <si>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</si>
  <si>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</si>
  <si>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</si>
  <si>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</si>
  <si>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</si>
  <si>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</si>
  <si>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</si>
  <si>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</si>
  <si>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</si>
  <si>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</si>
  <si>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</si>
  <si>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</si>
  <si>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</si>
  <si>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</si>
  <si>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</si>
  <si>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</si>
  <si>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</si>
  <si>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</si>
  <si>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</si>
  <si>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</si>
  <si>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</si>
  <si>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</si>
  <si>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</si>
  <si>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</si>
  <si>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</si>
  <si>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</si>
  <si>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</si>
  <si>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</si>
  <si>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</si>
  <si>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</si>
  <si>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</si>
  <si>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</si>
  <si>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</si>
  <si>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</si>
  <si>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</si>
  <si>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</si>
  <si>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</si>
  <si>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</si>
  <si>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</si>
  <si>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</si>
  <si>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</si>
  <si>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</si>
  <si>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</si>
  <si>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</si>
  <si>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</si>
  <si>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</si>
  <si>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</si>
  <si>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</si>
  <si>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</si>
  <si>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</si>
  <si>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</si>
  <si>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</si>
  <si>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</si>
  <si>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</si>
  <si>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</si>
  <si>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</si>
  <si>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</si>
  <si>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</si>
  <si>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</si>
  <si>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</si>
  <si>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</si>
  <si>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</si>
  <si>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</si>
  <si>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</si>
  <si>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</si>
  <si>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</si>
  <si>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</si>
  <si>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</si>
  <si>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</si>
  <si>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</si>
  <si>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</si>
  <si>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</si>
  <si>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</si>
  <si>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</si>
  <si>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</si>
  <si>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</si>
  <si>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</si>
  <si>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</si>
  <si>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</si>
  <si>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</si>
  <si>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</si>
  <si>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</si>
  <si>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</si>
  <si>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</si>
  <si>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</si>
  <si>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</si>
  <si>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</si>
  <si>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</si>
  <si>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</si>
  <si>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</si>
  <si>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</si>
  <si>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</si>
  <si>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</si>
  <si>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</si>
  <si>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</si>
  <si>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</si>
  <si>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</si>
  <si>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</si>
  <si>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</si>
  <si>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</si>
  <si>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</si>
  <si>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</si>
  <si>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</si>
  <si>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</si>
  <si>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</si>
  <si>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</si>
  <si>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</si>
  <si>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</si>
  <si>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</si>
  <si>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</si>
  <si>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</si>
  <si>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</si>
  <si>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</si>
  <si>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</si>
  <si>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</si>
  <si>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</si>
  <si>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</si>
  <si>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</si>
  <si>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</si>
  <si>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</si>
  <si>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</si>
  <si>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</si>
  <si>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</si>
  <si>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</si>
  <si>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</si>
  <si>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</si>
  <si>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</si>
  <si>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</si>
  <si>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</si>
  <si>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</si>
  <si>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</si>
  <si>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</si>
  <si>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</si>
  <si>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</si>
  <si>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</si>
  <si>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</si>
  <si>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</si>
  <si>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</si>
  <si>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</si>
  <si>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</si>
  <si>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</si>
  <si>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</si>
  <si>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</si>
  <si>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</si>
  <si>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</si>
  <si>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</si>
  <si>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</si>
  <si>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</si>
  <si>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</si>
  <si>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</si>
  <si>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</si>
  <si>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</si>
  <si>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</si>
  <si>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</si>
  <si>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</si>
  <si>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</si>
  <si>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</si>
  <si>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</si>
  <si>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</si>
  <si>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</si>
  <si>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</si>
  <si>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</si>
  <si>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</si>
  <si>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</si>
  <si>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</si>
  <si>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</si>
  <si>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</si>
  <si>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</si>
  <si>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</si>
  <si>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</si>
  <si>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</si>
  <si>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</si>
  <si>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</si>
  <si>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</si>
  <si>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</si>
  <si>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</si>
  <si>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</si>
  <si>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</si>
  <si>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</si>
  <si>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</si>
  <si>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</si>
  <si>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</si>
  <si>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</si>
  <si>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</si>
  <si>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</si>
  <si>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</si>
  <si>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</si>
  <si>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</si>
  <si>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</si>
  <si>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</si>
  <si>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</si>
  <si>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</si>
  <si>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</si>
  <si>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</si>
  <si>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</si>
  <si>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</si>
  <si>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</si>
  <si>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</si>
  <si>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</si>
  <si>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</si>
  <si>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</si>
  <si>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</si>
  <si>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</si>
  <si>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</si>
  <si>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</si>
  <si>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</si>
  <si>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</si>
  <si>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</si>
  <si>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</si>
  <si>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</si>
  <si>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</si>
  <si>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</si>
  <si>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</si>
  <si>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</si>
  <si>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</si>
  <si>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</si>
  <si>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</si>
  <si>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</si>
  <si>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</si>
  <si>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</si>
  <si>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</si>
  <si>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</si>
  <si>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</si>
  <si>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</si>
  <si>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</si>
  <si>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</si>
  <si>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</si>
  <si>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</si>
  <si>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</si>
  <si>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</si>
  <si>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</si>
  <si>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</si>
  <si>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</si>
  <si>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</si>
  <si>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</si>
  <si>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</si>
  <si>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</si>
  <si>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</si>
  <si>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</si>
  <si>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</si>
  <si>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</si>
  <si>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</si>
  <si>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</si>
  <si>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</si>
  <si>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</si>
  <si>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</si>
  <si>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</si>
  <si>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</si>
  <si>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</si>
  <si>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</si>
  <si>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</si>
  <si>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</si>
  <si>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</si>
  <si>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</si>
  <si>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</si>
  <si>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</si>
  <si>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</si>
  <si>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</si>
  <si>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</si>
  <si>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</si>
  <si>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</si>
  <si>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</si>
  <si>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</si>
  <si>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</si>
  <si>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</si>
  <si>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</si>
  <si>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</si>
  <si>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</si>
  <si>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</si>
  <si>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</si>
  <si>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</si>
  <si>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</si>
  <si>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</si>
  <si>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</si>
  <si>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</si>
  <si>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</si>
  <si>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</si>
  <si>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</si>
  <si>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</si>
  <si>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</si>
  <si>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</si>
  <si>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</si>
  <si>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</si>
  <si>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</si>
  <si>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</si>
  <si>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</si>
  <si>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</si>
  <si>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</si>
  <si>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</si>
  <si>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</si>
  <si>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</si>
  <si>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</si>
  <si>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</si>
  <si>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</si>
  <si>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</si>
  <si>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</si>
  <si>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</si>
  <si>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</si>
  <si>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</si>
  <si>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</si>
  <si>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</si>
  <si>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</si>
  <si>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</si>
  <si>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</si>
  <si>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</si>
  <si>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</si>
  <si>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</si>
  <si>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</si>
  <si>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</si>
  <si>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</si>
  <si>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</si>
  <si>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</si>
  <si>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</si>
  <si>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</si>
  <si>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</si>
  <si>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</si>
  <si>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</si>
  <si>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</si>
  <si>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</si>
  <si>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</si>
  <si>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</si>
  <si>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</si>
  <si>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</si>
  <si>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</si>
  <si>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</si>
  <si>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</si>
  <si>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</si>
  <si>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</si>
  <si>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</si>
  <si>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</si>
  <si>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</si>
  <si>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</si>
  <si>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</si>
  <si>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</si>
  <si>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</si>
  <si>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</si>
  <si>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</si>
  <si>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</si>
  <si>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</si>
  <si>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</si>
  <si>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</si>
  <si>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</si>
  <si>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</si>
  <si>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</si>
  <si>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</si>
  <si>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</si>
  <si>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</si>
  <si>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</si>
  <si>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</si>
  <si>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</si>
  <si>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</si>
  <si>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</si>
  <si>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</si>
  <si>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</si>
  <si>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</si>
  <si>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</si>
  <si>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</si>
  <si>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</si>
  <si>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</si>
  <si>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</si>
  <si>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</si>
  <si>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</si>
  <si>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</si>
  <si>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</si>
  <si>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</si>
  <si>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</si>
  <si>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</si>
  <si>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</si>
  <si>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</si>
  <si>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</si>
  <si>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</si>
  <si>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</si>
  <si>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</si>
  <si>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</si>
  <si>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</si>
  <si>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</si>
  <si>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</si>
  <si>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</si>
  <si>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</si>
  <si>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</si>
  <si>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</si>
  <si>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</si>
  <si>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</si>
  <si>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</si>
  <si>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</si>
  <si>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</si>
  <si>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</si>
  <si>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</si>
  <si>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</si>
  <si>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</si>
  <si>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</si>
  <si>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</si>
  <si>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</si>
  <si>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</si>
  <si>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</si>
  <si>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</si>
  <si>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</si>
  <si>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</si>
  <si>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</si>
  <si>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</si>
  <si>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</si>
  <si>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</si>
  <si>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</si>
  <si>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</si>
  <si>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</si>
  <si>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</si>
  <si>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</si>
  <si>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</si>
  <si>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</si>
  <si>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</si>
  <si>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</si>
  <si>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</si>
  <si>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</si>
  <si>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</si>
  <si>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</si>
  <si>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</si>
  <si>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</si>
  <si>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</si>
  <si>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</si>
  <si>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</si>
  <si>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</si>
  <si>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</si>
  <si>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</si>
  <si>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</si>
  <si>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</si>
  <si>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</si>
  <si>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</si>
  <si>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</si>
  <si>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</si>
  <si>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</si>
  <si>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</si>
  <si>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</si>
  <si>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</si>
  <si>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</si>
  <si>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</si>
  <si>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</si>
  <si>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</si>
  <si>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</si>
  <si>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</si>
  <si>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</si>
  <si>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</si>
  <si>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</si>
  <si>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</si>
  <si>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</si>
  <si>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</si>
  <si>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</si>
  <si>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</si>
  <si>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</si>
  <si>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</si>
  <si>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</si>
  <si>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</si>
  <si>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</si>
  <si>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</si>
  <si>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</si>
  <si>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</si>
  <si>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</si>
  <si>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</si>
  <si>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</si>
  <si>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</si>
  <si>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</si>
  <si>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</si>
  <si>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</si>
  <si>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</si>
  <si>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</si>
  <si>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</si>
  <si>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</si>
  <si>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</si>
  <si>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</si>
  <si>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</si>
  <si>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</si>
  <si>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</si>
  <si>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</si>
  <si>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</si>
  <si>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</si>
  <si>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</si>
  <si>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</si>
  <si>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</si>
  <si>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</si>
  <si>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</si>
  <si>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</si>
  <si>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</si>
  <si>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</si>
  <si>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</si>
  <si>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</si>
  <si>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</si>
  <si>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</si>
  <si>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</si>
  <si>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</si>
  <si>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</si>
  <si>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</si>
  <si>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</si>
  <si>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</si>
  <si>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</si>
  <si>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</si>
  <si>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</si>
  <si>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</si>
  <si>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</si>
  <si>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</si>
  <si>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</si>
  <si>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</si>
  <si>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</si>
  <si>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</si>
  <si>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</si>
  <si>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</si>
  <si>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</si>
  <si>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</si>
  <si>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</si>
  <si>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</si>
  <si>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</si>
  <si>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</si>
  <si>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</si>
  <si>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</si>
  <si>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</si>
  <si>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</si>
  <si>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</si>
  <si>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</si>
  <si>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</si>
  <si>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</si>
  <si>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</si>
  <si>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</si>
  <si>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</si>
  <si>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</si>
  <si>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</si>
  <si>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</si>
  <si>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</si>
  <si>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</si>
  <si>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</si>
  <si>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</si>
  <si>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</si>
  <si>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</si>
  <si>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</si>
  <si>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</si>
  <si>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</si>
  <si>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</si>
  <si>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</si>
  <si>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</si>
  <si>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</si>
  <si>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</si>
  <si>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</si>
  <si>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</si>
  <si>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</si>
  <si>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</si>
  <si>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</si>
  <si>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</si>
  <si>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</si>
  <si>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</si>
  <si>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</si>
  <si>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</si>
  <si>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</si>
  <si>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</si>
  <si>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</si>
  <si>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</si>
  <si>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</si>
  <si>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</si>
  <si>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</si>
  <si>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</si>
  <si>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</si>
  <si>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</si>
  <si>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</si>
  <si>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</si>
  <si>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</si>
  <si>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</si>
  <si>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</si>
  <si>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</si>
  <si>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</si>
  <si>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</si>
  <si>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</si>
  <si>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</si>
  <si>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</si>
  <si>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</si>
  <si>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</si>
  <si>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</si>
  <si>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</si>
  <si>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</si>
  <si>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</si>
  <si>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</si>
  <si>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</si>
  <si>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</si>
  <si>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</si>
  <si>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</si>
  <si>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</si>
  <si>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</si>
  <si>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</si>
  <si>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</si>
  <si>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</si>
  <si>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</si>
  <si>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</si>
  <si>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</si>
  <si>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</si>
  <si>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</si>
  <si>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</si>
  <si>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</si>
  <si>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</si>
  <si>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</si>
  <si>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</si>
  <si>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</si>
  <si>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</si>
  <si>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</si>
  <si>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</si>
  <si>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</si>
  <si>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</si>
  <si>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</si>
  <si>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</si>
  <si>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</si>
  <si>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</si>
  <si>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</si>
  <si>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</si>
  <si>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</si>
  <si>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</si>
  <si>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</si>
  <si>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</si>
  <si>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</si>
  <si>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</si>
  <si>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</si>
  <si>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</si>
  <si>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</si>
  <si>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</si>
  <si>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</si>
  <si>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</si>
  <si>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</si>
  <si>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</si>
  <si>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</si>
  <si>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</si>
  <si>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</si>
  <si>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</si>
  <si>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</si>
  <si>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</si>
  <si>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</si>
  <si>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</si>
  <si>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</si>
  <si>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</si>
  <si>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</si>
  <si>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</si>
  <si>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</si>
  <si>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</si>
  <si>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</si>
  <si>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</si>
  <si>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</si>
  <si>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</si>
  <si>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</si>
  <si>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</si>
  <si>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</si>
  <si>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</si>
  <si>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</si>
  <si>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</si>
  <si>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</si>
  <si>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</si>
  <si>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</si>
  <si>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</si>
  <si>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</si>
  <si>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</si>
  <si>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</si>
  <si>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</si>
  <si>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</si>
  <si>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</si>
  <si>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</si>
  <si>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</si>
  <si>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</si>
  <si>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</si>
  <si>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</si>
  <si>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</si>
  <si>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</si>
  <si>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</si>
  <si>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</si>
  <si>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</si>
  <si>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</si>
  <si>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</si>
  <si>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</si>
  <si>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</si>
  <si>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</si>
  <si>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</si>
  <si>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</si>
  <si>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</si>
  <si>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</si>
  <si>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</si>
  <si>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</si>
  <si>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</si>
  <si>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</si>
  <si>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</si>
  <si>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</si>
  <si>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</si>
  <si>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</si>
  <si>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</si>
  <si>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</si>
  <si>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</si>
  <si>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</si>
  <si>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</si>
  <si>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</si>
  <si>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</si>
  <si>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</si>
  <si>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</si>
  <si>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</si>
  <si>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</si>
  <si>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</si>
  <si>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</si>
  <si>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</si>
  <si>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</si>
  <si>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</si>
  <si>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</si>
  <si>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</si>
  <si>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</si>
  <si>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</si>
  <si>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</si>
  <si>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</si>
  <si>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</si>
  <si>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</si>
  <si>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</si>
  <si>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</si>
  <si>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</si>
  <si>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</si>
  <si>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</si>
  <si>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</si>
  <si>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</si>
  <si>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</si>
  <si>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</si>
  <si>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</si>
  <si>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</si>
  <si>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</si>
  <si>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</si>
  <si>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</si>
  <si>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</si>
  <si>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</si>
  <si>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</si>
  <si>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</si>
  <si>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</si>
  <si>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</si>
  <si>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</si>
  <si>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</si>
  <si>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</si>
  <si>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</si>
  <si>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</si>
  <si>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</si>
  <si>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</si>
  <si>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</si>
  <si>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</si>
  <si>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</si>
  <si>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</si>
  <si>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</si>
  <si>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</si>
  <si>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</si>
  <si>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</si>
  <si>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</si>
  <si>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</si>
  <si>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</si>
  <si>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</si>
  <si>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</si>
  <si>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</si>
  <si>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</si>
  <si>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</si>
  <si>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</si>
  <si>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</si>
  <si>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</si>
  <si>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</si>
  <si>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</si>
  <si>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</si>
  <si>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</si>
  <si>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</si>
  <si>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</si>
  <si>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</si>
  <si>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</si>
  <si>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</si>
  <si>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</si>
  <si>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</si>
  <si>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</si>
  <si>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</si>
  <si>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</si>
  <si>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</si>
  <si>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</si>
  <si>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</si>
  <si>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</si>
  <si>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</si>
  <si>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</si>
  <si>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</si>
  <si>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</si>
  <si>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</si>
  <si>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</si>
  <si>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</si>
  <si>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</si>
  <si>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</si>
  <si>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</si>
  <si>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</si>
  <si>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</si>
  <si>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</si>
  <si>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</si>
  <si>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</si>
  <si>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</si>
  <si>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</si>
  <si>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</si>
  <si>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</si>
  <si>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</si>
  <si>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</si>
  <si>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</si>
  <si>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</si>
  <si>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</si>
  <si>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</si>
  <si>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</si>
  <si>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</si>
  <si>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</si>
  <si>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</si>
  <si>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</si>
  <si>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</si>
  <si>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</si>
  <si>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</si>
  <si>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</si>
  <si>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</si>
  <si>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</si>
  <si>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</si>
  <si>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</si>
  <si>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</si>
  <si>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</si>
  <si>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</si>
  <si>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</si>
  <si>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</si>
  <si>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</si>
  <si>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</si>
  <si>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</si>
  <si>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</si>
  <si>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</si>
  <si>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</si>
  <si>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</si>
  <si>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</si>
  <si>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</si>
  <si>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</si>
  <si>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</si>
  <si>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</si>
  <si>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</si>
  <si>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</si>
  <si>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</si>
  <si>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</si>
  <si>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</si>
  <si>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</si>
  <si>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</si>
  <si>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</si>
  <si>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</si>
  <si>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</si>
  <si>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</si>
  <si>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</si>
  <si>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</si>
  <si>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</si>
  <si>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</si>
  <si>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</si>
  <si>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</si>
  <si>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</si>
  <si>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</si>
  <si>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</si>
  <si>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</si>
  <si>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</si>
  <si>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</si>
  <si>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</si>
  <si>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</si>
  <si>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</si>
  <si>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</si>
  <si>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</si>
  <si>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</si>
  <si>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</si>
  <si>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</si>
  <si>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</si>
  <si>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</si>
  <si>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</si>
  <si>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</si>
  <si>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</si>
  <si>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</si>
  <si>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</si>
  <si>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</si>
  <si>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</si>
  <si>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</si>
  <si>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</si>
  <si>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</si>
  <si>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</si>
  <si>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</si>
  <si>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</si>
  <si>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</si>
  <si>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</si>
  <si>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</si>
  <si>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</si>
  <si>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</si>
  <si>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</si>
  <si>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</si>
  <si>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</si>
  <si>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</si>
  <si>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</si>
  <si>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</si>
  <si>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</si>
  <si>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</si>
  <si>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</si>
  <si>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</si>
  <si>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</si>
  <si>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</si>
  <si>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</si>
  <si>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</si>
  <si>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</si>
  <si>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</si>
  <si>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</si>
  <si>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</si>
  <si>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</si>
  <si>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</si>
  <si>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</si>
  <si>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</si>
  <si>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</si>
  <si>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</si>
  <si>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</si>
  <si>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</si>
  <si>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</si>
  <si>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</si>
  <si>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</si>
  <si>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</si>
  <si>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</si>
  <si>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</si>
  <si>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</si>
  <si>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</si>
  <si>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</si>
  <si>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</si>
  <si>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</si>
  <si>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</si>
  <si>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</si>
  <si>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</si>
  <si>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</si>
  <si>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</si>
  <si>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</si>
  <si>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</si>
  <si>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</si>
  <si>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</si>
  <si>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</si>
  <si>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</si>
  <si>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</si>
  <si>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</si>
  <si>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</si>
  <si>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</si>
  <si>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</si>
  <si>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</si>
  <si>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</si>
  <si>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</si>
  <si>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</si>
  <si>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</si>
  <si>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</si>
  <si>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</si>
  <si>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</si>
  <si>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</si>
  <si>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</si>
  <si>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</si>
  <si>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</si>
  <si>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</si>
  <si>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</si>
  <si>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</si>
  <si>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</si>
  <si>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</si>
  <si>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</si>
  <si>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</si>
  <si>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</si>
  <si>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</si>
  <si>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</si>
  <si>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</si>
  <si>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</si>
  <si>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</si>
  <si>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</si>
  <si>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</si>
  <si>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</si>
  <si>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</si>
  <si>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</si>
  <si>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</si>
  <si>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</si>
  <si>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</si>
  <si>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</si>
  <si>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</si>
  <si>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</si>
  <si>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</si>
  <si>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</si>
  <si>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</si>
  <si>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</si>
  <si>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</si>
  <si>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</si>
  <si>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</si>
  <si>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</si>
  <si>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</si>
  <si>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</si>
  <si>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</si>
  <si>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</si>
  <si>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</si>
  <si>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</si>
  <si>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</si>
  <si>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</si>
  <si>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</si>
  <si>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</si>
  <si>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</si>
  <si>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</si>
  <si>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</si>
  <si>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</si>
  <si>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</si>
  <si>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</si>
  <si>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</si>
  <si>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</si>
  <si>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</si>
  <si>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</si>
  <si>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</si>
  <si>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</si>
  <si>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</si>
  <si>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</si>
  <si>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</si>
  <si>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</si>
  <si>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</si>
  <si>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</si>
  <si>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</si>
  <si>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</si>
  <si>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</si>
  <si>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</si>
  <si>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</si>
  <si>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</si>
  <si>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</si>
  <si>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</si>
  <si>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</si>
  <si>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</si>
  <si>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</si>
  <si>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</si>
  <si>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</si>
  <si>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</si>
  <si>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</si>
  <si>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</si>
  <si>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</si>
  <si>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</si>
  <si>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</si>
  <si>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</si>
  <si>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</si>
  <si>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</si>
  <si>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</si>
  <si>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</si>
  <si>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</si>
  <si>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</si>
  <si>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</si>
  <si>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</si>
  <si>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</si>
  <si>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</si>
  <si>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</si>
  <si>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</si>
  <si>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</si>
  <si>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</si>
  <si>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</si>
  <si>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</si>
  <si>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</si>
  <si>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</si>
  <si>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</si>
  <si>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</si>
  <si>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</si>
  <si>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</si>
  <si>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</si>
  <si>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</si>
  <si>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</si>
  <si>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</si>
  <si>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</si>
  <si>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</si>
  <si>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</si>
  <si>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</si>
  <si>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</si>
  <si>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</si>
  <si>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</si>
  <si>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</si>
  <si>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</si>
  <si>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</si>
  <si>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</si>
  <si>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</si>
  <si>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</si>
  <si>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</si>
  <si>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</si>
  <si>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</si>
  <si>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</si>
  <si>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</si>
  <si>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</si>
  <si>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</si>
  <si>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</si>
  <si>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</si>
  <si>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</si>
  <si>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</si>
  <si>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</si>
  <si>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</si>
  <si>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</si>
  <si>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</si>
  <si>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</si>
  <si>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</si>
  <si>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</si>
  <si>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</si>
  <si>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</si>
  <si>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</si>
  <si>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</si>
  <si>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</si>
  <si>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</si>
  <si>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</si>
  <si>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</si>
  <si>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</si>
  <si>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</si>
  <si>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</si>
  <si>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</si>
  <si>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</si>
  <si>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</si>
  <si>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</si>
  <si>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</si>
  <si>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</si>
  <si>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</si>
  <si>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</si>
  <si>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</si>
  <si>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</si>
  <si>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</si>
  <si>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</si>
  <si>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</si>
  <si>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</si>
  <si>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</si>
  <si>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</si>
  <si>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</si>
  <si>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</si>
  <si>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</si>
  <si>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</si>
  <si>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</si>
  <si>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</si>
  <si>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</si>
  <si>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</si>
  <si>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</si>
  <si>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</si>
  <si>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</si>
  <si>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</si>
  <si>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</si>
  <si>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</si>
  <si>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</si>
  <si>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</si>
  <si>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</si>
  <si>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</si>
  <si>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</si>
  <si>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</si>
  <si>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</si>
  <si>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</si>
  <si>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</si>
  <si>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</si>
  <si>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</si>
  <si>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</si>
  <si>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</si>
  <si>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</si>
  <si>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</si>
  <si>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</si>
  <si>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</si>
  <si>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</si>
  <si>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</si>
  <si>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</si>
  <si>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</si>
  <si>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</si>
  <si>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</si>
  <si>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</si>
  <si>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</si>
  <si>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</si>
  <si>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</si>
  <si>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</si>
  <si>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</si>
  <si>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</si>
  <si>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</si>
  <si>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</si>
  <si>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</si>
  <si>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</si>
  <si>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</si>
  <si>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</si>
  <si>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</si>
  <si>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</si>
  <si>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</si>
  <si>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</si>
  <si>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</si>
  <si>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</si>
  <si>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</si>
  <si>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</si>
  <si>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</si>
  <si>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</si>
  <si>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</si>
  <si>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</si>
  <si>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</si>
  <si>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</si>
  <si>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</si>
  <si>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</si>
  <si>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</si>
  <si>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</si>
  <si>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</si>
  <si>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</si>
  <si>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</si>
  <si>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</si>
  <si>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</si>
  <si>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</si>
  <si>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</si>
  <si>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</si>
  <si>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</si>
  <si>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</si>
  <si>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</si>
  <si>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</si>
  <si>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</si>
  <si>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</si>
  <si>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</si>
  <si>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</si>
  <si>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</si>
  <si>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</si>
  <si>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</si>
  <si>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</si>
  <si>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</si>
  <si>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</si>
  <si>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</si>
  <si>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</si>
  <si>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</si>
  <si>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</si>
  <si>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</si>
  <si>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</si>
  <si>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</si>
  <si>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</si>
  <si>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</si>
  <si>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</si>
  <si>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</si>
  <si>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</si>
  <si>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</si>
  <si>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</si>
  <si>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</si>
  <si>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</si>
  <si>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</si>
  <si>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</si>
  <si>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</si>
  <si>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</si>
  <si>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</si>
  <si>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</si>
  <si>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</si>
  <si>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</si>
  <si>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</si>
  <si>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</si>
  <si>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</si>
  <si>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</si>
  <si>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</si>
  <si>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</si>
  <si>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</si>
  <si>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</si>
  <si>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</si>
  <si>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</si>
  <si>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</si>
  <si>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</si>
  <si>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</si>
  <si>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</si>
  <si>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</si>
  <si>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</si>
  <si>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</si>
  <si>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</si>
  <si>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</si>
  <si>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</si>
  <si>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</si>
  <si>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</si>
  <si>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</si>
  <si>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</si>
  <si>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</si>
  <si>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</si>
  <si>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</si>
  <si>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</si>
  <si>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</si>
  <si>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</si>
  <si>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</si>
  <si>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</si>
  <si>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</si>
  <si>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</si>
  <si>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</si>
  <si>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</si>
  <si>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</si>
  <si>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</si>
  <si>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</si>
  <si>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</si>
  <si>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</si>
  <si>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</si>
  <si>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</si>
  <si>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</si>
  <si>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</si>
  <si>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</si>
  <si>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</si>
  <si>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</si>
  <si>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</si>
  <si>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</si>
  <si>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</si>
  <si>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</si>
  <si>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</si>
  <si>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</si>
  <si>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</si>
  <si>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</si>
  <si>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</si>
  <si>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</si>
  <si>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</si>
  <si>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</si>
  <si>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</si>
  <si>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</si>
  <si>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</si>
  <si>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</si>
  <si>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</si>
  <si>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</si>
  <si>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</si>
  <si>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</si>
  <si>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</si>
  <si>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</si>
  <si>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</si>
  <si>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</si>
  <si>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</si>
  <si>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</si>
  <si>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</si>
  <si>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</si>
  <si>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</si>
  <si>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</si>
  <si>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</si>
  <si>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</si>
  <si>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</si>
  <si>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</si>
  <si>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</si>
  <si>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</si>
  <si>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</si>
  <si>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</si>
  <si>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</si>
  <si>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</si>
  <si>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</si>
  <si>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</si>
  <si>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</si>
  <si>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</si>
  <si>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</si>
  <si>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</si>
  <si>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</si>
  <si>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</si>
  <si>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</si>
  <si>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</si>
  <si>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</si>
  <si>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</si>
  <si>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</si>
  <si>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</si>
  <si>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</si>
  <si>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</si>
  <si>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</si>
  <si>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</si>
  <si>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</si>
  <si>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</si>
  <si>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</si>
  <si>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</si>
  <si>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</si>
  <si>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</si>
  <si>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</si>
  <si>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</si>
  <si>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</si>
  <si>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</si>
  <si>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</si>
  <si>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</si>
  <si>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</si>
  <si>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</si>
  <si>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</si>
  <si>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</si>
  <si>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</si>
  <si>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</si>
  <si>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</si>
  <si>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</si>
  <si>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</si>
  <si>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</si>
  <si>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</si>
  <si>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</si>
  <si>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</si>
  <si>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</si>
  <si>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</si>
  <si>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</si>
  <si>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</si>
  <si>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</si>
  <si>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</si>
  <si>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</si>
  <si>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</si>
  <si>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</si>
  <si>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</si>
  <si>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</si>
  <si>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</si>
  <si>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</si>
  <si>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</si>
  <si>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</si>
  <si>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</si>
  <si>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</si>
  <si>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</si>
  <si>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</si>
  <si>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</si>
  <si>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</si>
  <si>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</si>
  <si>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</si>
  <si>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</si>
  <si>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</si>
  <si>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</si>
  <si>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</si>
  <si>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</si>
  <si>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</si>
  <si>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</si>
  <si>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</si>
  <si>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</si>
  <si>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</si>
  <si>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</si>
  <si>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</si>
  <si>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</si>
  <si>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</si>
  <si>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</si>
  <si>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</si>
  <si>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</si>
  <si>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</si>
  <si>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</si>
  <si>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</si>
  <si>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</si>
  <si>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</si>
  <si>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</si>
  <si>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</si>
  <si>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</si>
  <si>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</si>
  <si>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</si>
  <si>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</si>
  <si>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</si>
  <si>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</si>
  <si>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</si>
  <si>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</si>
  <si>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</si>
  <si>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</si>
  <si>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</si>
  <si>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</si>
  <si>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</si>
  <si>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</si>
  <si>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</si>
  <si>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</si>
  <si>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</si>
  <si>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</si>
  <si>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</si>
  <si>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</si>
  <si>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</si>
  <si>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</si>
  <si>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</si>
  <si>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</si>
  <si>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</si>
  <si>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</si>
  <si>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</si>
  <si>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</si>
  <si>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</si>
  <si>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</si>
  <si>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</si>
  <si>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</si>
  <si>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</si>
  <si>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</si>
  <si>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</si>
  <si>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</si>
  <si>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</si>
  <si>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</si>
  <si>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</si>
  <si>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</si>
  <si>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</si>
  <si>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</si>
  <si>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</si>
  <si>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</si>
  <si>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</si>
  <si>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</si>
  <si>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</si>
  <si>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</si>
  <si>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</si>
  <si>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</si>
  <si>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</si>
  <si>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</si>
  <si>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</si>
  <si>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</si>
  <si>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</si>
  <si>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</si>
  <si>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</si>
  <si>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</si>
  <si>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</si>
  <si>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</si>
  <si>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</si>
  <si>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</si>
  <si>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</si>
  <si>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</si>
  <si>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</si>
  <si>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</si>
  <si>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</si>
  <si>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</si>
  <si>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</si>
  <si>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</si>
  <si>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</si>
  <si>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</si>
  <si>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</si>
  <si>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</si>
  <si>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</si>
  <si>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</si>
  <si>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</si>
  <si>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</si>
  <si>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</si>
  <si>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</si>
  <si>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</si>
  <si>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</si>
  <si>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</si>
  <si>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</si>
  <si>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</si>
  <si>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</si>
  <si>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</si>
  <si>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</si>
  <si>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</si>
  <si>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</si>
  <si>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</si>
  <si>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</si>
  <si>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</si>
  <si>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</si>
  <si>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</si>
  <si>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</si>
  <si>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</si>
  <si>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</si>
  <si>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</si>
  <si>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</si>
  <si>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</si>
  <si>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</si>
  <si>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</si>
  <si>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</si>
  <si>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</si>
  <si>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</si>
  <si>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</si>
  <si>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</si>
  <si>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</si>
  <si>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</si>
  <si>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</si>
  <si>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</si>
  <si>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</si>
  <si>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</si>
  <si>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</si>
  <si>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</si>
  <si>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</si>
  <si>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</si>
  <si>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</si>
  <si>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</si>
  <si>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</si>
  <si>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</si>
  <si>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</si>
  <si>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</si>
  <si>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</si>
  <si>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</si>
  <si>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</si>
  <si>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</si>
  <si>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</si>
  <si>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</si>
  <si>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</si>
  <si>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</si>
  <si>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</si>
  <si>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</si>
  <si>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</si>
  <si>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</si>
  <si>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</si>
  <si>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</si>
  <si>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</si>
  <si>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</si>
  <si>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</si>
  <si>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</si>
  <si>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</si>
  <si>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</si>
  <si>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</si>
  <si>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</si>
  <si>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</si>
  <si>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</si>
  <si>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</si>
  <si>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</si>
  <si>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</si>
  <si>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</si>
  <si>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</si>
  <si>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</si>
  <si>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</si>
  <si>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</si>
  <si>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</si>
  <si>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</si>
  <si>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</si>
  <si>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</si>
  <si>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</si>
  <si>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</si>
  <si>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</si>
  <si>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</si>
  <si>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</si>
  <si>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</si>
  <si>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</si>
  <si>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</si>
  <si>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</si>
  <si>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</si>
  <si>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</si>
  <si>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</si>
  <si>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</si>
  <si>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</si>
  <si>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</si>
  <si>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</si>
  <si>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</si>
  <si>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</si>
  <si>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</si>
  <si>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</si>
  <si>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</si>
  <si>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</si>
  <si>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</si>
  <si>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</si>
  <si>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</si>
  <si>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</si>
  <si>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</si>
  <si>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</si>
  <si>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</si>
  <si>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</si>
  <si>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</si>
  <si>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</si>
  <si>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</si>
  <si>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</si>
  <si>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</si>
  <si>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</si>
  <si>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</si>
  <si>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</si>
  <si>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</si>
  <si>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</si>
  <si>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</si>
  <si>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</si>
  <si>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</si>
  <si>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</si>
  <si>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</si>
  <si>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</si>
  <si>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</si>
  <si>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</si>
  <si>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</si>
  <si>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</si>
  <si>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</si>
  <si>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</si>
  <si>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</si>
  <si>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</si>
  <si>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</si>
  <si>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</si>
  <si>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</si>
  <si>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</si>
  <si>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</si>
  <si>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</si>
  <si>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</si>
  <si>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</si>
  <si>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</si>
  <si>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</si>
  <si>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</si>
  <si>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</si>
  <si>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</si>
  <si>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</si>
  <si>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</si>
  <si>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</si>
  <si>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</si>
  <si>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</si>
  <si>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</si>
  <si>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</si>
  <si>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</si>
  <si>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</si>
  <si>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</si>
  <si>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</si>
  <si>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</si>
  <si>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</si>
  <si>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</si>
  <si>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</si>
  <si>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</si>
  <si>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</si>
  <si>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</si>
  <si>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</si>
  <si>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</si>
  <si>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</si>
  <si>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</si>
  <si>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</si>
  <si>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</si>
  <si>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</si>
  <si>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</si>
  <si>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</si>
  <si>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</si>
  <si>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</si>
  <si>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</si>
  <si>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</si>
  <si>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</si>
  <si>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</si>
  <si>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</si>
  <si>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</si>
  <si>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</si>
  <si>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</si>
  <si>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</si>
  <si>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</si>
  <si>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</si>
  <si>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</si>
  <si>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</si>
  <si>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</si>
  <si>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</si>
  <si>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</si>
  <si>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</si>
  <si>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</si>
  <si>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</si>
  <si>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</si>
  <si>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</si>
  <si>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</si>
  <si>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</si>
  <si>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</si>
  <si>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</si>
  <si>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</si>
  <si>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</si>
  <si>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</si>
  <si>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</si>
  <si>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</si>
  <si>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</si>
  <si>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</si>
  <si>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</si>
  <si>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</si>
  <si>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</si>
  <si>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</si>
  <si>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</si>
  <si>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</si>
  <si>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</si>
  <si>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</si>
  <si>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</si>
  <si>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</si>
  <si>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</si>
  <si>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</si>
  <si>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</si>
  <si>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</si>
  <si>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</si>
  <si>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</si>
  <si>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</si>
  <si>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</si>
  <si>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</si>
  <si>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</si>
  <si>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</si>
  <si>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</si>
  <si>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</si>
  <si>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</si>
  <si>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</si>
  <si>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</si>
  <si>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</si>
  <si>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</si>
  <si>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</si>
  <si>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</si>
  <si>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</si>
  <si>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</si>
  <si>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</si>
  <si>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</si>
  <si>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</si>
  <si>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</si>
  <si>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</si>
  <si>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</si>
  <si>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</si>
  <si>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</si>
  <si>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</si>
  <si>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</si>
  <si>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</si>
  <si>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</si>
  <si>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</si>
  <si>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</si>
  <si>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</si>
  <si>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</si>
  <si>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</si>
  <si>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</si>
  <si>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</si>
  <si>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</si>
  <si>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</si>
  <si>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</si>
  <si>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</si>
  <si>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</si>
  <si>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</si>
  <si>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</si>
  <si>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</si>
  <si>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</si>
  <si>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</si>
  <si>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</si>
  <si>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</si>
  <si>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</si>
  <si>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</si>
  <si>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</si>
  <si>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</si>
  <si>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</si>
  <si>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</si>
  <si>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</si>
  <si>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</si>
  <si>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</si>
  <si>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</si>
  <si>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</si>
  <si>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</si>
  <si>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</si>
  <si>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</si>
  <si>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</si>
  <si>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</si>
  <si>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</si>
  <si>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</si>
  <si>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</si>
  <si>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</si>
  <si>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</si>
  <si>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</si>
  <si>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</si>
  <si>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</si>
  <si>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</si>
  <si>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</si>
  <si>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</si>
  <si>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</si>
  <si>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</si>
  <si>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</si>
  <si>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</si>
  <si>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</si>
  <si>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</si>
  <si>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</si>
  <si>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</si>
  <si>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</si>
  <si>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</si>
  <si>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</si>
  <si>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</si>
  <si>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</si>
  <si>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</si>
  <si>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</si>
  <si>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</si>
  <si>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</si>
  <si>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</si>
  <si>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</si>
  <si>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</si>
  <si>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</si>
  <si>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</si>
  <si>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</si>
  <si>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</si>
  <si>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</si>
  <si>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</si>
  <si>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</si>
  <si>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</si>
  <si>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</si>
  <si>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</si>
  <si>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</si>
  <si>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</si>
  <si>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</si>
  <si>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</si>
  <si>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</si>
  <si>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</si>
  <si>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</si>
  <si>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</si>
  <si>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</si>
  <si>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</si>
  <si>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</si>
  <si>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</si>
  <si>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</si>
  <si>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</si>
  <si>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</si>
  <si>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</si>
  <si>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</si>
  <si>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</si>
  <si>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</si>
  <si>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</si>
  <si>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</si>
  <si>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</si>
  <si>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</si>
  <si>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</si>
  <si>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</si>
  <si>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</si>
  <si>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</si>
  <si>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</si>
  <si>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</si>
  <si>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</si>
  <si>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</si>
  <si>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</si>
  <si>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</si>
  <si>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</si>
  <si>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</si>
  <si>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</si>
  <si>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</si>
  <si>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</si>
  <si>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</si>
  <si>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</si>
  <si>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</si>
  <si>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</si>
  <si>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</si>
  <si>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</si>
  <si>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</si>
  <si>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</si>
  <si>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</si>
  <si>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</si>
  <si>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</si>
  <si>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</si>
  <si>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</si>
  <si>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</si>
  <si>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</si>
  <si>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</si>
  <si>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</si>
  <si>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</si>
  <si>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</si>
  <si>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</si>
  <si>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</si>
  <si>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</si>
  <si>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</si>
  <si>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</si>
  <si>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</si>
  <si>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</si>
  <si>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</si>
  <si>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</si>
  <si>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</si>
  <si>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</si>
  <si>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</si>
  <si>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</si>
  <si>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</si>
  <si>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</si>
  <si>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</si>
  <si>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</si>
  <si>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</si>
  <si>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</si>
  <si>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</si>
  <si>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</si>
  <si>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</si>
  <si>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</si>
  <si>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</si>
  <si>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</si>
  <si>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</si>
  <si>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</si>
  <si>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</si>
  <si>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</si>
  <si>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</si>
  <si>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</si>
  <si>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</si>
  <si>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</si>
  <si>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</si>
  <si>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</si>
  <si>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</si>
  <si>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</si>
  <si>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</si>
  <si>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</si>
  <si>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</si>
  <si>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</si>
  <si>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</si>
  <si>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</si>
  <si>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</si>
  <si>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</si>
  <si>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</si>
  <si>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</si>
  <si>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</si>
  <si>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</si>
  <si>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</si>
  <si>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</si>
  <si>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</si>
  <si>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</si>
  <si>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</si>
  <si>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</si>
  <si>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</si>
  <si>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</si>
  <si>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</si>
  <si>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</si>
  <si>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</si>
  <si>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</si>
  <si>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</si>
  <si>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</si>
  <si>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</si>
  <si>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</si>
  <si>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</si>
  <si>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</si>
  <si>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</si>
  <si>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</si>
  <si>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</si>
  <si>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</si>
  <si>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</si>
  <si>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</si>
  <si>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</si>
  <si>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</si>
  <si>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</si>
  <si>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</si>
  <si>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</si>
  <si>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</si>
  <si>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</si>
  <si>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</si>
  <si>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</si>
  <si>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</si>
  <si>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</si>
  <si>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</si>
  <si>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</si>
  <si>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</si>
  <si>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</si>
  <si>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</si>
  <si>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</si>
  <si>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</si>
  <si>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</si>
  <si>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</si>
  <si>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</si>
  <si>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</si>
  <si>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</si>
  <si>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</si>
  <si>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</si>
  <si>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</si>
  <si>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</si>
  <si>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</si>
  <si>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</si>
  <si>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</si>
  <si>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</si>
  <si>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</si>
  <si>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</si>
  <si>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</si>
  <si>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</si>
  <si>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</si>
  <si>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</si>
  <si>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</si>
  <si>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</si>
  <si>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</si>
  <si>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</si>
  <si>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</si>
  <si>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</si>
  <si>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</si>
  <si>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</si>
  <si>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</si>
  <si>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</si>
  <si>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</si>
  <si>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</si>
  <si>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</si>
  <si>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</si>
  <si>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</si>
  <si>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</si>
  <si>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</si>
  <si>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</si>
  <si>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</si>
  <si>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</si>
  <si>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</si>
  <si>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</si>
  <si>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</si>
  <si>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</si>
  <si>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</si>
  <si>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</si>
  <si>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</si>
  <si>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</si>
  <si>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</si>
  <si>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</si>
  <si>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</si>
  <si>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</si>
  <si>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</si>
  <si>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</si>
  <si>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</si>
  <si>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</si>
  <si>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</si>
  <si>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</si>
  <si>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</si>
  <si>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</si>
  <si>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</si>
  <si>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</si>
  <si>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</si>
  <si>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</si>
  <si>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</si>
  <si>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</si>
  <si>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</si>
  <si>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</si>
  <si>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</si>
  <si>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</si>
  <si>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</si>
  <si>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</si>
  <si>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</si>
  <si>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</si>
  <si>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</si>
  <si>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</si>
  <si>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</si>
  <si>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</si>
  <si>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</si>
  <si>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</si>
  <si>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</si>
  <si>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</si>
  <si>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</si>
  <si>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</si>
  <si>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</si>
  <si>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</si>
  <si>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</si>
  <si>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</si>
  <si>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</si>
  <si>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</si>
  <si>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</si>
  <si>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</si>
  <si>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</si>
  <si>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</si>
  <si>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</si>
  <si>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</si>
  <si>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</si>
  <si>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</si>
  <si>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</si>
  <si>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</si>
  <si>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</si>
  <si>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</si>
  <si>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</si>
  <si>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</si>
  <si>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</si>
  <si>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</si>
  <si>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</si>
  <si>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</si>
  <si>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</si>
  <si>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</si>
  <si>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</si>
  <si>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</si>
  <si>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</si>
  <si>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</si>
  <si>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</si>
  <si>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</si>
  <si>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</si>
  <si>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</si>
  <si>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</si>
  <si>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</si>
  <si>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</si>
  <si>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</si>
  <si>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</si>
  <si>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</si>
  <si>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</si>
  <si>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</si>
  <si>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</si>
  <si>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</si>
  <si>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</si>
  <si>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</si>
  <si>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</si>
  <si>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</si>
  <si>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</si>
  <si>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</si>
  <si>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</si>
  <si>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</si>
  <si>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</si>
  <si>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</si>
  <si>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</si>
  <si>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</si>
  <si>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</si>
  <si>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</si>
  <si>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</si>
  <si>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</si>
  <si>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</si>
  <si>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</si>
  <si>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</si>
  <si>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</si>
  <si>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</si>
  <si>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</si>
  <si>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</si>
  <si>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</si>
  <si>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</si>
  <si>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</si>
  <si>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</si>
  <si>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</si>
  <si>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</si>
  <si>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</si>
  <si>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</si>
  <si>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</si>
  <si>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</si>
  <si>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</si>
  <si>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</si>
  <si>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</si>
  <si>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</si>
  <si>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</si>
  <si>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</si>
  <si>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</si>
  <si>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</si>
  <si>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</si>
  <si>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</si>
  <si>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</si>
  <si>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</si>
  <si>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</si>
  <si>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</si>
  <si>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</si>
  <si>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</si>
  <si>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</si>
  <si>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</si>
  <si>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</si>
  <si>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</si>
  <si>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</si>
  <si>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</si>
  <si>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</si>
  <si>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</si>
  <si>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</si>
  <si>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</si>
  <si>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</si>
  <si>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</si>
  <si>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</si>
  <si>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</si>
  <si>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</si>
  <si>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</si>
  <si>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</si>
  <si>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</si>
  <si>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</si>
  <si>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</si>
  <si>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</si>
  <si>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</si>
  <si>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</si>
  <si>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</si>
  <si>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</si>
  <si>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</si>
  <si>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</si>
  <si>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</si>
  <si>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</si>
  <si>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</si>
  <si>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</si>
  <si>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</si>
  <si>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</si>
  <si>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</si>
  <si>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</si>
  <si>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</si>
  <si>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</si>
  <si>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</si>
  <si>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</si>
  <si>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</si>
  <si>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</si>
  <si>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</si>
  <si>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</si>
  <si>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</si>
  <si>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</si>
  <si>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</si>
  <si>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</si>
  <si>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</si>
  <si>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</si>
  <si>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</si>
  <si>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</si>
  <si>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</si>
  <si>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</si>
  <si>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</si>
  <si>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</si>
  <si>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</si>
  <si>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</si>
  <si>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</si>
  <si>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</si>
  <si>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</si>
  <si>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</si>
  <si>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</si>
  <si>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</si>
  <si>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</si>
  <si>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</si>
  <si>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</si>
  <si>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</si>
  <si>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</si>
  <si>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</si>
  <si>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</si>
  <si>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</si>
  <si>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</si>
  <si>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</si>
  <si>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</si>
  <si>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</si>
  <si>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</si>
  <si>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</si>
  <si>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</si>
  <si>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</si>
  <si>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</si>
  <si>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</si>
  <si>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</si>
  <si>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</si>
  <si>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</si>
  <si>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</si>
  <si>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</si>
  <si>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</si>
  <si>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</si>
  <si>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</si>
  <si>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</si>
  <si>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</si>
  <si>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</si>
  <si>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</si>
  <si>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</si>
  <si>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</si>
  <si>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</si>
  <si>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</si>
  <si>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</si>
  <si>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</si>
  <si>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</si>
  <si>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</si>
  <si>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</si>
  <si>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</si>
  <si>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</si>
  <si>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</si>
  <si>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</si>
  <si>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</si>
  <si>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</si>
  <si>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</si>
  <si>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</si>
  <si>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</si>
  <si>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</si>
  <si>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</si>
  <si>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</si>
  <si>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</si>
  <si>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</si>
  <si>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</si>
  <si>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</si>
  <si>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</si>
  <si>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</si>
  <si>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</si>
  <si>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</si>
  <si>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</si>
  <si>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</si>
  <si>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</si>
  <si>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</si>
  <si>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</si>
  <si>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</si>
  <si>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</si>
  <si>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</si>
  <si>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</si>
  <si>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</si>
  <si>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</si>
  <si>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</si>
  <si>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</si>
  <si>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</si>
  <si>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</si>
  <si>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</si>
  <si>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</si>
  <si>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</si>
  <si>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</si>
  <si>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</si>
  <si>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</si>
  <si>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</si>
  <si>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</si>
  <si>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</si>
  <si>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</si>
  <si>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</si>
  <si>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</si>
  <si>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</si>
  <si>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</si>
  <si>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</si>
  <si>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</si>
  <si>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</si>
  <si>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</si>
  <si>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</si>
  <si>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</si>
  <si>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</si>
  <si>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</si>
  <si>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</si>
  <si>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</si>
  <si>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</si>
  <si>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</si>
  <si>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</si>
  <si>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</si>
  <si>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</si>
  <si>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</si>
  <si>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</si>
  <si>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</si>
  <si>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</si>
  <si>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</si>
  <si>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</si>
  <si>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</si>
  <si>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</si>
  <si>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</si>
  <si>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</si>
  <si>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</si>
  <si>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</si>
  <si>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</si>
  <si>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</si>
  <si>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</si>
  <si>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</si>
  <si>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</si>
  <si>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</si>
  <si>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</si>
  <si>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</si>
  <si>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</si>
  <si>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</si>
  <si>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</si>
  <si>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</si>
  <si>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</si>
  <si>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</si>
  <si>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</si>
  <si>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</si>
  <si>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</si>
  <si>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</si>
  <si>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</si>
  <si>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</si>
  <si>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</si>
  <si>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</si>
  <si>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</si>
  <si>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</si>
  <si>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</si>
  <si>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</si>
  <si>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</si>
  <si>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</si>
  <si>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</si>
  <si>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</si>
  <si>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</si>
  <si>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</si>
  <si>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</si>
  <si>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</si>
  <si>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</si>
  <si>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</si>
  <si>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</si>
  <si>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</si>
  <si>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</si>
  <si>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</si>
  <si>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</si>
  <si>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</si>
  <si>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</si>
  <si>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</si>
  <si>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</si>
  <si>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</si>
  <si>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</si>
  <si>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</si>
  <si>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</si>
  <si>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</si>
  <si>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</si>
  <si>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</si>
  <si>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</si>
  <si>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</si>
  <si>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</si>
  <si>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</si>
  <si>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</si>
  <si>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</si>
  <si>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</si>
  <si>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</si>
  <si>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</si>
  <si>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</si>
  <si>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</si>
  <si>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</si>
  <si>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</si>
  <si>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</si>
  <si>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</si>
  <si>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</si>
  <si>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</si>
  <si>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</si>
  <si>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</si>
  <si>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</si>
  <si>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</si>
  <si>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</si>
  <si>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</si>
  <si>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</si>
  <si>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</si>
  <si>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</si>
  <si>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</si>
  <si>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</si>
  <si>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</si>
  <si>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</si>
  <si>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</si>
  <si>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</si>
  <si>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</si>
  <si>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</si>
  <si>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</si>
  <si>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</si>
  <si>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</si>
  <si>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</si>
  <si>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</si>
  <si>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</si>
  <si>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</si>
  <si>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</si>
  <si>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</si>
  <si>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</si>
  <si>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</si>
  <si>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</si>
  <si>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</si>
  <si>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</si>
  <si>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</si>
  <si>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</si>
  <si>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</si>
  <si>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</si>
  <si>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</si>
  <si>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</si>
  <si>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</si>
  <si>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</si>
  <si>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</si>
  <si>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</si>
  <si>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</si>
  <si>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</si>
  <si>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</si>
  <si>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</si>
  <si>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</si>
  <si>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</si>
  <si>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</si>
  <si>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</si>
  <si>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</si>
  <si>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</si>
  <si>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</si>
  <si>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</si>
  <si>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</si>
  <si>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</si>
  <si>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</si>
  <si>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</si>
  <si>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</si>
  <si>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</si>
  <si>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</si>
  <si>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</si>
  <si>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</si>
  <si>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</si>
  <si>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</si>
  <si>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</si>
  <si>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</si>
  <si>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</si>
  <si>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</si>
  <si>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</si>
  <si>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</si>
  <si>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</si>
  <si>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</si>
  <si>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</si>
  <si>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</si>
  <si>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</si>
  <si>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</si>
  <si>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</si>
  <si>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</si>
  <si>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</si>
  <si>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</si>
  <si>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</si>
  <si>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</si>
  <si>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</si>
  <si>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</si>
  <si>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</si>
  <si>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</si>
  <si>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</si>
  <si>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</si>
  <si>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</si>
  <si>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</si>
  <si>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</si>
  <si>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</si>
  <si>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</si>
  <si>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</si>
  <si>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</si>
  <si>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</si>
  <si>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</si>
  <si>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</si>
  <si>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</si>
  <si>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</si>
  <si>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</si>
  <si>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</si>
  <si>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</si>
  <si>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</si>
  <si>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</si>
  <si>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</si>
  <si>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</si>
  <si>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</si>
  <si>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</si>
  <si>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</si>
  <si>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</si>
  <si>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</si>
  <si>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</si>
  <si>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</si>
  <si>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</si>
  <si>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</si>
  <si>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</si>
  <si>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</si>
  <si>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</si>
  <si>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</si>
  <si>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</si>
  <si>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</si>
  <si>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</si>
  <si>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</si>
  <si>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</si>
  <si>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</si>
  <si>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</si>
  <si>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</si>
  <si>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</si>
  <si>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</si>
  <si>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</si>
  <si>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</si>
  <si>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</si>
  <si>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</si>
  <si>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</si>
  <si>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</si>
  <si>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</si>
  <si>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</si>
  <si>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</si>
  <si>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</si>
  <si>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</si>
  <si>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</si>
  <si>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</si>
  <si>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</si>
  <si>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</si>
  <si>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</si>
  <si>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</si>
  <si>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</si>
  <si>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</si>
  <si>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</si>
  <si>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</si>
  <si>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</si>
  <si>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</si>
  <si>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</si>
  <si>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</si>
  <si>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</si>
  <si>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</si>
  <si>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</si>
  <si>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</si>
  <si>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</si>
  <si>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</si>
  <si>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</si>
  <si>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</si>
  <si>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</si>
  <si>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</si>
  <si>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</si>
  <si>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</si>
  <si>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</si>
  <si>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</si>
  <si>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</si>
  <si>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</si>
  <si>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</si>
  <si>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</si>
  <si>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</si>
  <si>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</si>
  <si>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</si>
  <si>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</si>
  <si>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</si>
  <si>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</si>
  <si>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</si>
  <si>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</si>
  <si>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</si>
  <si>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</si>
  <si>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</si>
  <si>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</si>
  <si>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</si>
  <si>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</si>
  <si>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</si>
  <si>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</si>
  <si>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</si>
  <si>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</si>
  <si>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</si>
  <si>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</si>
  <si>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</si>
  <si>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</si>
  <si>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</si>
  <si>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</si>
  <si>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</si>
  <si>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</si>
  <si>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</si>
  <si>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</si>
  <si>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</si>
  <si>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</si>
  <si>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</si>
  <si>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</si>
  <si>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</si>
  <si>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</si>
  <si>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</si>
  <si>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</si>
  <si>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</si>
  <si>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</si>
  <si>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</si>
  <si>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</si>
  <si>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</si>
  <si>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</si>
  <si>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</si>
  <si>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</si>
  <si>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</si>
  <si>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</si>
  <si>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</si>
  <si>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</si>
  <si>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</si>
  <si>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</si>
  <si>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</si>
  <si>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</si>
  <si>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</si>
  <si>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</si>
  <si>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</si>
  <si>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</si>
  <si>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</si>
  <si>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</si>
  <si>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</si>
  <si>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</si>
  <si>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</si>
  <si>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</si>
  <si>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</si>
  <si>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</si>
  <si>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</si>
  <si>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</si>
  <si>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</si>
  <si>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</si>
  <si>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</si>
  <si>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</si>
  <si>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</si>
  <si>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</si>
  <si>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</si>
  <si>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</si>
  <si>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</si>
  <si>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</si>
  <si>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</si>
  <si>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</si>
  <si>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</si>
  <si>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</si>
  <si>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</si>
  <si>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</si>
  <si>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</si>
  <si>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</si>
  <si>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</si>
  <si>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</si>
  <si>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</si>
  <si>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</si>
  <si>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</si>
  <si>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</si>
  <si>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</si>
  <si>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</si>
  <si>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</si>
  <si>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</si>
  <si>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</si>
  <si>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</si>
  <si>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</si>
  <si>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</si>
  <si>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</si>
  <si>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</si>
  <si>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</si>
  <si>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</si>
  <si>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</si>
  <si>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</si>
  <si>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</si>
  <si>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</si>
  <si>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</si>
  <si>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</si>
  <si>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</si>
  <si>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</si>
  <si>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</si>
  <si>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</si>
  <si>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</si>
  <si>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</si>
  <si>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</si>
  <si>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</si>
  <si>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</si>
  <si>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</si>
  <si>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</si>
  <si>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</si>
  <si>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</si>
  <si>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</si>
  <si>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</si>
  <si>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</si>
  <si>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</si>
  <si>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</si>
  <si>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</si>
  <si>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</si>
  <si>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</si>
  <si>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</si>
  <si>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</si>
  <si>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</si>
  <si>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</si>
  <si>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</si>
  <si>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</si>
  <si>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</si>
  <si>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</si>
  <si>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</si>
  <si>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</si>
  <si>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</si>
  <si>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</si>
  <si>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</si>
  <si>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</si>
  <si>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</si>
  <si>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</si>
  <si>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</si>
  <si>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</si>
  <si>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</si>
  <si>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</si>
  <si>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</si>
  <si>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</si>
  <si>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</si>
  <si>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</si>
  <si>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</si>
  <si>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</si>
  <si>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</si>
  <si>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</si>
  <si>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</si>
  <si>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</si>
  <si>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</si>
  <si>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</si>
  <si>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</si>
  <si>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</si>
  <si>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</si>
  <si>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</si>
  <si>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</si>
  <si>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</si>
  <si>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</si>
  <si>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</si>
  <si>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</si>
  <si>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</si>
  <si>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</si>
  <si>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</si>
  <si>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</si>
  <si>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</si>
  <si>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</si>
  <si>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</si>
  <si>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</si>
  <si>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</si>
  <si>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</si>
  <si>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</si>
  <si>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</si>
  <si>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</si>
  <si>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</si>
  <si>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</si>
  <si>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</si>
  <si>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</si>
  <si>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</si>
  <si>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</si>
  <si>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</si>
  <si>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</si>
  <si>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</si>
  <si>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</si>
  <si>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</si>
  <si>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</si>
  <si>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</si>
  <si>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</si>
  <si>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</si>
  <si>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</si>
  <si>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</si>
  <si>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</si>
  <si>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</si>
  <si>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</si>
  <si>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</si>
  <si>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</si>
  <si>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</si>
  <si>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</si>
  <si>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</si>
  <si>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</si>
  <si>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</si>
  <si>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</si>
  <si>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</si>
  <si>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</si>
  <si>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</si>
  <si>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</si>
  <si>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</si>
  <si>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</si>
  <si>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</si>
  <si>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</si>
  <si>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</si>
  <si>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</si>
  <si>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</si>
  <si>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</si>
  <si>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</si>
  <si>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</si>
  <si>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</si>
  <si>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</si>
  <si>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</si>
  <si>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</si>
  <si>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</si>
  <si>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</si>
  <si>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</si>
  <si>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</si>
  <si>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</si>
  <si>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</si>
  <si>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</si>
  <si>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</si>
  <si>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</si>
  <si>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</si>
  <si>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</si>
  <si>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</si>
  <si>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</si>
  <si>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</si>
  <si>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</si>
  <si>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</si>
  <si>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</si>
  <si>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</si>
  <si>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</si>
  <si>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</si>
  <si>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</si>
  <si>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</si>
  <si>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</si>
  <si>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</si>
  <si>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</si>
  <si>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</si>
  <si>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</si>
  <si>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</si>
  <si>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</si>
  <si>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</si>
  <si>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</si>
  <si>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</si>
  <si>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</si>
  <si>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</si>
  <si>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</si>
  <si>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</si>
  <si>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</si>
  <si>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</si>
  <si>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</si>
  <si>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</si>
  <si>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</si>
  <si>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</si>
  <si>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</si>
  <si>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</si>
  <si>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</si>
  <si>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</si>
  <si>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</si>
  <si>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</si>
  <si>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</si>
  <si>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</si>
  <si>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</si>
  <si>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</si>
  <si>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</si>
  <si>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</si>
  <si>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</si>
  <si>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</si>
  <si>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</si>
  <si>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</si>
  <si>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</si>
  <si>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</si>
  <si>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</si>
  <si>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</si>
  <si>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</si>
  <si>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</si>
  <si>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</si>
  <si>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</si>
  <si>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</si>
  <si>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</si>
  <si>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</si>
  <si>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</si>
  <si>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</si>
  <si>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</si>
  <si>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</si>
  <si>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</si>
  <si>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</si>
  <si>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</si>
  <si>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</si>
  <si>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</si>
  <si>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</si>
  <si>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</si>
  <si>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</si>
  <si>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</si>
  <si>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</si>
  <si>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</si>
  <si>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</si>
  <si>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</si>
  <si>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</si>
  <si>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</si>
  <si>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</si>
  <si>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</si>
  <si>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</si>
  <si>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</si>
  <si>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</si>
  <si>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</si>
  <si>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</si>
  <si>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</si>
  <si>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</si>
  <si>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</si>
  <si>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</si>
  <si>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</si>
  <si>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</si>
  <si>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</si>
  <si>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</si>
  <si>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</si>
  <si>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</si>
  <si>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</si>
  <si>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</si>
  <si>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</si>
  <si>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</si>
  <si>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</si>
  <si>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</si>
  <si>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</si>
  <si>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</si>
  <si>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</si>
  <si>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</si>
  <si>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</si>
  <si>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</si>
  <si>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</si>
  <si>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</si>
  <si>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</si>
  <si>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</si>
  <si>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</si>
  <si>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</si>
  <si>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</si>
  <si>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</si>
  <si>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</si>
  <si>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</si>
  <si>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</si>
  <si>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</si>
  <si>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</si>
  <si>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</si>
  <si>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</si>
  <si>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</si>
  <si>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</si>
  <si>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</si>
  <si>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</si>
  <si>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</si>
  <si>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</si>
  <si>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</si>
  <si>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</si>
  <si>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</si>
  <si>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</si>
  <si>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</si>
  <si>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</si>
  <si>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</si>
  <si>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</si>
  <si>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</si>
  <si>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</si>
  <si>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</si>
  <si>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</si>
  <si>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</si>
  <si>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</si>
  <si>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</si>
  <si>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</si>
  <si>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</si>
  <si>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</si>
  <si>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</si>
  <si>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</si>
  <si>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</si>
  <si>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</si>
  <si>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</si>
  <si>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</si>
  <si>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</si>
  <si>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</si>
  <si>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</si>
  <si>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</si>
  <si>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</si>
  <si>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</si>
  <si>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</si>
  <si>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</si>
  <si>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</si>
  <si>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</si>
  <si>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</si>
  <si>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</si>
  <si>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</si>
  <si>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</si>
  <si>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</si>
  <si>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</si>
  <si>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</si>
  <si>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</si>
  <si>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</si>
  <si>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</si>
  <si>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</si>
  <si>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</si>
  <si>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</si>
  <si>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</si>
  <si>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</si>
  <si>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</si>
  <si>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</si>
  <si>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</si>
  <si>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</si>
  <si>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</si>
  <si>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</si>
  <si>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</si>
  <si>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</si>
  <si>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</si>
  <si>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</si>
  <si>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</si>
  <si>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</si>
  <si>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</si>
  <si>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</si>
  <si>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</si>
  <si>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</si>
  <si>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</si>
  <si>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</si>
  <si>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</si>
  <si>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</si>
  <si>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</si>
  <si>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</si>
  <si>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</si>
  <si>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</si>
  <si>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</si>
  <si>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</si>
  <si>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</si>
  <si>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</si>
  <si>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</si>
  <si>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</si>
  <si>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</si>
  <si>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</si>
  <si>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</si>
  <si>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</si>
  <si>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</si>
  <si>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</si>
  <si>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</si>
  <si>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</si>
  <si>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</si>
  <si>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</si>
  <si>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</si>
  <si>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</si>
  <si>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</si>
  <si>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</si>
  <si>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</si>
  <si>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</si>
  <si>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</si>
  <si>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</si>
  <si>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</si>
  <si>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</si>
  <si>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</si>
  <si>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</si>
  <si>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</si>
  <si>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</si>
  <si>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</si>
  <si>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</si>
  <si>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</si>
  <si>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</si>
  <si>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</si>
  <si>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</si>
  <si>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</si>
  <si>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</si>
  <si>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</si>
  <si>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</si>
  <si>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</si>
  <si>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</si>
  <si>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</si>
  <si>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</si>
  <si>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</si>
  <si>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</si>
  <si>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</si>
  <si>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</si>
  <si>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</si>
  <si>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</si>
  <si>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</si>
  <si>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</si>
  <si>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</si>
  <si>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</si>
  <si>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</si>
  <si>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</si>
  <si>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</si>
  <si>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</si>
  <si>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</si>
  <si>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</si>
  <si>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</si>
  <si>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</si>
  <si>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</si>
  <si>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</si>
  <si>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</si>
  <si>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</si>
  <si>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</si>
  <si>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</si>
  <si>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</si>
  <si>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</si>
  <si>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</si>
  <si>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</si>
  <si>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</si>
  <si>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</si>
  <si>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</si>
  <si>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</si>
  <si>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</si>
  <si>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</si>
  <si>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</si>
  <si>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</si>
  <si>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</si>
  <si>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</si>
  <si>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</si>
  <si>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</si>
  <si>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</si>
  <si>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</si>
  <si>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</si>
  <si>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</si>
  <si>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</si>
  <si>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</si>
  <si>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</si>
  <si>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</si>
  <si>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</si>
  <si>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</si>
  <si>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</si>
  <si>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</si>
  <si>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</si>
  <si>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</si>
  <si>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</si>
  <si>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</si>
  <si>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</si>
  <si>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</si>
  <si>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</si>
  <si>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</si>
  <si>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</si>
  <si>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</si>
  <si>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</si>
  <si>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</si>
  <si>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</si>
  <si>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</si>
  <si>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</si>
  <si>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</si>
  <si>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</si>
  <si>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</si>
  <si>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</si>
  <si>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</si>
  <si>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</si>
  <si>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</si>
  <si>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</si>
  <si>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</si>
  <si>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</si>
  <si>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</si>
  <si>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</si>
  <si>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</si>
  <si>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</si>
  <si>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</si>
  <si>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</si>
  <si>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</si>
  <si>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</si>
  <si>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</si>
  <si>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</si>
  <si>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</si>
  <si>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</si>
  <si>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</si>
  <si>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</si>
  <si>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</si>
  <si>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</si>
  <si>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</si>
  <si>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</si>
  <si>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</si>
  <si>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</si>
  <si>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</si>
  <si>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</si>
  <si>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</si>
  <si>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</si>
  <si>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</si>
  <si>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</si>
  <si>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</si>
  <si>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</si>
  <si>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</si>
  <si>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</si>
  <si>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</si>
  <si>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</si>
  <si>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</si>
  <si>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</si>
  <si>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</si>
  <si>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</si>
  <si>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</si>
  <si>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</si>
  <si>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</si>
  <si>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</si>
  <si>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</si>
  <si>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</si>
  <si>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</si>
  <si>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</si>
  <si>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</si>
  <si>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</si>
  <si>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</si>
  <si>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</si>
  <si>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</si>
  <si>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</si>
  <si>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</si>
  <si>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</si>
  <si>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</si>
  <si>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</si>
  <si>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</si>
  <si>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</si>
  <si>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</si>
  <si>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</si>
  <si>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</si>
  <si>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</si>
  <si>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</si>
  <si>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</si>
  <si>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</si>
  <si>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</si>
  <si>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</si>
  <si>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</si>
  <si>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</si>
  <si>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</si>
  <si>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</si>
  <si>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</si>
  <si>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</si>
  <si>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</si>
  <si>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</si>
  <si>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</si>
  <si>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</si>
  <si>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</si>
  <si>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</si>
  <si>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</si>
  <si>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</si>
  <si>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</si>
  <si>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</si>
  <si>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</si>
  <si>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</si>
  <si>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</si>
  <si>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</si>
  <si>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</si>
  <si>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</si>
  <si>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</si>
  <si>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</si>
  <si>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</si>
  <si>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</si>
  <si>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</si>
  <si>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</si>
  <si>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</si>
  <si>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</si>
  <si>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</si>
  <si>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</si>
  <si>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</si>
  <si>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</si>
  <si>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</si>
  <si>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</si>
  <si>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</si>
  <si>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</si>
  <si>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</si>
  <si>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</si>
  <si>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</si>
  <si>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</si>
  <si>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</si>
  <si>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</si>
  <si>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</si>
  <si>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</si>
  <si>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</si>
  <si>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</si>
  <si>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</si>
  <si>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</si>
  <si>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</si>
  <si>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</si>
  <si>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</si>
  <si>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</si>
  <si>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</si>
  <si>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</si>
  <si>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</si>
  <si>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</si>
  <si>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</si>
  <si>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</si>
  <si>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</si>
  <si>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</si>
  <si>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</si>
  <si>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</si>
  <si>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</si>
  <si>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</si>
  <si>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</si>
  <si>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</si>
  <si>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</si>
  <si>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</si>
  <si>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</si>
  <si>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</si>
  <si>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</si>
  <si>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</si>
  <si>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</si>
  <si>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</si>
  <si>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</si>
  <si>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</si>
  <si>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</si>
  <si>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</si>
  <si>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</si>
  <si>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</si>
  <si>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</si>
  <si>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</si>
  <si>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</si>
  <si>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</si>
  <si>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</si>
  <si>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</si>
  <si>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</si>
  <si>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</si>
  <si>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</si>
  <si>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</si>
  <si>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</si>
  <si>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</si>
  <si>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</si>
  <si>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</si>
  <si>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</si>
  <si>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</si>
  <si>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</si>
  <si>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</si>
  <si>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</si>
  <si>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</si>
  <si>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</si>
  <si>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</si>
  <si>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</si>
  <si>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</si>
  <si>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</si>
  <si>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</si>
  <si>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</si>
  <si>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</si>
  <si>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</si>
  <si>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</si>
  <si>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</si>
  <si>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</si>
  <si>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</si>
  <si>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</si>
  <si>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</si>
  <si>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</si>
  <si>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</si>
  <si>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</si>
  <si>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</si>
  <si>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</si>
  <si>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</si>
  <si>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</si>
  <si>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</si>
  <si>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</si>
  <si>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</si>
  <si>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</si>
  <si>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</si>
  <si>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</si>
  <si>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</si>
  <si>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</si>
  <si>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</si>
  <si>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</si>
  <si>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</si>
  <si>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</si>
  <si>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</si>
  <si>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</si>
  <si>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</si>
  <si>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与级别开发程度不一致</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</si>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</sst>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100" fillId="5" borderId="23" xfId="0" applyNumberFormat="1" applyFont="1" applyFill="1" applyBorder="1" applyAlignment="1" applyProtection="1">
      <alignment horizontal="center" vertical="center"/>
      <protection locked="0"/>
    </xf>
    <xf numFmtId="179" fontId="113" fillId="5"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'预评函-封皮'!B46</f>
        <v>（注册号：0)、（注册号：0)</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2024年6月14日</v>
      </c>
    </row>
    <row r="13" spans="1:2" s="1199" customFormat="1">
      <c r="A13" s="1197" t="s">
        <v>528</v>
      </c>
      <c r="B13" s="1198"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132017</v>
      </c>
    </row>
    <row r="21" spans="1:2" s="1199" customFormat="1">
      <c r="A21" s="1197" t="s">
        <v>536</v>
      </c>
      <c r="B21" s="1198">
        <f ca="1">'预评函-2'!D7</f>
        <v>26257</v>
      </c>
    </row>
    <row r="22" spans="1:2" s="1199" customFormat="1">
      <c r="A22" s="1197" t="s">
        <v>537</v>
      </c>
      <c r="B22" s="1198" t="str">
        <f ca="1">'预评函-2'!D6</f>
        <v>壹拾叁亿贰仟零壹拾柒万元整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132017</v>
      </c>
    </row>
    <row r="31" spans="1:2" s="1199" customFormat="1">
      <c r="A31" s="1197" t="s">
        <v>575</v>
      </c>
      <c r="B31" s="1198">
        <f ca="1">'预评函-2'!D15</f>
        <v>26257</v>
      </c>
    </row>
    <row r="32" spans="1:2" s="1199" customFormat="1">
      <c r="A32" s="1197" t="s">
        <v>542</v>
      </c>
      <c r="B32" s="1198" t="str">
        <f ca="1">'预评函-2'!D14</f>
        <v>壹拾叁亿贰仟零壹拾柒万元整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100909</v>
      </c>
    </row>
    <row r="39" spans="1:2" s="1199" customFormat="1">
      <c r="A39" s="1197" t="s">
        <v>544</v>
      </c>
      <c r="B39" s="1198">
        <f ca="1">'预评函-2'!D21</f>
        <v>20070</v>
      </c>
    </row>
    <row r="40" spans="1:2" s="1199" customFormat="1">
      <c r="A40" s="1197" t="s">
        <v>545</v>
      </c>
      <c r="B40" s="1198" t="str">
        <f ca="1">'预评函-2'!D20</f>
        <v>壹拾亿零玖佰零玖万元整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102445</v>
      </c>
    </row>
    <row r="48" spans="1:2" s="1199" customFormat="1">
      <c r="A48" s="1197" t="s">
        <v>548</v>
      </c>
      <c r="B48" s="1198">
        <f ca="1">'预评函-3'!E4</f>
        <v>20375</v>
      </c>
    </row>
    <row r="49" spans="1:2" s="1199" customFormat="1">
      <c r="A49" s="1197" t="s">
        <v>549</v>
      </c>
      <c r="B49" s="1198" t="str">
        <f ca="1">'预评函-3'!D5</f>
        <v>壹拾亿贰仟肆佰肆拾伍万元整</v>
      </c>
    </row>
    <row r="50" spans="1:2" s="1199" customFormat="1">
      <c r="A50" s="1197" t="s">
        <v>573</v>
      </c>
      <c r="B50" s="1198" t="str">
        <f>'预评函-3'!F2</f>
        <v>在建建筑物价值</v>
      </c>
    </row>
    <row r="51" spans="1:2" s="1199" customFormat="1">
      <c r="A51" s="1197" t="s">
        <v>550</v>
      </c>
      <c r="B51" s="1198">
        <f ca="1">'预评函-3'!F4</f>
        <v>29572</v>
      </c>
    </row>
    <row r="52" spans="1:2" s="1199" customFormat="1">
      <c r="A52" s="1197" t="s">
        <v>551</v>
      </c>
      <c r="B52" s="1198">
        <f ca="1">'预评函-3'!G4</f>
        <v>5882</v>
      </c>
    </row>
    <row r="53" spans="1:2" s="1199" customFormat="1">
      <c r="A53" s="1197" t="s">
        <v>579</v>
      </c>
      <c r="B53" s="1198" t="str">
        <f ca="1">'预评函-3'!F5</f>
        <v>贰亿玖仟伍佰柒拾贰万元整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f>'预评函-4'!A4</f>
        <v>0</v>
      </c>
    </row>
    <row r="71" spans="1:2">
      <c r="A71" s="1197" t="s">
        <v>562</v>
      </c>
      <c r="B71" s="1198">
        <f>'预评函-4'!B4</f>
        <v>0</v>
      </c>
    </row>
    <row r="72" spans="1:2">
      <c r="A72" s="1197" t="s">
        <v>563</v>
      </c>
      <c r="B72" s="1206">
        <f>'预评函-4'!A5</f>
        <v>0</v>
      </c>
    </row>
    <row r="73" spans="1:2" s="1193" customFormat="1" ht="15" thickBot="1">
      <c r="A73" s="1200" t="s">
        <v>564</v>
      </c>
      <c r="B73" s="1201">
        <f>'预评函-4'!B5</f>
        <v>0</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49"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0" t="s">
        <v>384</v>
      </c>
      <c r="C54" s="1547" t="s">
        <v>582</v>
      </c>
    </row>
    <row r="55" spans="1:4">
      <c r="A55" s="3549"/>
      <c r="B55" s="1550" t="s">
        <v>385</v>
      </c>
      <c r="C55" s="1547" t="s">
        <v>583</v>
      </c>
    </row>
    <row r="56" spans="1:4">
      <c r="A56" s="3549"/>
      <c r="B56" s="1550" t="s">
        <v>386</v>
      </c>
      <c r="C56" s="1547" t="s">
        <v>587</v>
      </c>
    </row>
    <row r="57" spans="1:4">
      <c r="A57" s="3549"/>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0" t="s">
        <v>2579</v>
      </c>
      <c r="J2" s="3550"/>
      <c r="K2" s="3550"/>
      <c r="L2" s="3550"/>
      <c r="M2" s="3550"/>
      <c r="N2" s="3550"/>
      <c r="O2" s="3550"/>
      <c r="P2" s="3550"/>
      <c r="Q2" s="3550"/>
      <c r="R2" s="3550"/>
    </row>
    <row r="3" spans="1:18">
      <c r="A3" s="3016" t="s">
        <v>2500</v>
      </c>
      <c r="B3" s="3017">
        <f>项目基本情况!D3</f>
        <v>45457</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2.5099999999999998</v>
      </c>
      <c r="D5" s="3021">
        <f>IF(ISERROR(ROUND(POWER(1+E5,A5-C5)*(POWER(1+E5,C5)-1)/(POWER(1+E5,A5)-1),3)),0,ROUND(POWER(1+E5,A5-C5)*(POWER(1+E5,C5)-1)/(POWER(1+E5,A5)-1),4))</f>
        <v>0.11840000000000001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12.52</v>
      </c>
      <c r="D6" s="3021">
        <f>IF(ISERROR(ROUND(POWER(1+E6,A6-C6)*(POWER(1+E6,C6)-1)/(POWER(1+E6,A6)-1),3)),0,ROUND(POWER(1+E6,A6-C6)*(POWER(1+E6,C6)-1)/(POWER(1+E6,A6)-1),4))</f>
        <v>0.4516</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32.53</v>
      </c>
      <c r="D7" s="3021">
        <f>IF(ISERROR(ROUND(POWER(1+E7,A7-C7)*(POWER(1+E7,C7)-1)/(POWER(1+E7,A7)-1),3)),0,ROUND(POWER(1+E7,A7-C7)*(POWER(1+E7,C7)-1)/(POWER(1+E7,A7)-1),4))</f>
        <v>0.77029999999999998</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59" t="str">
        <f>IF(B10="北京市","北京市",C10)&amp;F10&amp;IF(结果表!G1="在建","出让国有建设用地使用权及在建建筑物",IF(结果表!G1="土地","出让国有建设用地使用权",))&amp;B9&amp;"预评估"</f>
        <v>北京市房地产抵押价值预评估</v>
      </c>
      <c r="C1" s="3560"/>
      <c r="D1" s="3560"/>
      <c r="E1" s="3560"/>
      <c r="F1" s="3560"/>
      <c r="G1" s="3560"/>
      <c r="H1" s="3560"/>
      <c r="I1" s="3561"/>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45457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62"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63"/>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33.64</v>
      </c>
      <c r="E15" s="2406">
        <f>IF(A13="出让",IF(E13="","",ROUNDDOWN(MIN((E13-$D$3)/365,E14),2)),E14)</f>
        <v>43.65</v>
      </c>
      <c r="F15" s="2406">
        <f>IF(A13="出让",IF(F13="","",ROUNDDOWN(MIN((F13-$D$3)/365,F14),2)),F14)</f>
        <v>43.65</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69"/>
      <c r="C16" s="3570"/>
      <c r="D16" s="3571"/>
      <c r="E16" s="2409" t="s">
        <v>2189</v>
      </c>
      <c r="F16" s="3572"/>
      <c r="G16" s="3573"/>
      <c r="H16" s="3573"/>
      <c r="I16" s="3574"/>
      <c r="J16" s="2435"/>
      <c r="K16" s="2613"/>
      <c r="L16" s="2447"/>
      <c r="M16" s="2447"/>
      <c r="N16" s="2505"/>
      <c r="O16" s="2447"/>
      <c r="P16" s="2505"/>
      <c r="Q16" s="2435"/>
      <c r="R16" s="2435"/>
    </row>
    <row r="17" spans="1:28">
      <c r="A17" s="313" t="s">
        <v>2190</v>
      </c>
      <c r="B17" s="302" t="s">
        <v>2191</v>
      </c>
      <c r="C17" s="8">
        <f>'数据-汇总表'!E3</f>
        <v>50278.100000000006</v>
      </c>
      <c r="D17" s="2318" t="s">
        <v>2192</v>
      </c>
      <c r="E17" s="3575" t="s">
        <v>2193</v>
      </c>
      <c r="F17" s="3576"/>
      <c r="G17" s="3576"/>
      <c r="H17" s="3576"/>
      <c r="I17" s="3577"/>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78" t="s">
        <v>2197</v>
      </c>
      <c r="F18" s="3579"/>
      <c r="G18" s="3579"/>
      <c r="H18" s="3579"/>
      <c r="I18" s="3580"/>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5" t="s">
        <v>2201</v>
      </c>
      <c r="C20" s="3566"/>
      <c r="D20" s="3567" t="s">
        <v>2202</v>
      </c>
      <c r="E20" s="3568"/>
      <c r="F20" s="2643" t="s">
        <v>1053</v>
      </c>
      <c r="G20" s="2660"/>
      <c r="H20" s="2660"/>
      <c r="I20" s="2660"/>
      <c r="J20" s="2435"/>
      <c r="K20" s="3564"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6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6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2"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2"/>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2"/>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3"/>
      <c r="B30" s="302" t="s">
        <v>2213</v>
      </c>
      <c r="C30" s="3554"/>
      <c r="D30" s="3555"/>
      <c r="E30" s="2660"/>
      <c r="F30" s="2660"/>
      <c r="G30" s="2660"/>
      <c r="H30" s="2660"/>
      <c r="I30" s="2660"/>
      <c r="J30" s="2435"/>
      <c r="K30" s="2612"/>
      <c r="L30" s="2609"/>
      <c r="M30" s="2609"/>
      <c r="N30" s="2435"/>
      <c r="O30" s="2446"/>
      <c r="P30" s="2435"/>
      <c r="Q30" s="2435"/>
      <c r="R30" s="2435"/>
      <c r="S30" s="2435"/>
      <c r="T30" s="2435"/>
      <c r="U30" s="2435"/>
      <c r="V30" s="2435"/>
    </row>
    <row r="31" spans="1:28">
      <c r="A31" s="3556"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7"/>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7"/>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51" t="s">
        <v>2223</v>
      </c>
      <c r="T34" s="2424" t="str">
        <f>NUMBERSTRING(7-K34,1)&amp;"通"</f>
        <v>七通</v>
      </c>
      <c r="U34" s="2435"/>
      <c r="V34" s="2435"/>
    </row>
    <row r="35" spans="1:30">
      <c r="A35" s="2425"/>
      <c r="B35" s="3558" t="s">
        <v>2224</v>
      </c>
      <c r="C35" s="3558"/>
      <c r="D35" s="3558"/>
      <c r="E35" s="3558"/>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51"/>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852">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3"/>
  <sheetViews>
    <sheetView workbookViewId="0">
      <selection activeCell="J17" sqref="J17"/>
    </sheetView>
  </sheetViews>
  <sheetFormatPr defaultRowHeight="13.5"/>
  <cols>
    <col min="6" max="7" width="14.875" customWidth="1"/>
  </cols>
  <sheetData>
    <row r="1" spans="1:13">
      <c r="B1" s="3853" t="s">
        <v>3499</v>
      </c>
      <c r="E1" s="3853" t="s">
        <v>3500</v>
      </c>
      <c r="F1" s="3853" t="s">
        <v>3507</v>
      </c>
      <c r="G1" s="3853" t="s">
        <v>3508</v>
      </c>
      <c r="H1" s="3853" t="s">
        <v>3506</v>
      </c>
      <c r="I1" s="3853" t="s">
        <v>3504</v>
      </c>
      <c r="J1" s="3853" t="s">
        <v>3505</v>
      </c>
      <c r="K1" s="3853" t="s">
        <v>3498</v>
      </c>
    </row>
    <row r="2" spans="1:13">
      <c r="A2" s="3853" t="s">
        <v>3494</v>
      </c>
      <c r="B2">
        <v>15550.94</v>
      </c>
      <c r="D2" s="3853" t="s">
        <v>3501</v>
      </c>
      <c r="E2">
        <f>SUM(F2:K2)</f>
        <v>33759.020000000004</v>
      </c>
      <c r="F2">
        <f>33759.02-G2-H2</f>
        <v>12833.079999999998</v>
      </c>
      <c r="G2">
        <f>ROUND(B4/B10*E10,2)</f>
        <v>20688.28</v>
      </c>
      <c r="H2">
        <f>'数据-基础表'!AL13</f>
        <v>237.66</v>
      </c>
    </row>
    <row r="3" spans="1:13">
      <c r="A3" s="3853" t="s">
        <v>3495</v>
      </c>
      <c r="B3">
        <v>3617.18</v>
      </c>
      <c r="D3" s="3853" t="s">
        <v>3502</v>
      </c>
      <c r="E3">
        <f>SUM(F3:K3)</f>
        <v>1114.5</v>
      </c>
      <c r="F3">
        <f>'数据-基础表'!K14</f>
        <v>1114.5</v>
      </c>
    </row>
    <row r="4" spans="1:13">
      <c r="A4" s="3853" t="s">
        <v>3496</v>
      </c>
      <c r="B4">
        <v>20549.52</v>
      </c>
      <c r="D4" s="3853" t="s">
        <v>3503</v>
      </c>
      <c r="E4">
        <f>SUM(F4:K4)</f>
        <v>15404.58</v>
      </c>
      <c r="H4">
        <v>92.98</v>
      </c>
      <c r="I4">
        <f>B3</f>
        <v>3617.18</v>
      </c>
      <c r="J4">
        <f>B5</f>
        <v>7662.36</v>
      </c>
      <c r="K4">
        <f>M4-I4-J4-H4</f>
        <v>4032.06</v>
      </c>
      <c r="M4">
        <v>15404.58</v>
      </c>
    </row>
    <row r="5" spans="1:13">
      <c r="A5" s="3853" t="s">
        <v>3497</v>
      </c>
      <c r="B5">
        <v>7662.36</v>
      </c>
    </row>
    <row r="6" spans="1:13">
      <c r="B6">
        <f>SUM(B2:B5)</f>
        <v>47380</v>
      </c>
    </row>
    <row r="7" spans="1:13">
      <c r="A7" s="3853" t="s">
        <v>3498</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0" t="s">
        <v>1128</v>
      </c>
      <c r="B2" s="3590"/>
      <c r="C2" s="3590"/>
      <c r="D2" s="792" t="s">
        <v>1104</v>
      </c>
      <c r="E2" s="1635" t="s">
        <v>1105</v>
      </c>
      <c r="F2" s="2655"/>
      <c r="G2" s="2646"/>
      <c r="H2" s="2647"/>
      <c r="I2" s="2321" t="s">
        <v>1129</v>
      </c>
      <c r="J2" s="2655"/>
      <c r="K2" s="2655"/>
      <c r="L2" s="2655"/>
      <c r="M2" s="2655"/>
      <c r="N2" s="2657"/>
      <c r="O2" s="2655"/>
      <c r="P2" s="2655"/>
    </row>
    <row r="3" spans="1:16" ht="15.75" thickBot="1">
      <c r="A3" s="3591" t="s">
        <v>1102</v>
      </c>
      <c r="B3" s="3591"/>
      <c r="C3" s="3591"/>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592"/>
      <c r="B4" s="3593"/>
      <c r="C4" s="3594"/>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595" t="s">
        <v>1107</v>
      </c>
      <c r="C5" s="3595"/>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595" t="s">
        <v>1108</v>
      </c>
      <c r="C6" s="3595"/>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87"/>
      <c r="B7" s="3588"/>
      <c r="C7" s="3589"/>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84" t="s">
        <v>1132</v>
      </c>
      <c r="L16" s="3585"/>
      <c r="M16" s="3585"/>
      <c r="N16" s="3585"/>
      <c r="O16" s="3585"/>
      <c r="P16" s="3586"/>
    </row>
    <row r="17" spans="1:19" ht="15">
      <c r="A17" s="1646" t="s">
        <v>1133</v>
      </c>
      <c r="B17" s="1647" t="s">
        <v>1134</v>
      </c>
      <c r="C17" s="1648" t="s">
        <v>1135</v>
      </c>
      <c r="D17" s="1649" t="s">
        <v>1123</v>
      </c>
      <c r="E17" s="1650" t="s">
        <v>1124</v>
      </c>
      <c r="F17" s="1651"/>
      <c r="G17" s="1652"/>
      <c r="H17" s="1653" t="s">
        <v>1136</v>
      </c>
      <c r="I17" s="1654" t="s">
        <v>1121</v>
      </c>
      <c r="J17" s="1135"/>
      <c r="K17" s="3581" t="s">
        <v>1137</v>
      </c>
      <c r="L17" s="3582"/>
      <c r="M17" s="3583"/>
      <c r="N17" s="3581" t="s">
        <v>1138</v>
      </c>
      <c r="O17" s="3582"/>
      <c r="P17" s="3583"/>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45457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43.65</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854">
        <v>5.5</v>
      </c>
      <c r="V6" s="70">
        <v>2.5000000000000001E-2</v>
      </c>
      <c r="W6" s="70">
        <v>0.1</v>
      </c>
      <c r="X6" s="1036"/>
      <c r="Y6" s="71">
        <f>N6</f>
        <v>0.95</v>
      </c>
      <c r="Z6" s="72"/>
      <c r="AA6" s="66"/>
      <c r="AB6" s="66"/>
      <c r="AC6" s="1036"/>
      <c r="AD6" s="73"/>
      <c r="AE6" s="1037">
        <f ca="1">IF(AN6="",0,SUMIF(INDIRECT("'"&amp;AN6&amp;"'"&amp;"!E:E"),$AE$5,INDIRECT("'"&amp;AN6&amp;"'"&amp;"!F:F")))</f>
        <v>43.65</v>
      </c>
      <c r="AF6" s="1344"/>
      <c r="AG6" s="138">
        <f>IF(AF6="",0,AE6-AF6)</f>
        <v>0</v>
      </c>
      <c r="AH6" s="74"/>
      <c r="AI6" s="76">
        <v>365</v>
      </c>
      <c r="AJ6" s="77"/>
      <c r="AK6" s="78">
        <v>5.0000000000000001E-3</v>
      </c>
      <c r="AL6" s="79">
        <v>1.5E-3</v>
      </c>
      <c r="AM6" s="80">
        <v>5.0000000000000001E-3</v>
      </c>
      <c r="AN6" s="1711" t="s">
        <v>3476</v>
      </c>
      <c r="AO6" s="52">
        <f ca="1">SUMIF(INDIRECT("'"&amp;AN6&amp;"'"&amp;"!A:A"),"总价",INDIRECT("'"&amp;AN6&amp;"'"&amp;"!B:B"))</f>
        <v>71529</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33.64</v>
      </c>
      <c r="G7" s="65">
        <f t="shared" ref="G7:G11" si="2">IF(ISERROR(ROUND(POWER(1+H7,D7-F7)*(POWER(1+H7,F7)-1)/(POWER(1+H7,D7)-1),3)),0,ROUND(POWER(1+H7,D7-F7)*(POWER(1+H7,F7)-1)/(POWER(1+H7,D7)-1),3))</f>
        <v>0.94</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854">
        <v>4.5</v>
      </c>
      <c r="V7" s="70">
        <v>2.5000000000000001E-2</v>
      </c>
      <c r="W7" s="70">
        <v>0.1</v>
      </c>
      <c r="X7" s="1036"/>
      <c r="Y7" s="71">
        <f t="shared" ref="Y7:Y8" si="7">N7</f>
        <v>0.95</v>
      </c>
      <c r="Z7" s="72"/>
      <c r="AA7" s="66"/>
      <c r="AB7" s="66"/>
      <c r="AC7" s="1036"/>
      <c r="AD7" s="73"/>
      <c r="AE7" s="1037">
        <f t="shared" ref="AE7:AE13" ca="1" si="8">IF(AN7="",0,SUMIF(INDIRECT("'"&amp;AN7&amp;"'"&amp;"!E:E"),$AE$5,INDIRECT("'"&amp;AN7&amp;"'"&amp;"!F:F")))</f>
        <v>33.64</v>
      </c>
      <c r="AF7" s="1344"/>
      <c r="AG7" s="138">
        <f t="shared" ref="AG7:AG13" si="9">IF(AF7="",0,AE7-AF7)</f>
        <v>0</v>
      </c>
      <c r="AH7" s="74"/>
      <c r="AI7" s="76">
        <v>365</v>
      </c>
      <c r="AJ7" s="77"/>
      <c r="AK7" s="78">
        <v>5.0000000000000001E-3</v>
      </c>
      <c r="AL7" s="79">
        <v>1.5E-3</v>
      </c>
      <c r="AM7" s="80">
        <v>5.0000000000000001E-3</v>
      </c>
      <c r="AN7" s="1711" t="s">
        <v>3474</v>
      </c>
      <c r="AO7" s="52">
        <f t="shared" ref="AO7:AO13" ca="1" si="10">SUMIF(INDIRECT("'"&amp;AN7&amp;"'"&amp;"!A:A"),"总价",INDIRECT("'"&amp;AN7&amp;"'"&amp;"!B:B"))</f>
        <v>43006</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43.65</v>
      </c>
      <c r="G8" s="65">
        <f t="shared" si="2"/>
        <v>0.96</v>
      </c>
      <c r="H8" s="731">
        <v>4.4999999999999998E-2</v>
      </c>
      <c r="I8" s="731">
        <v>0.05</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855">
        <v>800</v>
      </c>
      <c r="V8" s="734">
        <v>0.02</v>
      </c>
      <c r="W8" s="734">
        <v>0.1</v>
      </c>
      <c r="X8" s="1036"/>
      <c r="Y8" s="71">
        <f t="shared" si="7"/>
        <v>0.95</v>
      </c>
      <c r="Z8" s="72"/>
      <c r="AA8" s="66"/>
      <c r="AB8" s="66"/>
      <c r="AC8" s="1036"/>
      <c r="AD8" s="73"/>
      <c r="AE8" s="1037">
        <f t="shared" ca="1" si="8"/>
        <v>43.65</v>
      </c>
      <c r="AF8" s="1344"/>
      <c r="AG8" s="138">
        <f t="shared" si="9"/>
        <v>0</v>
      </c>
      <c r="AH8" s="735">
        <v>275</v>
      </c>
      <c r="AI8" s="76">
        <v>12</v>
      </c>
      <c r="AJ8" s="77"/>
      <c r="AK8" s="78">
        <v>5.0000000000000001E-3</v>
      </c>
      <c r="AL8" s="79">
        <v>1.5E-3</v>
      </c>
      <c r="AM8" s="80">
        <v>5.0000000000000001E-3</v>
      </c>
      <c r="AN8" s="1711" t="s">
        <v>3478</v>
      </c>
      <c r="AO8" s="52">
        <f t="shared" ca="1" si="10"/>
        <v>3898</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0.95499999999999996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7</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0.75</v>
      </c>
      <c r="W21" s="2667">
        <f>V21*W20</f>
        <v>5.25</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0.5</v>
      </c>
      <c r="W22" s="2667">
        <f>V22*W21</f>
        <v>2.625</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3483</v>
      </c>
      <c r="K23" s="2668"/>
      <c r="L23" s="2668" t="s">
        <v>3484</v>
      </c>
      <c r="M23" s="2667">
        <f>M24+M25</f>
        <v>33590.18</v>
      </c>
      <c r="N23" s="2667"/>
      <c r="O23" s="2667"/>
      <c r="P23" s="2667"/>
      <c r="Q23" s="2667"/>
      <c r="R23" s="2667"/>
      <c r="S23" s="2667"/>
      <c r="T23" s="2667"/>
      <c r="U23" s="2667"/>
      <c r="V23" s="2667"/>
      <c r="W23" s="2667">
        <f>(U21*W21+U22*W22)/(U21+U22)</f>
        <v>4.70942344216488</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3485</v>
      </c>
      <c r="K26" s="2668" t="s">
        <v>3486</v>
      </c>
      <c r="L26" s="2668"/>
      <c r="M26" s="2667">
        <f>M27+M30+M31</f>
        <v>4533</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3487</v>
      </c>
      <c r="L27" s="2668" t="s">
        <v>3484</v>
      </c>
      <c r="M27" s="2667">
        <f>ROUND((M24*M28+M25*M29)/M23,0)</f>
        <v>2404</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1670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4887</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3488</v>
      </c>
      <c r="L30" s="2668"/>
      <c r="M30" s="2667">
        <v>569</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3489</v>
      </c>
      <c r="L31" s="2668"/>
      <c r="M31" s="2667">
        <v>1560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96" t="s">
        <v>2281</v>
      </c>
      <c r="B1" s="3597"/>
      <c r="C1" s="3597"/>
      <c r="D1" s="3597"/>
      <c r="E1" s="3597"/>
      <c r="F1" s="3597"/>
      <c r="G1" s="359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45457</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132017</v>
      </c>
      <c r="C5" s="2508">
        <f ca="1">IF(B5=D14,结果表!H102,ROUND(B5*10000/$B$1,0))</f>
        <v>26257</v>
      </c>
      <c r="D5" s="2508" t="e">
        <f ca="1">ROUND(B5*10000/$B$2,0)</f>
        <v>#DIV/0!</v>
      </c>
      <c r="E5" s="2682"/>
      <c r="F5" s="2683"/>
      <c r="G5" s="2683"/>
      <c r="H5" s="2684"/>
      <c r="I5" s="2684"/>
      <c r="J5" s="2684"/>
      <c r="K5" s="2684"/>
    </row>
    <row r="6" spans="1:11" ht="16.5">
      <c r="A6" s="2508" t="s">
        <v>655</v>
      </c>
      <c r="B6" s="2508">
        <f ca="1">SUM(G14:G23)</f>
        <v>132017</v>
      </c>
      <c r="C6" s="2508">
        <f ca="1">IF(B6=G14,结果表!H108,ROUND(B6*10000/$B$1,0))</f>
        <v>26257</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20070</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132017</v>
      </c>
      <c r="E14" s="2514">
        <f ca="1">ROUND(D14*10000/B14,0)</f>
        <v>39106</v>
      </c>
      <c r="F14" s="2514" t="e">
        <f ca="1">ROUND(D14*10000/C14,0)</f>
        <v>#DIV/0!</v>
      </c>
      <c r="G14" s="2514">
        <f ca="1">D14</f>
        <v>132017</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32" t="str">
        <f>项目基本情况!S2</f>
        <v>北京市房地产</v>
      </c>
      <c r="B2" s="3633"/>
      <c r="C2" s="3633"/>
      <c r="D2" s="3633"/>
      <c r="E2" s="3633"/>
      <c r="F2" s="3633"/>
      <c r="G2" s="3633"/>
      <c r="H2" s="3633"/>
      <c r="I2" s="3634"/>
    </row>
    <row r="3" spans="1:12" ht="12.75">
      <c r="A3" s="3636" t="s">
        <v>1261</v>
      </c>
      <c r="B3" s="3637"/>
      <c r="C3" s="3637"/>
      <c r="D3" s="3637"/>
      <c r="E3" s="3637"/>
      <c r="F3" s="3637"/>
      <c r="G3" s="3637"/>
      <c r="H3" s="3637"/>
      <c r="I3" s="3637"/>
    </row>
    <row r="4" spans="1:12" ht="14.25">
      <c r="A4" s="1750" t="s">
        <v>1262</v>
      </c>
      <c r="B4" s="1751" t="s">
        <v>1263</v>
      </c>
      <c r="C4" s="1752" t="s">
        <v>3466</v>
      </c>
      <c r="D4" s="1752" t="s">
        <v>3480</v>
      </c>
      <c r="E4" s="3638" t="s">
        <v>1264</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2" t="s">
        <v>1265</v>
      </c>
      <c r="B5" s="3599">
        <v>25</v>
      </c>
      <c r="C5" s="3615"/>
      <c r="D5" s="3635"/>
      <c r="E5" s="131" t="s">
        <v>1266</v>
      </c>
      <c r="F5" s="1753"/>
      <c r="G5" s="1753"/>
      <c r="H5" s="1753"/>
      <c r="I5" s="1369"/>
    </row>
    <row r="6" spans="1:12" ht="12.75">
      <c r="A6" s="3612"/>
      <c r="B6" s="3599"/>
      <c r="C6" s="3616"/>
      <c r="D6" s="3635"/>
      <c r="E6" s="131" t="s">
        <v>1267</v>
      </c>
      <c r="F6" s="1753"/>
      <c r="G6" s="1753"/>
      <c r="H6" s="1753"/>
      <c r="I6" s="1369"/>
    </row>
    <row r="7" spans="1:12" ht="12.75">
      <c r="A7" s="3612"/>
      <c r="B7" s="3599"/>
      <c r="C7" s="3617"/>
      <c r="D7" s="3635"/>
      <c r="E7" s="131" t="s">
        <v>1268</v>
      </c>
      <c r="F7" s="1753"/>
      <c r="G7" s="1753"/>
      <c r="H7" s="1753"/>
      <c r="I7" s="1369"/>
    </row>
    <row r="8" spans="1:12" ht="12.75">
      <c r="A8" s="3612" t="s">
        <v>1269</v>
      </c>
      <c r="B8" s="3599">
        <v>15</v>
      </c>
      <c r="C8" s="3615"/>
      <c r="D8" s="3635"/>
      <c r="E8" s="131" t="s">
        <v>1270</v>
      </c>
      <c r="F8" s="1753"/>
      <c r="G8" s="1753"/>
      <c r="H8" s="1753"/>
      <c r="I8" s="1369"/>
    </row>
    <row r="9" spans="1:12" ht="12.75">
      <c r="A9" s="3612"/>
      <c r="B9" s="3599"/>
      <c r="C9" s="3617"/>
      <c r="D9" s="3635"/>
      <c r="E9" s="131" t="s">
        <v>1271</v>
      </c>
      <c r="F9" s="1753"/>
      <c r="G9" s="1753"/>
      <c r="H9" s="1753"/>
      <c r="I9" s="1369"/>
    </row>
    <row r="10" spans="1:12" ht="12.75">
      <c r="A10" s="3612" t="s">
        <v>1272</v>
      </c>
      <c r="B10" s="3599">
        <v>15</v>
      </c>
      <c r="C10" s="3615"/>
      <c r="D10" s="3635"/>
      <c r="E10" s="131" t="s">
        <v>1273</v>
      </c>
      <c r="F10" s="1753"/>
      <c r="G10" s="1753"/>
      <c r="H10" s="1753"/>
      <c r="I10" s="1369"/>
    </row>
    <row r="11" spans="1:12" ht="12.75">
      <c r="A11" s="3612"/>
      <c r="B11" s="3599"/>
      <c r="C11" s="3617"/>
      <c r="D11" s="3635"/>
      <c r="E11" s="131" t="s">
        <v>1274</v>
      </c>
      <c r="F11" s="1753"/>
      <c r="G11" s="1753"/>
      <c r="H11" s="1753"/>
      <c r="I11" s="1369"/>
    </row>
    <row r="12" spans="1:12" ht="12.75">
      <c r="A12" s="3612" t="s">
        <v>1275</v>
      </c>
      <c r="B12" s="3599">
        <v>15</v>
      </c>
      <c r="C12" s="3615"/>
      <c r="D12" s="3635"/>
      <c r="E12" s="131" t="s">
        <v>1276</v>
      </c>
      <c r="F12" s="1753"/>
      <c r="G12" s="1753"/>
      <c r="H12" s="1753"/>
      <c r="I12" s="1369"/>
    </row>
    <row r="13" spans="1:12" ht="12.75">
      <c r="A13" s="3612"/>
      <c r="B13" s="3599"/>
      <c r="C13" s="3617"/>
      <c r="D13" s="3635"/>
      <c r="E13" s="131" t="s">
        <v>1277</v>
      </c>
      <c r="F13" s="1753"/>
      <c r="G13" s="1753"/>
      <c r="H13" s="1753"/>
      <c r="I13" s="1369"/>
    </row>
    <row r="14" spans="1:12" ht="12.75">
      <c r="A14" s="3612" t="s">
        <v>1278</v>
      </c>
      <c r="B14" s="3599">
        <v>30</v>
      </c>
      <c r="C14" s="3615">
        <v>4</v>
      </c>
      <c r="D14" s="3635">
        <v>6</v>
      </c>
      <c r="E14" s="131" t="s">
        <v>1279</v>
      </c>
      <c r="F14" s="1753"/>
      <c r="G14" s="1753"/>
      <c r="H14" s="1753"/>
      <c r="I14" s="1369"/>
    </row>
    <row r="15" spans="1:12" ht="12.75">
      <c r="A15" s="3612"/>
      <c r="B15" s="3599"/>
      <c r="C15" s="3616"/>
      <c r="D15" s="3635"/>
      <c r="E15" s="131" t="s">
        <v>1280</v>
      </c>
      <c r="F15" s="1753"/>
      <c r="G15" s="1753"/>
      <c r="H15" s="1753"/>
      <c r="I15" s="1369"/>
    </row>
    <row r="16" spans="1:12" ht="12.75">
      <c r="A16" s="3612"/>
      <c r="B16" s="3599"/>
      <c r="C16" s="3617"/>
      <c r="D16" s="3635"/>
      <c r="E16" s="131" t="s">
        <v>1281</v>
      </c>
      <c r="F16" s="1753"/>
      <c r="G16" s="1753"/>
      <c r="H16" s="1753"/>
      <c r="I16" s="1369"/>
    </row>
    <row r="17" spans="1:36" ht="15">
      <c r="A17" s="1754" t="s">
        <v>1282</v>
      </c>
      <c r="B17" s="56"/>
      <c r="C17" s="132">
        <f>SUM(C5:C16)</f>
        <v>4</v>
      </c>
      <c r="D17" s="132">
        <f>SUM(D5:D16)</f>
        <v>6</v>
      </c>
      <c r="E17" s="129"/>
      <c r="F17" s="129"/>
      <c r="G17" s="129"/>
      <c r="H17" s="129"/>
      <c r="I17" s="129"/>
      <c r="K17" s="302"/>
      <c r="L17" s="302" t="s">
        <v>1283</v>
      </c>
      <c r="M17" s="302" t="s">
        <v>1284</v>
      </c>
    </row>
    <row r="18" spans="1:36" ht="31.9" customHeight="1" thickBot="1">
      <c r="A18" s="1755" t="s">
        <v>1285</v>
      </c>
      <c r="B18" s="1756"/>
      <c r="C18" s="133">
        <f>ROUND(C17/SUM(C17:D17),2)</f>
        <v>0.4</v>
      </c>
      <c r="D18" s="133">
        <f>1-C18</f>
        <v>0.6</v>
      </c>
      <c r="E18" s="3622" t="s">
        <v>2126</v>
      </c>
      <c r="F18" s="3623"/>
      <c r="G18" s="3623"/>
      <c r="H18" s="3623"/>
      <c r="I18" s="3623"/>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152394</v>
      </c>
      <c r="D19" s="135">
        <f ca="1">SUMIF(INDIRECT("'"&amp;D4&amp;"'"&amp;"!A:A"),结果表!B19,INDIRECT("'"&amp;D4&amp;"'"&amp;"!B:B"))</f>
        <v>118433</v>
      </c>
      <c r="E19" s="1757" t="s">
        <v>1289</v>
      </c>
      <c r="F19" s="1758" t="s">
        <v>1288</v>
      </c>
      <c r="G19" s="136">
        <f ca="1">ROUND(C19*$C$18+D19*$D$18,0)</f>
        <v>132017</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30310</v>
      </c>
      <c r="D20" s="138">
        <f ca="1">SUMIF(INDIRECT("'"&amp;D4&amp;"'"&amp;"!A:A"),结果表!B20,INDIRECT("'"&amp;D4&amp;"'"&amp;"!B:B"))</f>
        <v>23556</v>
      </c>
      <c r="E20" s="1760"/>
      <c r="F20" s="1022" t="s">
        <v>1292</v>
      </c>
      <c r="G20" s="139">
        <f ca="1">ROUND(C20*$C$18+D20*$D$18,0)</f>
        <v>26258</v>
      </c>
      <c r="H20" s="804" t="s">
        <v>1293</v>
      </c>
      <c r="I20" s="129"/>
    </row>
    <row r="21" spans="1:36" ht="15" customHeight="1" thickBot="1">
      <c r="A21" s="824"/>
      <c r="B21" s="1761" t="s">
        <v>1294</v>
      </c>
      <c r="C21" s="718">
        <f ca="1">ROUND(C19*10000/L19,0)</f>
        <v>147580</v>
      </c>
      <c r="D21" s="719">
        <f ca="1">ROUND(D19*10000/L19,0)</f>
        <v>114692</v>
      </c>
      <c r="E21" s="824"/>
      <c r="F21" s="1761" t="s">
        <v>1294</v>
      </c>
      <c r="G21" s="140">
        <f ca="1">ROUND(G19*10000/L19,0)</f>
        <v>127847</v>
      </c>
      <c r="H21" s="1762" t="s">
        <v>1293</v>
      </c>
      <c r="I21" s="129"/>
    </row>
    <row r="22" spans="1:36" ht="15" thickBot="1">
      <c r="A22" s="1684" t="s">
        <v>1295</v>
      </c>
      <c r="B22" s="1763"/>
      <c r="C22" s="1764"/>
      <c r="D22" s="720">
        <f ca="1">IF(C19&lt;D19,D19/C19-1,C19/D19-1)</f>
        <v>0.28675284760159747</v>
      </c>
      <c r="E22" s="129"/>
      <c r="F22" s="129"/>
      <c r="G22" s="129"/>
      <c r="H22" s="129"/>
      <c r="I22" s="129"/>
    </row>
    <row r="23" spans="1:36" ht="13.5" thickBot="1">
      <c r="A23" s="1743"/>
      <c r="B23" s="1743"/>
      <c r="C23" s="1743"/>
      <c r="D23" s="1743"/>
      <c r="E23" s="129"/>
      <c r="F23" s="129"/>
      <c r="G23" s="129"/>
      <c r="H23" s="129"/>
      <c r="I23" s="129"/>
    </row>
    <row r="24" spans="1:36" ht="14.25">
      <c r="A24" s="3606" t="s">
        <v>1296</v>
      </c>
      <c r="B24" s="1758" t="s">
        <v>1288</v>
      </c>
      <c r="C24" s="136">
        <f>IF(B30=0,0,D30)</f>
        <v>0</v>
      </c>
      <c r="D24" s="1765"/>
      <c r="E24" s="129"/>
      <c r="F24" s="129"/>
      <c r="G24" s="129"/>
      <c r="H24" s="129"/>
      <c r="I24" s="129"/>
    </row>
    <row r="25" spans="1:36" ht="14.25">
      <c r="A25" s="3607"/>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39784.84848484848</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132017</v>
      </c>
      <c r="D32" s="1771" t="s">
        <v>3482</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102445</v>
      </c>
      <c r="D34" s="857">
        <f ca="1">IF(C33="自定义",ROUND(C34/C32,3),IF(C33="收益比率",SUMIF(INDIRECT("'"&amp;D33&amp;"'"&amp;"!b:b"),"土地收益比率",INDIRECT("'"&amp;D33&amp;"'"&amp;"!c:c")),SUMIF(INDIRECT("'"&amp;D33&amp;"'"&amp;"!b:b"),"土地成本比率",INDIRECT("'"&amp;D33&amp;"'"&amp;"!c:c"))))</f>
        <v>0.77600000000000002</v>
      </c>
      <c r="E34" s="1779" t="s">
        <v>1306</v>
      </c>
      <c r="F34" s="1326"/>
      <c r="G34" s="129"/>
      <c r="H34" s="129"/>
      <c r="I34" s="129"/>
    </row>
    <row r="35" spans="1:15" ht="15.75" thickBot="1">
      <c r="A35" s="1780"/>
      <c r="B35" s="1781" t="s">
        <v>1307</v>
      </c>
      <c r="C35" s="1166">
        <f ca="1">IF(C33="自定义",F35,ROUND(C32*D35,0))</f>
        <v>29572</v>
      </c>
      <c r="D35" s="1167">
        <f ca="1">IF(C33="自定义",ROUND(C35/C32,3),IF(C33="收益比率",SUMIF(INDIRECT("'"&amp;D33&amp;"'"&amp;"!b:b"),"建筑物收益比率",INDIRECT("'"&amp;D33&amp;"'"&amp;"!c:c")),SUMIF(INDIRECT("'"&amp;D33&amp;"'"&amp;"!b:b"),"建筑物成本比率",INDIRECT("'"&amp;D33&amp;"'"&amp;"!c:c"))))</f>
        <v>0.224</v>
      </c>
      <c r="E35" s="1782" t="s">
        <v>1308</v>
      </c>
      <c r="F35" s="154"/>
      <c r="G35" s="129"/>
      <c r="H35" s="129"/>
      <c r="I35" s="129"/>
    </row>
    <row r="36" spans="1:15" ht="15.75" thickBot="1">
      <c r="A36" s="3626" t="s">
        <v>1309</v>
      </c>
      <c r="B36" s="1783" t="s">
        <v>1310</v>
      </c>
      <c r="C36" s="145"/>
      <c r="D36" s="1784"/>
      <c r="E36" s="1785"/>
      <c r="F36" s="1786"/>
      <c r="G36" s="129"/>
      <c r="H36" s="129"/>
      <c r="I36" s="129"/>
    </row>
    <row r="37" spans="1:15" ht="15.75" thickBot="1">
      <c r="A37" s="3627"/>
      <c r="B37" s="1670" t="s">
        <v>1311</v>
      </c>
      <c r="C37" s="147"/>
      <c r="D37" s="1135"/>
      <c r="E37" s="1135"/>
      <c r="F37" s="1786"/>
      <c r="G37" s="129"/>
      <c r="H37" s="129"/>
      <c r="I37" s="129"/>
    </row>
    <row r="38" spans="1:15" ht="15.75" thickBot="1">
      <c r="A38" s="3628"/>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03" t="s">
        <v>1323</v>
      </c>
      <c r="B45" s="3604"/>
      <c r="C45" s="3605"/>
      <c r="D45" s="155">
        <f ca="1">ROUND(H101*F45,0)</f>
        <v>132017</v>
      </c>
      <c r="E45" s="156" t="s">
        <v>1324</v>
      </c>
      <c r="F45" s="157">
        <v>1</v>
      </c>
      <c r="G45" s="158" t="s">
        <v>1325</v>
      </c>
      <c r="H45" s="129"/>
      <c r="I45" s="129"/>
      <c r="J45" s="3681" t="s">
        <v>1326</v>
      </c>
      <c r="K45" s="3681"/>
      <c r="L45" s="3681"/>
      <c r="M45" s="3681"/>
      <c r="N45" s="3681"/>
      <c r="O45" s="3681"/>
    </row>
    <row r="46" spans="1:15" ht="14.25" customHeight="1">
      <c r="A46" s="3600" t="s">
        <v>1327</v>
      </c>
      <c r="B46" s="3601"/>
      <c r="C46" s="3601"/>
      <c r="D46" s="3601"/>
      <c r="E46" s="3601"/>
      <c r="F46" s="3601"/>
      <c r="G46" s="3602"/>
      <c r="H46" s="1802"/>
      <c r="I46" s="159"/>
      <c r="J46" s="2519">
        <v>1</v>
      </c>
      <c r="K46" s="3662" t="s">
        <v>1328</v>
      </c>
      <c r="L46" s="3662"/>
      <c r="M46" s="3682"/>
      <c r="N46" s="3682"/>
      <c r="O46" s="3682"/>
    </row>
    <row r="47" spans="1:15" ht="12" customHeight="1">
      <c r="A47" s="160" t="s">
        <v>1329</v>
      </c>
      <c r="B47" s="161"/>
      <c r="C47" s="162"/>
      <c r="D47" s="1083" t="s">
        <v>1330</v>
      </c>
      <c r="E47" s="302" t="s">
        <v>1331</v>
      </c>
      <c r="F47" s="163" t="s">
        <v>1332</v>
      </c>
      <c r="G47" s="2542" t="s">
        <v>1333</v>
      </c>
      <c r="H47" s="2543"/>
      <c r="I47" s="159"/>
      <c r="J47" s="2519">
        <v>2</v>
      </c>
      <c r="K47" s="3662" t="s">
        <v>1334</v>
      </c>
      <c r="L47" s="3662"/>
      <c r="M47" s="3683">
        <f>'数据-取费表'!B2</f>
        <v>45457</v>
      </c>
      <c r="N47" s="3683"/>
      <c r="O47" s="3683"/>
    </row>
    <row r="48" spans="1:15" ht="25.5">
      <c r="A48" s="3631" t="s">
        <v>1335</v>
      </c>
      <c r="B48" s="3614"/>
      <c r="C48" s="3614"/>
      <c r="D48" s="2320">
        <f ca="1">IF(H48="情况1",0,IF(H48="情况2",D52,IF(H48="情况3",D53,IF(H48="情况4",D54))))</f>
        <v>7041</v>
      </c>
      <c r="E48" s="2330" t="str">
        <f>IF(H48="情况4","(销售额-原购置价)×税（费）率","销售额×税（费）率")</f>
        <v>销售额×税（费）率</v>
      </c>
      <c r="F48" s="2544">
        <f>IF(H48="情况1","免征",'数据-取费表'!B41)</f>
        <v>5.6000000000000001E-2</v>
      </c>
      <c r="G48" s="2545" t="s">
        <v>1336</v>
      </c>
      <c r="H48" s="2546" t="s">
        <v>3490</v>
      </c>
      <c r="I48" s="1802"/>
      <c r="J48" s="2519">
        <v>3</v>
      </c>
      <c r="K48" s="3662" t="s">
        <v>1337</v>
      </c>
      <c r="L48" s="3662"/>
      <c r="M48" s="3684">
        <f ca="1">H101</f>
        <v>132017</v>
      </c>
      <c r="N48" s="3684"/>
      <c r="O48" s="3684"/>
    </row>
    <row r="49" spans="1:35" ht="25.5" customHeight="1">
      <c r="A49" s="2329" t="s">
        <v>1338</v>
      </c>
      <c r="B49" s="3598" t="s">
        <v>1339</v>
      </c>
      <c r="C49" s="3598"/>
      <c r="D49" s="1586">
        <v>0</v>
      </c>
      <c r="E49" s="324" t="s">
        <v>1340</v>
      </c>
      <c r="F49" s="2420" t="s">
        <v>28</v>
      </c>
      <c r="G49" s="3668"/>
      <c r="H49" s="2306" t="s">
        <v>2129</v>
      </c>
      <c r="I49" s="2307"/>
      <c r="J49" s="2519">
        <v>4</v>
      </c>
      <c r="K49" s="3662" t="str">
        <f>IF(项目基本情况!E8="房地产抵押价值","房地产抵押价值","抵押担保权已注销时的房地产抵押价值")</f>
        <v>房地产抵押价值</v>
      </c>
      <c r="L49" s="3662"/>
      <c r="M49" s="3684">
        <f ca="1">IF(项目基本情况!E8="房地产抵押价值",H107,H109)</f>
        <v>132017</v>
      </c>
      <c r="N49" s="3684"/>
      <c r="O49" s="3684"/>
    </row>
    <row r="50" spans="1:35" ht="25.5" customHeight="1">
      <c r="A50" s="2547"/>
      <c r="B50" s="3598" t="s">
        <v>1341</v>
      </c>
      <c r="C50" s="3598"/>
      <c r="D50" s="2548"/>
      <c r="E50" s="332"/>
      <c r="F50" s="2420"/>
      <c r="G50" s="3669"/>
      <c r="H50" s="2308" t="s">
        <v>2130</v>
      </c>
      <c r="I50" s="2307"/>
      <c r="J50" s="3681" t="s">
        <v>1342</v>
      </c>
      <c r="K50" s="3681"/>
      <c r="L50" s="3681"/>
      <c r="M50" s="3681"/>
      <c r="N50" s="3681"/>
      <c r="O50" s="3681"/>
    </row>
    <row r="51" spans="1:35" ht="20.45" customHeight="1">
      <c r="A51" s="2549"/>
      <c r="B51" s="3598" t="s">
        <v>1343</v>
      </c>
      <c r="C51" s="3598"/>
      <c r="D51" s="1083"/>
      <c r="E51" s="327"/>
      <c r="F51" s="2420"/>
      <c r="G51" s="3670"/>
      <c r="H51" s="2308" t="s">
        <v>2131</v>
      </c>
      <c r="I51" s="2307"/>
      <c r="J51" s="2520" t="s">
        <v>1344</v>
      </c>
      <c r="K51" s="3662" t="s">
        <v>1345</v>
      </c>
      <c r="L51" s="3662"/>
      <c r="M51" s="2520" t="s">
        <v>1346</v>
      </c>
      <c r="N51" s="2520" t="s">
        <v>1347</v>
      </c>
      <c r="O51" s="2520" t="s">
        <v>1348</v>
      </c>
    </row>
    <row r="52" spans="1:35" ht="24" customHeight="1">
      <c r="A52" s="2331" t="s">
        <v>1349</v>
      </c>
      <c r="B52" s="3598" t="s">
        <v>1350</v>
      </c>
      <c r="C52" s="3598"/>
      <c r="D52" s="1083">
        <f ca="1">ROUND(D45*'数据-取费表'!B41/(1+'数据-取费表'!C42),0)</f>
        <v>7041</v>
      </c>
      <c r="E52" s="2330" t="s">
        <v>1351</v>
      </c>
      <c r="F52" s="2550">
        <f>'数据-取费表'!B41</f>
        <v>5.6000000000000001E-2</v>
      </c>
      <c r="G52" s="2551"/>
      <c r="H52" s="2540"/>
      <c r="I52" s="1803"/>
      <c r="J52" s="2519">
        <v>1</v>
      </c>
      <c r="K52" s="3663" t="s">
        <v>1352</v>
      </c>
      <c r="L52" s="3663"/>
      <c r="M52" s="2521">
        <f ca="1">D48</f>
        <v>7041</v>
      </c>
      <c r="N52" s="2519" t="str">
        <f>E48</f>
        <v>销售额×税（费）率</v>
      </c>
      <c r="O52" s="2522">
        <f>F48</f>
        <v>5.6000000000000001E-2</v>
      </c>
    </row>
    <row r="53" spans="1:35" ht="12" customHeight="1">
      <c r="A53" s="2331" t="s">
        <v>1353</v>
      </c>
      <c r="B53" s="3624" t="s">
        <v>2286</v>
      </c>
      <c r="C53" s="3625"/>
      <c r="D53" s="1083">
        <f ca="1">ROUND(D45*'数据-取费表'!B41/(1+'数据-取费表'!C42),0)</f>
        <v>7041</v>
      </c>
      <c r="E53" s="2330" t="s">
        <v>1351</v>
      </c>
      <c r="F53" s="2550">
        <f>'数据-取费表'!B41</f>
        <v>5.6000000000000001E-2</v>
      </c>
      <c r="G53" s="2551"/>
      <c r="H53" s="2540"/>
      <c r="I53" s="1803"/>
      <c r="J53" s="2519">
        <v>2</v>
      </c>
      <c r="K53" s="3663" t="s">
        <v>1354</v>
      </c>
      <c r="L53" s="3663"/>
      <c r="M53" s="2521">
        <f t="shared" ref="M53:O54" ca="1" si="0">D55</f>
        <v>66</v>
      </c>
      <c r="N53" s="2519" t="str">
        <f t="shared" si="0"/>
        <v>销售额×税（费）率</v>
      </c>
      <c r="O53" s="2522">
        <f t="shared" si="0"/>
        <v>5.0000000000000001E-4</v>
      </c>
    </row>
    <row r="54" spans="1:35" ht="12" customHeight="1">
      <c r="A54" s="2331" t="s">
        <v>1355</v>
      </c>
      <c r="B54" s="3624" t="s">
        <v>2287</v>
      </c>
      <c r="C54" s="3625"/>
      <c r="D54" s="1083">
        <f ca="1">C68</f>
        <v>7041</v>
      </c>
      <c r="E54" s="327" t="s">
        <v>1356</v>
      </c>
      <c r="F54" s="2550">
        <f>'数据-取费表'!B41</f>
        <v>5.6000000000000001E-2</v>
      </c>
      <c r="G54" s="2551"/>
      <c r="H54" s="2552"/>
      <c r="I54" s="1803"/>
      <c r="J54" s="2519">
        <v>3</v>
      </c>
      <c r="K54" s="3663" t="s">
        <v>1357</v>
      </c>
      <c r="L54" s="3663"/>
      <c r="M54" s="2521">
        <f t="shared" ca="1" si="0"/>
        <v>24001</v>
      </c>
      <c r="N54" s="2519" t="str">
        <f t="shared" si="0"/>
        <v>增值额×税（费）率</v>
      </c>
      <c r="O54" s="2523" t="str">
        <f t="shared" si="0"/>
        <v>——</v>
      </c>
    </row>
    <row r="55" spans="1:35" ht="24" customHeight="1">
      <c r="A55" s="3613" t="s">
        <v>1358</v>
      </c>
      <c r="B55" s="3614"/>
      <c r="C55" s="3614"/>
      <c r="D55" s="2320">
        <f ca="1">IF(H55="个人住宅",0,ROUND(D45*I55,0))</f>
        <v>66</v>
      </c>
      <c r="E55" s="2330" t="s">
        <v>1359</v>
      </c>
      <c r="F55" s="2550">
        <f>IF(H55="正常",I55,"免征")</f>
        <v>5.0000000000000001E-4</v>
      </c>
      <c r="G55" s="2551"/>
      <c r="H55" s="2546" t="s">
        <v>3392</v>
      </c>
      <c r="I55" s="165">
        <f>'数据-取费表'!B49</f>
        <v>5.0000000000000001E-4</v>
      </c>
      <c r="J55" s="2519" t="str">
        <f>IF(H59="非个人房产","",4)</f>
        <v/>
      </c>
      <c r="K55" s="3663" t="str">
        <f>IF(H59="非个人房产","——","个人所得税")</f>
        <v>——</v>
      </c>
      <c r="L55" s="3663"/>
      <c r="M55" s="2524" t="str">
        <f>D59</f>
        <v>——</v>
      </c>
      <c r="N55" s="2036" t="str">
        <f>E59</f>
        <v>——</v>
      </c>
      <c r="O55" s="2525" t="str">
        <f>F59</f>
        <v>——</v>
      </c>
    </row>
    <row r="56" spans="1:35" ht="24.75">
      <c r="A56" s="3613" t="s">
        <v>1360</v>
      </c>
      <c r="B56" s="3614"/>
      <c r="C56" s="3614"/>
      <c r="D56" s="2320">
        <f ca="1">IF(H56="个人住宅",D57,D58)</f>
        <v>24001</v>
      </c>
      <c r="E56" s="2330" t="s">
        <v>1361</v>
      </c>
      <c r="F56" s="2550" t="str">
        <f>IF(H56="正常",F58,"免征")</f>
        <v>——</v>
      </c>
      <c r="G56" s="2553" t="s">
        <v>1362</v>
      </c>
      <c r="H56" s="2554" t="s">
        <v>3392</v>
      </c>
      <c r="I56" s="1804"/>
      <c r="J56" s="2519" t="str">
        <f>IF(项目基本情况!K6="上海银行",IF(J55="",4,J55+1),"")</f>
        <v/>
      </c>
      <c r="K56" s="3686" t="str">
        <f>IF(项目基本情况!K6="上海银行","其他处置费用","")</f>
        <v/>
      </c>
      <c r="L56" s="3687"/>
      <c r="M56" s="2521" t="str">
        <f>IF(项目基本情况!K6="上海银行",M69,"")</f>
        <v/>
      </c>
      <c r="N56" s="3686" t="str">
        <f>IF(项目基本情况!K6="上海银行","包含处置中涉及的律师、诉讼、拍卖、评估等费用","")</f>
        <v/>
      </c>
      <c r="O56" s="3689"/>
    </row>
    <row r="57" spans="1:35" ht="12.75">
      <c r="A57" s="2331" t="s">
        <v>1338</v>
      </c>
      <c r="B57" s="3624" t="s">
        <v>1363</v>
      </c>
      <c r="C57" s="3625"/>
      <c r="D57" s="1586">
        <v>0</v>
      </c>
      <c r="E57" s="324" t="s">
        <v>1340</v>
      </c>
      <c r="F57" s="302"/>
      <c r="G57" s="2551"/>
      <c r="H57" s="2555"/>
      <c r="I57" s="1804"/>
      <c r="J57" s="3663">
        <f>IF(AND(J55="",J56=""),4,IF(项目基本情况!K6="上海银行",结果表!J56+1,结果表!J55+1))</f>
        <v>4</v>
      </c>
      <c r="K57" s="3663" t="s">
        <v>1364</v>
      </c>
      <c r="L57" s="2526" t="s">
        <v>1365</v>
      </c>
      <c r="M57" s="2527"/>
      <c r="N57" s="2528">
        <f ca="1">SUMIF(M52:M56,"&lt;9e307")</f>
        <v>31108</v>
      </c>
      <c r="O57" s="2529"/>
      <c r="P57" s="2686">
        <f ca="1">N57/M49</f>
        <v>0.23563631956490452</v>
      </c>
    </row>
    <row r="58" spans="1:35" ht="24.75">
      <c r="A58" s="2331" t="s">
        <v>1349</v>
      </c>
      <c r="B58" s="3624" t="s">
        <v>1366</v>
      </c>
      <c r="C58" s="3598"/>
      <c r="D58" s="2320">
        <f ca="1">IF(H58="转让取得",C81,C97)</f>
        <v>24001</v>
      </c>
      <c r="E58" s="2330" t="s">
        <v>1361</v>
      </c>
      <c r="F58" s="302" t="s">
        <v>28</v>
      </c>
      <c r="G58" s="2551"/>
      <c r="H58" s="2554" t="s">
        <v>3491</v>
      </c>
      <c r="I58" s="1804"/>
      <c r="J58" s="3663"/>
      <c r="K58" s="3663"/>
      <c r="L58" s="2526" t="s">
        <v>1367</v>
      </c>
      <c r="M58" s="2530"/>
      <c r="N58" s="2531" t="str">
        <f ca="1">NUMBERSTRING(INT(N57*10000),2)&amp;"元整"</f>
        <v>叁亿壹仟壹佰零捌万元整</v>
      </c>
      <c r="O58" s="2532"/>
    </row>
    <row r="59" spans="1:35" ht="24.75" thickBot="1">
      <c r="A59" s="3666" t="s">
        <v>1368</v>
      </c>
      <c r="B59" s="3667"/>
      <c r="C59" s="3667"/>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3492</v>
      </c>
      <c r="I59" s="2309" t="s">
        <v>2132</v>
      </c>
      <c r="J59" s="3664">
        <f>J57+1</f>
        <v>5</v>
      </c>
      <c r="K59" s="3663" t="s">
        <v>1369</v>
      </c>
      <c r="L59" s="2519" t="s">
        <v>1365</v>
      </c>
      <c r="M59" s="2533"/>
      <c r="N59" s="2534">
        <f ca="1">M49-N57</f>
        <v>100909</v>
      </c>
      <c r="O59" s="2535"/>
    </row>
    <row r="60" spans="1:35" ht="12" customHeight="1">
      <c r="A60" s="1805"/>
      <c r="B60" s="1743"/>
      <c r="C60" s="1743"/>
      <c r="D60" s="1743"/>
      <c r="E60" s="1574"/>
      <c r="F60" s="1804"/>
      <c r="G60" s="1804"/>
      <c r="H60" s="1806"/>
      <c r="I60" s="129"/>
      <c r="J60" s="3665"/>
      <c r="K60" s="3663"/>
      <c r="L60" s="2526" t="s">
        <v>1367</v>
      </c>
      <c r="M60" s="2530"/>
      <c r="N60" s="2531" t="str">
        <f ca="1">NUMBERSTRING(INT(N59*10000),2)&amp;"元整"</f>
        <v>壹拾亿零玖佰零玖万元整</v>
      </c>
      <c r="O60" s="2532"/>
    </row>
    <row r="61" spans="1:35" ht="13.5" thickBot="1">
      <c r="A61" s="3611" t="s">
        <v>1370</v>
      </c>
      <c r="B61" s="3611"/>
      <c r="C61" s="3611"/>
      <c r="D61" s="3611"/>
      <c r="E61" s="3611"/>
      <c r="F61" s="1804"/>
      <c r="G61" s="1804"/>
      <c r="H61" s="1806"/>
      <c r="I61" s="129"/>
      <c r="J61" s="2519">
        <f>J59+1</f>
        <v>6</v>
      </c>
      <c r="K61" s="3663" t="s">
        <v>1371</v>
      </c>
      <c r="L61" s="3663"/>
      <c r="M61" s="2536"/>
      <c r="N61" s="2537">
        <f ca="1">ROUND(N59*10000/'数据-汇总表'!E3,0)</f>
        <v>20070</v>
      </c>
      <c r="O61" s="2538"/>
    </row>
    <row r="62" spans="1:35" ht="12.75">
      <c r="A62" s="3629" t="s">
        <v>1372</v>
      </c>
      <c r="B62" s="3630"/>
      <c r="C62" s="2017"/>
      <c r="D62" s="2017" t="s">
        <v>1373</v>
      </c>
      <c r="E62" s="166" t="s">
        <v>1374</v>
      </c>
      <c r="F62" s="1804"/>
      <c r="G62" s="1804"/>
      <c r="H62" s="1806"/>
      <c r="I62" s="129"/>
    </row>
    <row r="63" spans="1:35" ht="12.75">
      <c r="A63" s="173" t="s">
        <v>329</v>
      </c>
      <c r="B63" s="167" t="s">
        <v>1375</v>
      </c>
      <c r="C63" s="2560">
        <f ca="1">ROUND((C64+C65)/(1+'数据-取费表'!C42),0)</f>
        <v>125730</v>
      </c>
      <c r="D63" s="167"/>
      <c r="E63" s="168"/>
      <c r="F63" s="1804"/>
      <c r="G63" s="1804"/>
      <c r="H63" s="1806"/>
      <c r="I63" s="129"/>
      <c r="J63" s="3688" t="s">
        <v>1376</v>
      </c>
      <c r="K63" s="1328" t="s">
        <v>1377</v>
      </c>
      <c r="L63" s="1328">
        <f ca="1">IF(M49&gt;10000,M49*0.5%,IF(AND(M49&gt;1000,M49&lt;=10000),M49*1%,IF(AND(M49&gt;100,M49&lt;=1000),M49*3%,IF(AND(M49&gt;10,M49&lt;=100),M49*5%,M49*8%))))</f>
        <v>660.08500000000004</v>
      </c>
      <c r="M63" s="302">
        <f ca="1">ROUND(L63,1)</f>
        <v>660.1</v>
      </c>
      <c r="N63" s="2539"/>
      <c r="Z63" s="1748"/>
      <c r="AI63" s="1749"/>
    </row>
    <row r="64" spans="1:35" ht="14.25" customHeight="1">
      <c r="A64" s="169" t="s">
        <v>324</v>
      </c>
      <c r="B64" s="170" t="s">
        <v>1378</v>
      </c>
      <c r="C64" s="2561">
        <f ca="1">D45</f>
        <v>132017</v>
      </c>
      <c r="D64" s="170" t="s">
        <v>26</v>
      </c>
      <c r="E64" s="172"/>
      <c r="F64" s="1804"/>
      <c r="G64" s="1804"/>
      <c r="H64" s="1806"/>
      <c r="I64" s="129"/>
      <c r="J64" s="3688"/>
      <c r="K64" s="1328" t="s">
        <v>1379</v>
      </c>
      <c r="L64" s="1328">
        <f ca="1">IF(M49&gt;2000,M49*0.5%,IF(AND(M49&gt;1000,M49&lt;=2000),M49*0.6%,IF(AND(M49&gt;500,M49&lt;=1000),M49*0.7%,IF(AND(M49&gt;200,M49&lt;=500),M49*0.8%,IF(AND(M49&gt;100,M49&lt;=200),M49*0.9%,IF(AND(M49&gt;50,M49&lt;=100),M49*1%,IF(AND(M49&gt;20,M49&lt;=50),M49*1.5%,IF(AND(M49&gt;10,M49&lt;=20),M49*2%,IF(AND(M49&gt;1,M49&lt;=10),M49*2.5%)))))))))</f>
        <v>660.08500000000004</v>
      </c>
      <c r="M64" s="302">
        <f t="shared" ref="M64:M65" ca="1" si="1">ROUND(L64,1)</f>
        <v>660.1</v>
      </c>
      <c r="N64" s="2540" t="s">
        <v>1380</v>
      </c>
      <c r="Z64" s="1748"/>
      <c r="AI64" s="1749"/>
    </row>
    <row r="65" spans="1:35" ht="14.25" customHeight="1">
      <c r="A65" s="169" t="s">
        <v>325</v>
      </c>
      <c r="B65" s="170" t="s">
        <v>1381</v>
      </c>
      <c r="C65" s="2562"/>
      <c r="D65" s="170"/>
      <c r="E65" s="172"/>
      <c r="F65" s="1804"/>
      <c r="G65" s="1804"/>
      <c r="H65" s="1806"/>
      <c r="I65" s="129"/>
      <c r="J65" s="3688"/>
      <c r="K65" s="1328" t="s">
        <v>1382</v>
      </c>
      <c r="L65" s="1328">
        <f ca="1">IF(M49&gt;1000,M49*0.1%,IF(AND(M49&gt;500,M49&lt;=1000),M49*0.5%,IF(AND(M49&gt;50,M49&lt;=500),M49*1%,IF(AND(M49&gt;1,M49&lt;=50),M49*1.5%))))</f>
        <v>132.017</v>
      </c>
      <c r="M65" s="302">
        <f t="shared" ca="1" si="1"/>
        <v>132</v>
      </c>
      <c r="N65" s="2540" t="s">
        <v>1380</v>
      </c>
      <c r="Z65" s="1748"/>
      <c r="AI65" s="1749"/>
    </row>
    <row r="66" spans="1:35" ht="14.25" customHeight="1">
      <c r="A66" s="173" t="s">
        <v>326</v>
      </c>
      <c r="B66" s="174" t="s">
        <v>1383</v>
      </c>
      <c r="C66" s="2563"/>
      <c r="D66" s="174" t="s">
        <v>26</v>
      </c>
      <c r="E66" s="1334" t="s">
        <v>670</v>
      </c>
      <c r="F66" s="1804"/>
      <c r="G66" s="1804"/>
      <c r="H66" s="1806"/>
      <c r="I66" s="129"/>
      <c r="J66" s="3688"/>
      <c r="K66" s="1328" t="s">
        <v>1384</v>
      </c>
      <c r="L66" s="1328">
        <f ca="1">M49*0.5%</f>
        <v>660.08500000000004</v>
      </c>
      <c r="M66" s="302">
        <f ca="1">IF(L66&gt;0.5,0.5,ROUND(L66,0))</f>
        <v>0.5</v>
      </c>
      <c r="N66" s="2540" t="s">
        <v>1385</v>
      </c>
      <c r="Z66" s="1748"/>
      <c r="AI66" s="1749"/>
    </row>
    <row r="67" spans="1:35" ht="14.25" customHeight="1">
      <c r="A67" s="173" t="s">
        <v>327</v>
      </c>
      <c r="B67" s="174" t="s">
        <v>1386</v>
      </c>
      <c r="C67" s="2564">
        <f ca="1">C63-C66</f>
        <v>125730</v>
      </c>
      <c r="D67" s="170" t="s">
        <v>26</v>
      </c>
      <c r="E67" s="172"/>
      <c r="F67" s="1804"/>
      <c r="G67" s="1804"/>
      <c r="H67" s="1806"/>
      <c r="I67" s="129"/>
      <c r="J67" s="3688"/>
      <c r="K67" s="1328" t="s">
        <v>1387</v>
      </c>
      <c r="L67" s="1328">
        <f ca="1">IF(M49&gt;=10000,(8.25+(M49-10000)*0.01%),IF(AND(M49&gt;=8000,M49&lt;10000),(7.85+(M49-8000)*0.02%),IF(AND(M49&gt;=5000,M49&lt;8000),(6.65+(M49-5000)*0.04%),IF(AND(M49&gt;=2000,M49&lt;5000),(4.25+(PM49-2000)*0.08%),IF(AND(M49&gt;=1000,M49&lt;2000),(2.75+(M49-1000)*0.15%),IF(AND(M49&gt;=100,M49&lt;1000),(0.5+(M49-100)*0.25%),IF(AND(M49&gt;0,M49&lt;100),M49*0.5%)))))))</f>
        <v>20.451700000000002</v>
      </c>
      <c r="M67" s="302">
        <f ca="1">ROUND(L67*0.9,1)</f>
        <v>18.399999999999999</v>
      </c>
      <c r="N67" s="2539"/>
      <c r="Z67" s="1748"/>
      <c r="AI67" s="1749"/>
    </row>
    <row r="68" spans="1:35" ht="14.25" customHeight="1" thickBot="1">
      <c r="A68" s="176" t="s">
        <v>328</v>
      </c>
      <c r="B68" s="177" t="s">
        <v>1388</v>
      </c>
      <c r="C68" s="2565">
        <f ca="1">IF(C67&lt;=0,0,ROUND(C67*D68,0))</f>
        <v>7041</v>
      </c>
      <c r="D68" s="2566">
        <f>'数据-取费表'!B41</f>
        <v>5.6000000000000001E-2</v>
      </c>
      <c r="E68" s="178"/>
      <c r="F68" s="1804"/>
      <c r="G68" s="1804"/>
      <c r="H68" s="1806"/>
      <c r="I68" s="129"/>
      <c r="J68" s="3688"/>
      <c r="K68" s="1328" t="s">
        <v>1389</v>
      </c>
      <c r="L68" s="1328">
        <f ca="1">IF(M49&gt;10000,M49*0.5%,IF(AND(M49&gt;5000,M49&lt;=10000),M49*1%,IF(AND(M49&gt;1000,M49&lt;=5000),M49*2%,IF(AND(M49&gt;200,M49&lt;=1000),M49*3%,M49*5%))))</f>
        <v>660.08500000000004</v>
      </c>
      <c r="M68" s="302">
        <f ca="1">ROUND(L68,1)</f>
        <v>660.1</v>
      </c>
      <c r="N68" s="2539"/>
      <c r="Z68" s="1748"/>
      <c r="AI68" s="1749"/>
    </row>
    <row r="69" spans="1:35" s="1768" customFormat="1" ht="16.5" customHeight="1">
      <c r="A69" s="1807"/>
      <c r="B69" s="1808"/>
      <c r="C69" s="1809"/>
      <c r="D69" s="1810"/>
      <c r="E69" s="1811"/>
      <c r="F69" s="1574"/>
      <c r="G69" s="1574"/>
      <c r="H69" s="1573"/>
      <c r="I69" s="1743"/>
      <c r="J69" s="3688"/>
      <c r="K69" s="1328" t="s">
        <v>1390</v>
      </c>
      <c r="L69" s="1328"/>
      <c r="M69" s="302">
        <f ca="1">ROUND(SUM(M63:M68),0)</f>
        <v>2131</v>
      </c>
      <c r="N69" s="2541">
        <f ca="1">M69/M49</f>
        <v>1.6141860517963597E-2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0" t="s">
        <v>1391</v>
      </c>
      <c r="B70" s="3651"/>
      <c r="C70" s="3651"/>
      <c r="D70" s="3651"/>
      <c r="E70" s="3651"/>
      <c r="F70" s="3651"/>
      <c r="G70" s="3651"/>
      <c r="H70" s="3651"/>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9" t="s">
        <v>1372</v>
      </c>
      <c r="B71" s="3630"/>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125730</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754</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24" t="s">
        <v>1399</v>
      </c>
      <c r="F76" s="3598"/>
      <c r="G76" s="3598"/>
      <c r="H76" s="364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754</v>
      </c>
      <c r="D78" s="2573">
        <f>'数据-取费表'!B43</f>
        <v>6.000000000000001E-3</v>
      </c>
      <c r="E78" s="3608" t="s">
        <v>1403</v>
      </c>
      <c r="F78" s="3609"/>
      <c r="G78" s="3609"/>
      <c r="H78" s="361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124976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165.75066312997347</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74722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0" t="s">
        <v>1407</v>
      </c>
      <c r="B83" s="3651"/>
      <c r="C83" s="3651"/>
      <c r="D83" s="3651"/>
      <c r="E83" s="3651"/>
      <c r="F83" s="3651"/>
      <c r="G83" s="3651"/>
      <c r="H83" s="365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9" t="s">
        <v>1372</v>
      </c>
      <c r="B84" s="3630"/>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125730</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59791.187000000005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3493</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90" t="s">
        <v>2124</v>
      </c>
      <c r="H90" s="369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27401</v>
      </c>
      <c r="D91" s="2573"/>
      <c r="E91" s="3608" t="s">
        <v>1416</v>
      </c>
      <c r="F91" s="3609"/>
      <c r="G91" s="3609"/>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4541</v>
      </c>
      <c r="D92" s="2579">
        <v>0.1</v>
      </c>
      <c r="E92" s="3608" t="s">
        <v>1419</v>
      </c>
      <c r="F92" s="3609"/>
      <c r="G92" s="3609"/>
      <c r="H92" s="3618"/>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754</v>
      </c>
      <c r="D93" s="2573">
        <f>'数据-取费表'!B43</f>
        <v>6.000000000000001E-3</v>
      </c>
      <c r="E93" s="3608" t="s">
        <v>1403</v>
      </c>
      <c r="F93" s="3609"/>
      <c r="G93" s="3609"/>
      <c r="H93" s="361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9083</v>
      </c>
      <c r="D94" s="2573">
        <v>0.2</v>
      </c>
      <c r="E94" s="3619" t="s">
        <v>1423</v>
      </c>
      <c r="F94" s="3620"/>
      <c r="G94" s="3620"/>
      <c r="H94" s="362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65939</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1.1028213907176654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24001</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92" t="s">
        <v>1425</v>
      </c>
      <c r="B100" s="3593"/>
      <c r="C100" s="3593"/>
      <c r="D100" s="3610"/>
      <c r="E100" s="3593" t="s">
        <v>1426</v>
      </c>
      <c r="F100" s="3593"/>
      <c r="G100" s="3593"/>
      <c r="H100" s="3610"/>
      <c r="I100" s="129"/>
    </row>
    <row r="101" spans="1:35" ht="18.75" customHeight="1">
      <c r="A101" s="3671" t="s">
        <v>1427</v>
      </c>
      <c r="B101" s="3672"/>
      <c r="C101" s="2581" t="str">
        <f>C4</f>
        <v>成本法</v>
      </c>
      <c r="D101" s="2582" t="str">
        <f>D4</f>
        <v>收益法（汇总）</v>
      </c>
      <c r="E101" s="3685" t="s">
        <v>1428</v>
      </c>
      <c r="F101" s="3642"/>
      <c r="G101" s="1823" t="s">
        <v>1429</v>
      </c>
      <c r="H101" s="2591">
        <f ca="1">H118</f>
        <v>132017</v>
      </c>
      <c r="I101" s="129"/>
    </row>
    <row r="102" spans="1:35" ht="18.75" customHeight="1">
      <c r="A102" s="3644" t="s">
        <v>1430</v>
      </c>
      <c r="B102" s="2580" t="s">
        <v>1429</v>
      </c>
      <c r="C102" s="2581">
        <f ca="1">IF(D32="楼面单价",ROUND(C19,0),C19)</f>
        <v>152394</v>
      </c>
      <c r="D102" s="2582">
        <f ca="1">IF(D32="楼面单价",ROUND(D19,0),D19)</f>
        <v>118433</v>
      </c>
      <c r="E102" s="3685"/>
      <c r="F102" s="3642"/>
      <c r="G102" s="1823" t="s">
        <v>1431</v>
      </c>
      <c r="H102" s="2551">
        <f ca="1">I118</f>
        <v>26257</v>
      </c>
      <c r="I102" s="129"/>
    </row>
    <row r="103" spans="1:35" ht="42.75" customHeight="1">
      <c r="A103" s="3644"/>
      <c r="B103" s="2580" t="s">
        <v>1431</v>
      </c>
      <c r="C103" s="2583">
        <f ca="1">C20</f>
        <v>30310</v>
      </c>
      <c r="D103" s="2584">
        <f ca="1">D20</f>
        <v>23556</v>
      </c>
      <c r="E103" s="3679" t="s">
        <v>1432</v>
      </c>
      <c r="F103" s="3680"/>
      <c r="G103" s="1824" t="s">
        <v>1433</v>
      </c>
      <c r="H103" s="2591">
        <f>IF(D36="正常操作",H104+H105+H106,H105+H106)</f>
        <v>0</v>
      </c>
      <c r="I103" s="129"/>
    </row>
    <row r="104" spans="1:35" ht="18.75" customHeight="1">
      <c r="A104" s="3644" t="s">
        <v>1434</v>
      </c>
      <c r="B104" s="2585" t="s">
        <v>1429</v>
      </c>
      <c r="C104" s="2586">
        <f ca="1">H118</f>
        <v>132017</v>
      </c>
      <c r="D104" s="2587"/>
      <c r="E104" s="1670" t="s">
        <v>1435</v>
      </c>
      <c r="F104" s="1662"/>
      <c r="G104" s="1824" t="s">
        <v>1433</v>
      </c>
      <c r="H104" s="2592">
        <f>IF(D36="同一抵押权人同一抵押物续贷",C36&amp;"（续贷，未扣减，详见特别提示）",C36)</f>
        <v>0</v>
      </c>
      <c r="I104" s="129"/>
    </row>
    <row r="105" spans="1:35" ht="18.75" customHeight="1" thickBot="1">
      <c r="A105" s="3645"/>
      <c r="B105" s="2588" t="s">
        <v>1431</v>
      </c>
      <c r="C105" s="2589">
        <f ca="1">I118</f>
        <v>26257</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1" t="str">
        <f>IF(项目基本情况!E8="已注销","——","3.房地产抵押价值")</f>
        <v>3.房地产抵押价值</v>
      </c>
      <c r="F107" s="3642"/>
      <c r="G107" s="1823" t="s">
        <v>1429</v>
      </c>
      <c r="H107" s="2591">
        <f ca="1">IF(E107="——","——",H101-H103)</f>
        <v>132017</v>
      </c>
      <c r="I107" s="129"/>
    </row>
    <row r="108" spans="1:35" ht="18.75" customHeight="1">
      <c r="A108" s="129"/>
      <c r="B108" s="129"/>
      <c r="C108" s="129"/>
      <c r="D108" s="129"/>
      <c r="E108" s="3641"/>
      <c r="F108" s="3642"/>
      <c r="G108" s="1823" t="s">
        <v>1431</v>
      </c>
      <c r="H108" s="2551">
        <f ca="1">IF(H107=H101,H102,ROUND(H107*10000/'数据-汇总表'!E3,0))</f>
        <v>26257</v>
      </c>
      <c r="I108" s="129"/>
    </row>
    <row r="109" spans="1:35" ht="18.75" customHeight="1">
      <c r="A109" s="129"/>
      <c r="B109" s="129"/>
      <c r="C109" s="129"/>
      <c r="D109" s="129"/>
      <c r="E109" s="3641" t="str">
        <f>IF(项目基本情况!E8="已注销及未注销","4.抵押担保权已注销时的房地产抵押价值",IF(项目基本情况!E8="已注销","3.抵押担保权已注销时的房地产抵押价值","——"))</f>
        <v>——</v>
      </c>
      <c r="F109" s="3642"/>
      <c r="G109" s="1823" t="s">
        <v>1429</v>
      </c>
      <c r="H109" s="2594" t="str">
        <f>IF(E109="——","——",H101-H105-H106)</f>
        <v>——</v>
      </c>
      <c r="I109" s="129"/>
    </row>
    <row r="110" spans="1:35" ht="18.75" customHeight="1">
      <c r="A110" s="129"/>
      <c r="B110" s="129"/>
      <c r="C110" s="129"/>
      <c r="D110" s="129"/>
      <c r="E110" s="3641"/>
      <c r="F110" s="3642"/>
      <c r="G110" s="1823" t="s">
        <v>1431</v>
      </c>
      <c r="H110" s="2551" t="str">
        <f>IF(H109="——","——",ROUND(H109*10000/'数据-汇总表'!E3,0))</f>
        <v>——</v>
      </c>
      <c r="I110" s="129"/>
    </row>
    <row r="111" spans="1:35" ht="18.75" customHeight="1">
      <c r="A111" s="129"/>
      <c r="B111" s="129"/>
      <c r="C111" s="129"/>
      <c r="D111" s="129"/>
      <c r="E111" s="3673" t="str">
        <f>IF(项目基本情况!E9="抵押净值",IF(OR(项目基本情况!E8="已注销",项目基本情况!E8="房地产抵押价值"),"4.抵押净值","5.抵押净值"),"——")</f>
        <v>4.抵押净值</v>
      </c>
      <c r="F111" s="3643"/>
      <c r="G111" s="1823" t="s">
        <v>1429</v>
      </c>
      <c r="H111" s="2591">
        <f ca="1">IF(E111="——","——",N59)</f>
        <v>100909</v>
      </c>
      <c r="I111" s="129"/>
    </row>
    <row r="112" spans="1:35" ht="18.75" customHeight="1" thickBot="1">
      <c r="A112" s="129"/>
      <c r="B112" s="129"/>
      <c r="C112" s="129"/>
      <c r="D112" s="129"/>
      <c r="E112" s="3674"/>
      <c r="F112" s="3675"/>
      <c r="G112" s="1826" t="s">
        <v>1431</v>
      </c>
      <c r="H112" s="2595">
        <f ca="1">IF(E111="——","——",N61)</f>
        <v>20070</v>
      </c>
      <c r="I112" s="129"/>
    </row>
    <row r="113" spans="1:27" ht="18.75" customHeight="1">
      <c r="A113" s="129"/>
      <c r="B113" s="129"/>
      <c r="C113" s="129"/>
      <c r="D113" s="129"/>
      <c r="E113" s="3646" t="s">
        <v>1437</v>
      </c>
      <c r="F113" s="3646"/>
      <c r="G113" s="3646"/>
      <c r="H113" s="3646"/>
      <c r="I113" s="129"/>
    </row>
    <row r="114" spans="1:27" ht="3.75" customHeight="1">
      <c r="A114" s="1743"/>
      <c r="B114" s="1743"/>
      <c r="C114" s="1743"/>
      <c r="D114" s="1743"/>
      <c r="E114" s="1805"/>
      <c r="F114" s="1805"/>
      <c r="G114" s="1805"/>
      <c r="H114" s="1805"/>
      <c r="I114" s="1743"/>
    </row>
    <row r="115" spans="1:27" ht="18.75" customHeight="1">
      <c r="A115" s="3656" t="s">
        <v>1439</v>
      </c>
      <c r="B115" s="3657"/>
      <c r="C115" s="3657"/>
      <c r="D115" s="3657"/>
      <c r="E115" s="3657"/>
      <c r="F115" s="3657"/>
      <c r="G115" s="3657"/>
      <c r="H115" s="3657"/>
      <c r="I115" s="3658"/>
    </row>
    <row r="116" spans="1:27" ht="27" customHeight="1">
      <c r="A116" s="3612" t="s">
        <v>1440</v>
      </c>
      <c r="B116" s="3647" t="s">
        <v>1441</v>
      </c>
      <c r="C116" s="3647" t="s">
        <v>1442</v>
      </c>
      <c r="D116" s="3660" t="s">
        <v>1443</v>
      </c>
      <c r="E116" s="3661"/>
      <c r="F116" s="3655" t="s">
        <v>1444</v>
      </c>
      <c r="G116" s="3655"/>
      <c r="H116" s="3612" t="s">
        <v>1445</v>
      </c>
      <c r="I116" s="3612"/>
    </row>
    <row r="117" spans="1:27" ht="18.75" customHeight="1">
      <c r="A117" s="3612"/>
      <c r="B117" s="3648"/>
      <c r="C117" s="3648"/>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102445</v>
      </c>
      <c r="E118" s="2325">
        <f ca="1">ROUND(IF(C33="自定义",IF(D32="楼面单价",C34,D118*10000/B118),I118-G118),0)</f>
        <v>20375</v>
      </c>
      <c r="F118" s="2325">
        <f ca="1">ROUND(IF(D32="总价",C35,G118*B118/10000),0)</f>
        <v>29572</v>
      </c>
      <c r="G118" s="2325">
        <f ca="1">ROUND(IF(D32="楼面单价",C35,F118*10000/B118),0)</f>
        <v>5882</v>
      </c>
      <c r="H118" s="2325">
        <f ca="1">ROUND(IF(D32="总价",C32,I118*B118/10000),0)</f>
        <v>132017</v>
      </c>
      <c r="I118" s="2325">
        <f ca="1">ROUND(IF(D32="楼面单价",C32,H118*10000/B118),0)</f>
        <v>26257</v>
      </c>
    </row>
    <row r="119" spans="1:27" ht="18.75" customHeight="1">
      <c r="A119" s="3612" t="s">
        <v>1449</v>
      </c>
      <c r="B119" s="3612"/>
      <c r="C119" s="3612"/>
      <c r="D119" s="3652" t="str">
        <f ca="1">NUMBERSTRING(INT(D118*10000),2)&amp;"元整"</f>
        <v>壹拾亿贰仟肆佰肆拾伍万元整</v>
      </c>
      <c r="E119" s="3654"/>
      <c r="F119" s="3652" t="str">
        <f ca="1">NUMBERSTRING(INT(F118*10000),2)&amp;"元整"</f>
        <v>贰亿玖仟伍佰柒拾贰万元整</v>
      </c>
      <c r="G119" s="3654"/>
      <c r="H119" s="3652" t="str">
        <f ca="1">NUMBERSTRING(INT(H118*10000),2)&amp;"元整"</f>
        <v>壹拾叁亿贰仟零壹拾柒万元整</v>
      </c>
      <c r="I119" s="3654"/>
    </row>
    <row r="120" spans="1:27" ht="18.75" customHeight="1">
      <c r="A120" s="3676" t="str">
        <f>IF(项目基本情况!B9="房地产市场价值","",MID(E103,3,LEN(E103)-2))</f>
        <v>估价师知悉的法定优先受偿款</v>
      </c>
      <c r="B120" s="3677"/>
      <c r="C120" s="3678"/>
      <c r="D120" s="3676">
        <f>H103</f>
        <v>0</v>
      </c>
      <c r="E120" s="3677"/>
      <c r="F120" s="3677"/>
      <c r="G120" s="3677"/>
      <c r="H120" s="3677"/>
      <c r="I120" s="367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2" t="s">
        <v>1449</v>
      </c>
      <c r="B121" s="3653"/>
      <c r="C121" s="3654"/>
      <c r="D121" s="3652" t="str">
        <f>IF(D120=0,"零元整",NUMBERSTRING(INT(D120*10000),2)&amp;"元整")</f>
        <v>零元整</v>
      </c>
      <c r="E121" s="3653"/>
      <c r="F121" s="3653"/>
      <c r="G121" s="3653"/>
      <c r="H121" s="3653"/>
      <c r="I121" s="3654"/>
      <c r="AA121" s="724"/>
    </row>
    <row r="122" spans="1:27" ht="18.75" customHeight="1">
      <c r="A122" s="3643" t="str">
        <f>IF(项目基本情况!B9="房地产市场价值","",MID(E107,3,LEN(E107)-2))</f>
        <v>房地产抵押价值</v>
      </c>
      <c r="B122" s="3643"/>
      <c r="C122" s="3643"/>
      <c r="D122" s="3676">
        <f ca="1">H107</f>
        <v>132017</v>
      </c>
      <c r="E122" s="3677"/>
      <c r="F122" s="3677"/>
      <c r="G122" s="3677"/>
      <c r="H122" s="3677"/>
      <c r="I122" s="3678"/>
      <c r="AA122" s="724"/>
    </row>
    <row r="123" spans="1:27" ht="18.75" customHeight="1">
      <c r="A123" s="3612" t="s">
        <v>1449</v>
      </c>
      <c r="B123" s="3612"/>
      <c r="C123" s="3612"/>
      <c r="D123" s="3652" t="str">
        <f ca="1">NUMBERSTRING(INT(D122*10000),2)&amp;"元整"</f>
        <v>壹拾叁亿贰仟零壹拾柒万元整</v>
      </c>
      <c r="E123" s="3653"/>
      <c r="F123" s="3653"/>
      <c r="G123" s="3653"/>
      <c r="H123" s="3653"/>
      <c r="I123" s="3654"/>
      <c r="AA123" s="724"/>
    </row>
    <row r="124" spans="1:27" ht="18.75" customHeight="1">
      <c r="A124" s="3643" t="str">
        <f>IF(项目基本情况!B9="房地产市场价值","",MID(E109,3,LEN(E109)-2))</f>
        <v/>
      </c>
      <c r="B124" s="3643"/>
      <c r="C124" s="3643"/>
      <c r="D124" s="3676" t="str">
        <f>H109</f>
        <v>——</v>
      </c>
      <c r="E124" s="3677"/>
      <c r="F124" s="3677"/>
      <c r="G124" s="3677"/>
      <c r="H124" s="3677"/>
      <c r="I124" s="3678"/>
      <c r="AA124" s="724"/>
    </row>
    <row r="125" spans="1:27" ht="18.75" customHeight="1">
      <c r="A125" s="3612" t="s">
        <v>1449</v>
      </c>
      <c r="B125" s="3612"/>
      <c r="C125" s="3612"/>
      <c r="D125" s="3652" t="e">
        <f>NUMBERSTRING(INT(D124*10000),2)&amp;"元整"</f>
        <v>#VALUE!</v>
      </c>
      <c r="E125" s="3653"/>
      <c r="F125" s="3653"/>
      <c r="G125" s="3653"/>
      <c r="H125" s="3653"/>
      <c r="I125" s="3654"/>
      <c r="AA125" s="724"/>
    </row>
    <row r="126" spans="1:27" ht="18.75" customHeight="1">
      <c r="A126" s="3643" t="str">
        <f>IF(项目基本情况!B9="房地产市场价值","",MID(E111,3,LEN(E111)-2))</f>
        <v>抵押净值</v>
      </c>
      <c r="B126" s="3643"/>
      <c r="C126" s="3643"/>
      <c r="D126" s="3676">
        <f ca="1">H111</f>
        <v>100909</v>
      </c>
      <c r="E126" s="3677"/>
      <c r="F126" s="3677"/>
      <c r="G126" s="3677"/>
      <c r="H126" s="3677"/>
      <c r="I126" s="3678"/>
      <c r="AA126" s="724"/>
    </row>
    <row r="127" spans="1:27" ht="18.75" customHeight="1">
      <c r="A127" s="3612" t="s">
        <v>1449</v>
      </c>
      <c r="B127" s="3612"/>
      <c r="C127" s="3612"/>
      <c r="D127" s="3652" t="str">
        <f ca="1">NUMBERSTRING(INT(D126*10000),2)&amp;"元整"</f>
        <v>壹拾亿零玖佰零玖万元整</v>
      </c>
      <c r="E127" s="3653"/>
      <c r="F127" s="3653"/>
      <c r="G127" s="3653"/>
      <c r="H127" s="3653"/>
      <c r="I127" s="3654"/>
      <c r="AA127" s="724"/>
    </row>
    <row r="128" spans="1:27" ht="21.75" customHeight="1">
      <c r="A128" s="3659" t="s">
        <v>1450</v>
      </c>
      <c r="B128" s="3659"/>
      <c r="C128" s="3659"/>
      <c r="D128" s="3659"/>
      <c r="E128" s="3659"/>
      <c r="F128" s="3659"/>
      <c r="G128" s="3659"/>
      <c r="H128" s="3659"/>
      <c r="I128" s="3659"/>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09" t="str">
        <f>项目基本情况!B1</f>
        <v>北京市房地产抵押价值预评估</v>
      </c>
      <c r="C37" s="3509"/>
      <c r="D37" s="3509"/>
      <c r="E37" s="3509"/>
      <c r="F37" s="3509"/>
      <c r="G37" s="3509"/>
      <c r="H37" s="3509"/>
      <c r="I37" s="3509"/>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项目基本情况!K4</f>
        <v>（注册号：0)、（注册号：0)</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10" zoomScaleNormal="70" zoomScaleSheetLayoutView="10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152394</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30310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87797</v>
      </c>
      <c r="D5" s="211" t="s">
        <v>1466</v>
      </c>
      <c r="E5" s="212" t="s">
        <v>1467</v>
      </c>
      <c r="F5" s="212" t="s">
        <v>1468</v>
      </c>
      <c r="G5" s="213"/>
    </row>
    <row r="6" spans="1:9" s="214" customFormat="1" ht="13.5" customHeight="1">
      <c r="A6" s="774" t="s">
        <v>1469</v>
      </c>
      <c r="B6" s="215" t="s">
        <v>1470</v>
      </c>
      <c r="C6" s="216">
        <f ca="1">'基准地价（汇总）'!B6+'基准地价（汇总）'!B7</f>
        <v>84222</v>
      </c>
      <c r="D6" s="217"/>
      <c r="E6" s="218"/>
      <c r="F6" s="218"/>
      <c r="G6" s="219"/>
    </row>
    <row r="7" spans="1:9" s="214" customFormat="1" ht="13.5" customHeight="1">
      <c r="A7" s="774" t="s">
        <v>1471</v>
      </c>
      <c r="B7" s="215" t="s">
        <v>1472</v>
      </c>
      <c r="C7" s="220">
        <f ca="1">ROUND(C6*F7,0)</f>
        <v>2569</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1756</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6223</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6162</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61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13433</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13433</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118320</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27401</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754</v>
      </c>
      <c r="D35" s="220"/>
      <c r="E35" s="220"/>
      <c r="F35" s="259">
        <f>'数据-取费表'!B33</f>
        <v>0.03</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548</v>
      </c>
      <c r="D39" s="232"/>
      <c r="E39" s="232"/>
      <c r="F39" s="233">
        <f>F20</f>
        <v>0.02</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964</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945</v>
      </c>
      <c r="D42" s="238"/>
      <c r="E42" s="238"/>
      <c r="F42" s="239"/>
      <c r="G42" s="3692" t="s">
        <v>1541</v>
      </c>
    </row>
    <row r="43" spans="1:7" ht="13.5" customHeight="1">
      <c r="A43" s="776" t="s">
        <v>346</v>
      </c>
      <c r="B43" s="215" t="s">
        <v>1542</v>
      </c>
      <c r="C43" s="238">
        <f ca="1">ROUND(IF('数据-取费表'!B22&lt;=1,C39*F22*'数据-取费表'!B21/2,C39*(POWER((1+F22),'数据-取费表'!B21/2)-1)),0)</f>
        <v>19</v>
      </c>
      <c r="D43" s="238"/>
      <c r="E43" s="238"/>
      <c r="F43" s="239"/>
      <c r="G43" s="3693"/>
    </row>
    <row r="44" spans="1:7" ht="13.5" customHeight="1">
      <c r="A44" s="776" t="s">
        <v>347</v>
      </c>
      <c r="B44" s="215" t="s">
        <v>1543</v>
      </c>
      <c r="C44" s="238">
        <f ca="1">ROUND(IF('数据-取费表'!B22&lt;=1,C40*F22*'数据-取费表'!B21/2,C40*(POWER((1+F22),'数据-取费表'!B21/2)-1)),4)</f>
        <v>6.9999999999999999E-4</v>
      </c>
      <c r="D44" s="238"/>
      <c r="E44" s="238"/>
      <c r="F44" s="239"/>
      <c r="G44" s="3694"/>
    </row>
    <row r="45" spans="1:7" s="214" customFormat="1" ht="13.5" customHeight="1">
      <c r="A45" s="255" t="s">
        <v>1544</v>
      </c>
      <c r="B45" s="244" t="s">
        <v>1510</v>
      </c>
      <c r="C45" s="245">
        <f ca="1">C46</f>
        <v>4192</v>
      </c>
      <c r="D45" s="235">
        <f ca="1">C47</f>
        <v>3.0000000000000001E-3</v>
      </c>
      <c r="E45" s="236" t="s">
        <v>1536</v>
      </c>
      <c r="F45" s="246">
        <f ca="1">F27</f>
        <v>0.15</v>
      </c>
      <c r="G45" s="247" t="s">
        <v>1545</v>
      </c>
    </row>
    <row r="46" spans="1:7" s="214" customFormat="1" ht="13.5" customHeight="1">
      <c r="A46" s="776" t="s">
        <v>345</v>
      </c>
      <c r="B46" s="248" t="s">
        <v>1546</v>
      </c>
      <c r="C46" s="249">
        <f ca="1">ROUND((C33+C39)*F27,0)</f>
        <v>4192</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35867</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34074</v>
      </c>
      <c r="D51" s="232"/>
      <c r="E51" s="232"/>
      <c r="F51" s="264"/>
      <c r="G51" s="234" t="s">
        <v>1557</v>
      </c>
    </row>
    <row r="52" spans="1:7" s="208" customFormat="1" ht="16.5" thickBot="1">
      <c r="A52" s="265" t="s">
        <v>1558</v>
      </c>
      <c r="B52" s="266"/>
      <c r="C52" s="267">
        <f ca="1">C31+C51</f>
        <v>152394</v>
      </c>
      <c r="D52" s="266"/>
      <c r="E52" s="266"/>
      <c r="F52" s="266"/>
      <c r="G52" s="268"/>
    </row>
    <row r="55" spans="1:7" ht="15">
      <c r="B55" s="270" t="s">
        <v>1559</v>
      </c>
      <c r="C55" s="271"/>
    </row>
    <row r="56" spans="1:7">
      <c r="B56" s="273" t="s">
        <v>801</v>
      </c>
      <c r="C56" s="275">
        <f ca="1">1-C57</f>
        <v>0.77600000000000002</v>
      </c>
    </row>
    <row r="57" spans="1:7">
      <c r="B57" s="273" t="s">
        <v>802</v>
      </c>
      <c r="C57" s="274">
        <f ca="1">ROUND(C51/C52,3)</f>
        <v>0.224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0.03</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0.02</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118433</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23556</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695" t="s">
        <v>1651</v>
      </c>
      <c r="C5" s="3696"/>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71529</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43006</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3898</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K44" sqref="K4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43.65</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71529</v>
      </c>
      <c r="C2" s="1383" t="s">
        <v>804</v>
      </c>
      <c r="D2" s="1383"/>
      <c r="E2" s="1384"/>
      <c r="F2" s="1385"/>
      <c r="G2" s="2702"/>
      <c r="H2" s="2691"/>
      <c r="I2" s="2691"/>
      <c r="J2" s="2691"/>
      <c r="K2" s="2692"/>
      <c r="L2" s="2691"/>
      <c r="M2" s="2691"/>
    </row>
    <row r="3" spans="1:37" ht="18" customHeight="1" thickBot="1">
      <c r="A3" s="1386" t="s">
        <v>805</v>
      </c>
      <c r="B3" s="1387">
        <f ca="1">IF(ISERROR(B2*10000/F43),0,ROUND(B2*10000/F43,0))</f>
        <v>34575</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3743</v>
      </c>
      <c r="D5" s="1360" t="s">
        <v>692</v>
      </c>
      <c r="E5" s="1067"/>
      <c r="F5" s="1068"/>
      <c r="G5" s="1380"/>
      <c r="H5" s="299">
        <v>1</v>
      </c>
      <c r="I5" s="300" t="s">
        <v>691</v>
      </c>
      <c r="J5" s="1066">
        <f ca="1">J6+J10+J12</f>
        <v>0</v>
      </c>
      <c r="K5" s="1360" t="s">
        <v>692</v>
      </c>
      <c r="L5" s="1067"/>
      <c r="M5" s="1068"/>
    </row>
    <row r="6" spans="1:37" ht="18" customHeight="1">
      <c r="A6" s="1065" t="s">
        <v>397</v>
      </c>
      <c r="B6" s="3697" t="s">
        <v>693</v>
      </c>
      <c r="C6" s="1070">
        <f ca="1">ROUND(F6*F8*F7*(1-F9)/10000,0)</f>
        <v>3738</v>
      </c>
      <c r="D6" s="155" t="s">
        <v>2104</v>
      </c>
      <c r="E6" s="302" t="s">
        <v>695</v>
      </c>
      <c r="F6" s="303">
        <f ca="1">INDIRECT("'数据-取费表'!u"&amp;$G$1)</f>
        <v>5.5</v>
      </c>
      <c r="G6" s="1380"/>
      <c r="H6" s="1065" t="s">
        <v>397</v>
      </c>
      <c r="I6" s="3697" t="s">
        <v>693</v>
      </c>
      <c r="J6" s="301">
        <f ca="1">ROUND(M6*M8*M7*(1-M9)/10000,0)</f>
        <v>0</v>
      </c>
      <c r="K6" s="155" t="s">
        <v>2103</v>
      </c>
      <c r="L6" s="302" t="s">
        <v>695</v>
      </c>
      <c r="M6" s="303">
        <f ca="1">INDIRECT("'数据-取费表'!z"&amp;$G$1)</f>
        <v>0</v>
      </c>
    </row>
    <row r="7" spans="1:37" ht="18" customHeight="1">
      <c r="A7" s="1069"/>
      <c r="B7" s="3698"/>
      <c r="C7" s="1071"/>
      <c r="D7" s="307"/>
      <c r="E7" s="3489" t="s">
        <v>696</v>
      </c>
      <c r="F7" s="303">
        <f ca="1">IF(INDIRECT("'数据-取费表'!ah"&amp;$G$1)="",INDIRECT("'数据-取费表'!k"&amp;$G$1),INDIRECT("'数据-取费表'!ah"&amp;$G$1))</f>
        <v>20688.28</v>
      </c>
      <c r="G7" s="1380"/>
      <c r="H7" s="304"/>
      <c r="I7" s="3698"/>
      <c r="J7" s="306"/>
      <c r="K7" s="307"/>
      <c r="L7" s="302" t="s">
        <v>696</v>
      </c>
      <c r="M7" s="303">
        <f ca="1">F7</f>
        <v>20688.28</v>
      </c>
    </row>
    <row r="8" spans="1:37" ht="18" customHeight="1">
      <c r="A8" s="304"/>
      <c r="B8" s="3698"/>
      <c r="C8" s="306"/>
      <c r="D8" s="307"/>
      <c r="E8" s="302" t="s">
        <v>697</v>
      </c>
      <c r="F8" s="303">
        <f ca="1">INDIRECT("'数据-取费表'!ai"&amp;$G$1)</f>
        <v>365</v>
      </c>
      <c r="G8" s="1380"/>
      <c r="H8" s="304"/>
      <c r="I8" s="3698"/>
      <c r="J8" s="306"/>
      <c r="K8" s="307"/>
      <c r="L8" s="302" t="s">
        <v>697</v>
      </c>
      <c r="M8" s="303">
        <f ca="1">INDIRECT("'数据-取费表'!ai"&amp;$G$1)</f>
        <v>365</v>
      </c>
    </row>
    <row r="9" spans="1:37" ht="18" customHeight="1">
      <c r="A9" s="304"/>
      <c r="B9" s="3699"/>
      <c r="C9" s="306"/>
      <c r="D9" s="307"/>
      <c r="E9" s="302" t="s">
        <v>698</v>
      </c>
      <c r="F9" s="312">
        <f ca="1">INDIRECT("'数据-取费表'!w"&amp;$G$1)</f>
        <v>0.1</v>
      </c>
      <c r="G9" s="1380"/>
      <c r="H9" s="304"/>
      <c r="I9" s="3699"/>
      <c r="J9" s="306"/>
      <c r="K9" s="307"/>
      <c r="L9" s="313" t="s">
        <v>698</v>
      </c>
      <c r="M9" s="314">
        <f ca="1">INDIRECT("'数据-取费表'!ab"&amp;$G$1)</f>
        <v>0</v>
      </c>
    </row>
    <row r="10" spans="1:37" ht="18" customHeight="1">
      <c r="A10" s="1065" t="s">
        <v>401</v>
      </c>
      <c r="B10" s="1361" t="s">
        <v>699</v>
      </c>
      <c r="C10" s="316">
        <f ca="1">ROUND(IF(F10="押一",C6/12*F11,IF(F10="押二",C6/12*2*F11,IF(F10="押三",C6/12*3*F11,C11*F11))),0)</f>
        <v>5</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15355</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16163</v>
      </c>
      <c r="K14" s="3488"/>
      <c r="L14" s="803"/>
      <c r="M14" s="804"/>
    </row>
    <row r="15" spans="1:37" s="1393" customFormat="1" ht="18" customHeight="1" thickBot="1">
      <c r="A15" s="978" t="s">
        <v>398</v>
      </c>
      <c r="B15" s="302" t="s">
        <v>709</v>
      </c>
      <c r="C15" s="21">
        <f ca="1">ROUND(C14*F15,0)</f>
        <v>340</v>
      </c>
      <c r="D15" s="3487" t="s">
        <v>710</v>
      </c>
      <c r="E15" s="3487"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89</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12347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247</v>
      </c>
      <c r="D20" s="2424" t="s">
        <v>728</v>
      </c>
      <c r="E20" s="302" t="s">
        <v>711</v>
      </c>
      <c r="F20" s="322">
        <f>'数据-取费表'!B37</f>
        <v>0.02</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80.819999999999993</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435</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-89</v>
      </c>
      <c r="K25" s="1091" t="s">
        <v>752</v>
      </c>
      <c r="L25" s="1092"/>
      <c r="M25" s="1093"/>
    </row>
    <row r="26" spans="1:37">
      <c r="A26" s="978" t="s">
        <v>396</v>
      </c>
      <c r="B26" s="302" t="s">
        <v>753</v>
      </c>
      <c r="C26" s="21">
        <f ca="1">ROUND((C19+C20)*F26,0)</f>
        <v>1889</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16163</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758</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634.92999999999995</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199.36</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c r="K35" s="2697"/>
      <c r="L35" s="2696"/>
      <c r="M35" s="2696"/>
    </row>
    <row r="36" spans="1:18" ht="18" customHeight="1">
      <c r="A36" s="1098" t="s">
        <v>401</v>
      </c>
      <c r="B36" s="302" t="s">
        <v>737</v>
      </c>
      <c r="C36" s="21">
        <f ca="1">ROUND(C29*F36,2)</f>
        <v>80.819999999999993</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23.03</v>
      </c>
      <c r="D37" s="3497"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ROUND(C5*F38,2)</f>
        <v>18.72</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2985</v>
      </c>
      <c r="D39" s="1091" t="s">
        <v>772</v>
      </c>
      <c r="E39" s="1092"/>
      <c r="F39" s="1093"/>
      <c r="G39" s="1380"/>
      <c r="H39" s="2696"/>
      <c r="I39" s="1394"/>
      <c r="J39" s="1395"/>
      <c r="K39" s="2700"/>
      <c r="L39" s="2696"/>
      <c r="M39" s="2696"/>
    </row>
    <row r="40" spans="1:18" ht="18" customHeight="1">
      <c r="A40" s="299" t="s">
        <v>394</v>
      </c>
      <c r="B40" s="300" t="s">
        <v>773</v>
      </c>
      <c r="C40" s="301">
        <f ca="1">ROUND(C39*(1-((1+F42)/(1+F40))^F41)/(F40-F42),0)</f>
        <v>71254</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34442</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-73094</v>
      </c>
      <c r="D46" s="1402" t="str">
        <f>C2</f>
        <v>万元</v>
      </c>
      <c r="E46" s="1396"/>
      <c r="F46" s="1396"/>
      <c r="I46" s="1403" t="s">
        <v>809</v>
      </c>
      <c r="J46" s="1404"/>
      <c r="K46" s="1405"/>
      <c r="L46" s="1406">
        <f ca="1">IF(M47="住宅",0,IF(L48&gt;J51,L60,J60))</f>
        <v>275</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71254</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275</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16163</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35835</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0" t="s">
        <v>836</v>
      </c>
      <c r="L53" s="3701"/>
      <c r="O53" s="1414" t="s">
        <v>408</v>
      </c>
      <c r="P53" s="1415" t="s">
        <v>837</v>
      </c>
      <c r="Q53" s="1416">
        <f ca="1">Q47+Q48</f>
        <v>71529</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15355</v>
      </c>
      <c r="D56" s="1443"/>
      <c r="E56" s="1444"/>
      <c r="F56" s="1436"/>
      <c r="I56" s="1445" t="s">
        <v>841</v>
      </c>
      <c r="J56" s="1446" t="s">
        <v>3380</v>
      </c>
      <c r="K56" s="1417" t="s">
        <v>842</v>
      </c>
      <c r="L56" s="1420" t="str">
        <f ca="1">IF(L48&lt;J51,"——",L48-J53)</f>
        <v>——</v>
      </c>
      <c r="O56" s="1414" t="s">
        <v>402</v>
      </c>
      <c r="P56" s="1415" t="s">
        <v>816</v>
      </c>
      <c r="Q56" s="1416">
        <f ca="1">C40+J29</f>
        <v>71254</v>
      </c>
      <c r="R56" s="1416" t="s">
        <v>817</v>
      </c>
    </row>
    <row r="57" spans="1:18" s="1380" customFormat="1" ht="24.75" thickBot="1">
      <c r="A57" s="1447"/>
      <c r="B57" s="946" t="s">
        <v>766</v>
      </c>
      <c r="C57" s="238">
        <f ca="1">C29</f>
        <v>16163</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112</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6465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275</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71254</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80.819999999999993</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23.03</v>
      </c>
      <c r="D65" s="960" t="s">
        <v>742</v>
      </c>
      <c r="E65" s="946" t="s">
        <v>743</v>
      </c>
      <c r="F65" s="330">
        <f t="shared" ca="1" si="0"/>
        <v>1.5E-3</v>
      </c>
      <c r="I65" s="1458" t="s">
        <v>866</v>
      </c>
      <c r="J65" s="1459">
        <v>40</v>
      </c>
      <c r="K65" s="1459">
        <v>30</v>
      </c>
      <c r="L65" s="1459">
        <v>50</v>
      </c>
      <c r="M65" s="1461">
        <v>0.02</v>
      </c>
      <c r="O65" s="1414" t="s">
        <v>402</v>
      </c>
      <c r="P65" s="1415" t="s">
        <v>867</v>
      </c>
      <c r="Q65" s="1416">
        <f ca="1">C40+J29</f>
        <v>71254</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-112</v>
      </c>
      <c r="D67" s="959" t="s">
        <v>752</v>
      </c>
      <c r="E67" s="964"/>
      <c r="F67" s="965"/>
      <c r="O67" s="1424" t="s">
        <v>404</v>
      </c>
      <c r="P67" s="1415" t="s">
        <v>849</v>
      </c>
      <c r="Q67" s="1462">
        <f ca="1">L51</f>
        <v>35835</v>
      </c>
      <c r="R67" s="1416" t="s">
        <v>869</v>
      </c>
    </row>
    <row r="68" spans="1:18" s="1380" customFormat="1" ht="16.5" thickBot="1">
      <c r="A68" s="943" t="s">
        <v>394</v>
      </c>
      <c r="B68" s="944" t="s">
        <v>773</v>
      </c>
      <c r="C68" s="301">
        <f ca="1">ROUND(C67*(1-((1+F70)/(1+F68))^F69)/(F68-F70),0)</f>
        <v>-1840</v>
      </c>
      <c r="D68" s="961" t="s">
        <v>757</v>
      </c>
      <c r="E68" s="946" t="s">
        <v>758</v>
      </c>
      <c r="F68" s="312">
        <f ca="1">F40</f>
        <v>5.5E-2</v>
      </c>
      <c r="O68" s="1424" t="s">
        <v>405</v>
      </c>
      <c r="P68" s="1463" t="s">
        <v>870</v>
      </c>
      <c r="Q68" s="1416">
        <f ca="1">ROUND(Q69-Q70*Q71,0)</f>
        <v>1910</v>
      </c>
      <c r="R68" s="1416" t="s">
        <v>413</v>
      </c>
    </row>
    <row r="69" spans="1:18" s="1380" customFormat="1" ht="13.5" thickBot="1">
      <c r="A69" s="947"/>
      <c r="B69" s="948"/>
      <c r="C69" s="306"/>
      <c r="D69" s="966" t="s">
        <v>761</v>
      </c>
      <c r="E69" s="946" t="s">
        <v>762</v>
      </c>
      <c r="F69" s="333">
        <f ca="1">F41</f>
        <v>43.65</v>
      </c>
      <c r="O69" s="1424" t="s">
        <v>410</v>
      </c>
      <c r="P69" s="1463" t="s">
        <v>871</v>
      </c>
      <c r="Q69" s="1416">
        <f ca="1">C39</f>
        <v>2985</v>
      </c>
      <c r="R69" s="1416" t="s">
        <v>817</v>
      </c>
    </row>
    <row r="70" spans="1:18" s="1380" customFormat="1" ht="13.5" thickBot="1">
      <c r="A70" s="950"/>
      <c r="B70" s="951"/>
      <c r="C70" s="310"/>
      <c r="D70" s="962"/>
      <c r="E70" s="946" t="s">
        <v>765</v>
      </c>
      <c r="F70" s="1050"/>
      <c r="O70" s="1424" t="s">
        <v>411</v>
      </c>
      <c r="P70" s="1463" t="s">
        <v>872</v>
      </c>
      <c r="Q70" s="1416">
        <f ca="1">C13</f>
        <v>15355</v>
      </c>
      <c r="R70" s="1416" t="s">
        <v>817</v>
      </c>
    </row>
    <row r="71" spans="1:18" s="1380" customFormat="1" ht="13.5" thickBot="1">
      <c r="A71" s="967" t="s">
        <v>395</v>
      </c>
      <c r="B71" s="968" t="s">
        <v>775</v>
      </c>
      <c r="C71" s="336">
        <f ca="1">ROUND(C68*10000/F71,0)</f>
        <v>-889</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1075</v>
      </c>
      <c r="D75" s="1380"/>
      <c r="E75" s="1380"/>
      <c r="F75" s="1380"/>
      <c r="K75" s="1398"/>
      <c r="L75" s="1380"/>
      <c r="O75" s="1414" t="s">
        <v>408</v>
      </c>
      <c r="P75" s="1415" t="s">
        <v>837</v>
      </c>
      <c r="Q75" s="1416">
        <f ca="1">Q65+Q66</f>
        <v>71254</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v>
      </c>
    </row>
    <row r="80" spans="1:18">
      <c r="B80" s="340" t="s">
        <v>799</v>
      </c>
      <c r="C80" s="274">
        <f ca="1">ROUND(C75/C39,3)</f>
        <v>0.36</v>
      </c>
    </row>
    <row r="81" spans="2:3">
      <c r="B81" s="270" t="s">
        <v>800</v>
      </c>
      <c r="C81" s="238"/>
    </row>
    <row r="82" spans="2:3">
      <c r="B82" s="273" t="s">
        <v>801</v>
      </c>
      <c r="C82" s="275">
        <f ca="1">1-C83</f>
        <v>0.78500000000000003</v>
      </c>
    </row>
    <row r="83" spans="2:3">
      <c r="B83" s="273" t="s">
        <v>802</v>
      </c>
      <c r="C83" s="274">
        <f ca="1">ROUND(C13/C40,3)</f>
        <v>0.215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43006</v>
      </c>
      <c r="C2" s="1383" t="s">
        <v>804</v>
      </c>
      <c r="D2" s="1383"/>
      <c r="E2" s="1384"/>
      <c r="F2" s="1385"/>
      <c r="G2" s="2702"/>
      <c r="H2" s="2691"/>
      <c r="I2" s="2691"/>
      <c r="J2" s="2691"/>
      <c r="K2" s="2692"/>
      <c r="L2" s="2691"/>
      <c r="M2" s="2691"/>
    </row>
    <row r="3" spans="1:37" ht="18" customHeight="1" thickBot="1">
      <c r="A3" s="1386" t="s">
        <v>805</v>
      </c>
      <c r="B3" s="1387">
        <f ca="1">IF(ISERROR(B2*10000/F43),0,ROUND(B2*10000/F43,0))</f>
        <v>24484</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2600</v>
      </c>
      <c r="D5" s="1360" t="s">
        <v>692</v>
      </c>
      <c r="E5" s="1067"/>
      <c r="F5" s="1068"/>
      <c r="G5" s="1380"/>
      <c r="H5" s="299">
        <v>1</v>
      </c>
      <c r="I5" s="300" t="s">
        <v>691</v>
      </c>
      <c r="J5" s="1066">
        <f ca="1">J6+J10+J12</f>
        <v>0</v>
      </c>
      <c r="K5" s="1360" t="s">
        <v>692</v>
      </c>
      <c r="L5" s="1067"/>
      <c r="M5" s="1068"/>
    </row>
    <row r="6" spans="1:37" ht="18" customHeight="1">
      <c r="A6" s="1065" t="s">
        <v>397</v>
      </c>
      <c r="B6" s="3697" t="s">
        <v>693</v>
      </c>
      <c r="C6" s="1070">
        <f ca="1">ROUND(F6*F8*F7*(1-F9)/10000,0)</f>
        <v>2597</v>
      </c>
      <c r="D6" s="155" t="s">
        <v>2104</v>
      </c>
      <c r="E6" s="302" t="s">
        <v>695</v>
      </c>
      <c r="F6" s="303">
        <f ca="1">INDIRECT("'数据-取费表'!u"&amp;$G$1)</f>
        <v>4.5</v>
      </c>
      <c r="G6" s="1380"/>
      <c r="H6" s="1065" t="s">
        <v>397</v>
      </c>
      <c r="I6" s="3697" t="s">
        <v>693</v>
      </c>
      <c r="J6" s="301">
        <f ca="1">ROUND(M6*M8*M7*(1-M9)/10000,0)</f>
        <v>0</v>
      </c>
      <c r="K6" s="155" t="s">
        <v>2103</v>
      </c>
      <c r="L6" s="302" t="s">
        <v>695</v>
      </c>
      <c r="M6" s="303">
        <f ca="1">INDIRECT("'数据-取费表'!z"&amp;$G$1)</f>
        <v>0</v>
      </c>
    </row>
    <row r="7" spans="1:37" ht="18" customHeight="1">
      <c r="A7" s="1069"/>
      <c r="B7" s="3698"/>
      <c r="C7" s="1071"/>
      <c r="D7" s="307"/>
      <c r="E7" s="1072" t="s">
        <v>696</v>
      </c>
      <c r="F7" s="303">
        <f ca="1">IF(INDIRECT("'数据-取费表'!ah"&amp;$G$1)="",INDIRECT("'数据-取费表'!k"&amp;$G$1),INDIRECT("'数据-取费表'!ah"&amp;$G$1))</f>
        <v>17564.759999999998</v>
      </c>
      <c r="G7" s="1380"/>
      <c r="H7" s="304"/>
      <c r="I7" s="3698"/>
      <c r="J7" s="306"/>
      <c r="K7" s="307"/>
      <c r="L7" s="302" t="s">
        <v>696</v>
      </c>
      <c r="M7" s="303">
        <f ca="1">F7</f>
        <v>17564.759999999998</v>
      </c>
    </row>
    <row r="8" spans="1:37" ht="18" customHeight="1">
      <c r="A8" s="304"/>
      <c r="B8" s="3698"/>
      <c r="C8" s="306"/>
      <c r="D8" s="307"/>
      <c r="E8" s="302" t="s">
        <v>697</v>
      </c>
      <c r="F8" s="303">
        <f ca="1">INDIRECT("'数据-取费表'!ai"&amp;$G$1)</f>
        <v>365</v>
      </c>
      <c r="G8" s="1380"/>
      <c r="H8" s="304"/>
      <c r="I8" s="3698"/>
      <c r="J8" s="306"/>
      <c r="K8" s="307"/>
      <c r="L8" s="302" t="s">
        <v>697</v>
      </c>
      <c r="M8" s="303">
        <f ca="1">INDIRECT("'数据-取费表'!ai"&amp;$G$1)</f>
        <v>365</v>
      </c>
    </row>
    <row r="9" spans="1:37" ht="18" customHeight="1">
      <c r="A9" s="304"/>
      <c r="B9" s="3699"/>
      <c r="C9" s="306"/>
      <c r="D9" s="307"/>
      <c r="E9" s="302" t="s">
        <v>698</v>
      </c>
      <c r="F9" s="312">
        <f ca="1">INDIRECT("'数据-取费表'!w"&amp;$G$1)</f>
        <v>0.1</v>
      </c>
      <c r="G9" s="1380"/>
      <c r="H9" s="304"/>
      <c r="I9" s="3699"/>
      <c r="J9" s="306"/>
      <c r="K9" s="307"/>
      <c r="L9" s="313" t="s">
        <v>698</v>
      </c>
      <c r="M9" s="314">
        <f ca="1">INDIRECT("'数据-取费表'!ab"&amp;$G$1)</f>
        <v>0</v>
      </c>
    </row>
    <row r="10" spans="1:37" ht="18" customHeight="1">
      <c r="A10" s="1065" t="s">
        <v>401</v>
      </c>
      <c r="B10" s="1361" t="s">
        <v>699</v>
      </c>
      <c r="C10" s="316">
        <f ca="1">ROUND(IF(F10="押一",C6/12*F11,IF(F10="押二",C6/12*2*F11,IF(F10="押三",C6/12*3*F11,C11*F11))),0)</f>
        <v>3</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13599</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14315</v>
      </c>
      <c r="K14" s="12"/>
      <c r="L14" s="803"/>
      <c r="M14" s="804"/>
    </row>
    <row r="15" spans="1:37" s="1393" customFormat="1" ht="18" customHeight="1" thickBot="1">
      <c r="A15" s="978" t="s">
        <v>398</v>
      </c>
      <c r="B15" s="302" t="s">
        <v>709</v>
      </c>
      <c r="C15" s="21">
        <f ca="1">ROUND(C14*F15,0)</f>
        <v>288</v>
      </c>
      <c r="D15" s="320" t="s">
        <v>710</v>
      </c>
      <c r="E15" s="320"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79</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10481</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210</v>
      </c>
      <c r="D20" s="323" t="s">
        <v>728</v>
      </c>
      <c r="E20" s="302" t="s">
        <v>711</v>
      </c>
      <c r="F20" s="322">
        <f>'数据-取费表'!B37</f>
        <v>0.02</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71.58</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369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-79</v>
      </c>
      <c r="K25" s="1091" t="s">
        <v>752</v>
      </c>
      <c r="L25" s="1092"/>
      <c r="M25" s="1093"/>
    </row>
    <row r="26" spans="1:37">
      <c r="A26" s="978" t="s">
        <v>396</v>
      </c>
      <c r="B26" s="302" t="s">
        <v>753</v>
      </c>
      <c r="C26" s="21">
        <f ca="1">ROUND((C19+C20)*F26,0)</f>
        <v>2138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14315</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547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442.42</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138.51</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296.8</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71.58</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20.399999999999999</v>
      </c>
      <c r="D37" s="1340"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ROUND(C5*F38,2)</f>
        <v>13</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2053</v>
      </c>
      <c r="D39" s="1091" t="s">
        <v>772</v>
      </c>
      <c r="E39" s="1092"/>
      <c r="F39" s="1093"/>
      <c r="G39" s="1380"/>
      <c r="H39" s="2696"/>
      <c r="I39" s="1394"/>
      <c r="J39" s="1395"/>
      <c r="K39" s="2700"/>
      <c r="L39" s="2696"/>
      <c r="M39" s="2696"/>
    </row>
    <row r="40" spans="1:18" ht="18" customHeight="1">
      <c r="A40" s="299" t="s">
        <v>394</v>
      </c>
      <c r="B40" s="300" t="s">
        <v>773</v>
      </c>
      <c r="C40" s="301">
        <f ca="1">ROUND(C39*(1-((1+F42)/(1+F40))^F41)/(F40-F42),0)</f>
        <v>42503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24198</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-44006</v>
      </c>
      <c r="D46" s="1402" t="str">
        <f>C2</f>
        <v>万元</v>
      </c>
      <c r="E46" s="1396"/>
      <c r="F46" s="1396"/>
      <c r="I46" s="1403" t="s">
        <v>809</v>
      </c>
      <c r="J46" s="1404"/>
      <c r="K46" s="1405"/>
      <c r="L46" s="1406">
        <f ca="1">IF(M47="住宅",0,IF(L48&gt;J51,L60,J60))</f>
        <v>503</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42503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503</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14315</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20657</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33.64</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33.64</v>
      </c>
      <c r="K53" s="3700" t="s">
        <v>836</v>
      </c>
      <c r="L53" s="3701"/>
      <c r="O53" s="1414" t="s">
        <v>408</v>
      </c>
      <c r="P53" s="1415" t="s">
        <v>837</v>
      </c>
      <c r="Q53" s="1416">
        <f ca="1">Q47+Q48</f>
        <v>43006</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25.5" thickTop="1" thickBot="1">
      <c r="A56" s="953">
        <v>2</v>
      </c>
      <c r="B56" s="954" t="s">
        <v>703</v>
      </c>
      <c r="C56" s="232">
        <f ca="1">C13</f>
        <v>13599</v>
      </c>
      <c r="D56" s="1443"/>
      <c r="E56" s="1444"/>
      <c r="F56" s="1436"/>
      <c r="I56" s="1445" t="s">
        <v>841</v>
      </c>
      <c r="J56" s="1446" t="s">
        <v>3380</v>
      </c>
      <c r="K56" s="1417" t="s">
        <v>842</v>
      </c>
      <c r="L56" s="1420" t="str">
        <f ca="1">IF(L48&lt;J51,"——",L48-J53)</f>
        <v>——</v>
      </c>
      <c r="O56" s="1414" t="s">
        <v>402</v>
      </c>
      <c r="P56" s="1415" t="s">
        <v>816</v>
      </c>
      <c r="Q56" s="1416">
        <f ca="1">C40+J29</f>
        <v>42503</v>
      </c>
      <c r="R56" s="1416" t="s">
        <v>817</v>
      </c>
    </row>
    <row r="57" spans="1:18" s="1380" customFormat="1" ht="24.75" thickBot="1">
      <c r="A57" s="1447"/>
      <c r="B57" s="946" t="s">
        <v>766</v>
      </c>
      <c r="C57" s="238">
        <f ca="1">C29</f>
        <v>14315</v>
      </c>
      <c r="D57" s="1448"/>
      <c r="E57" s="1449"/>
      <c r="F57" s="1450"/>
      <c r="I57" s="1451" t="s">
        <v>843</v>
      </c>
      <c r="J57" s="1452">
        <f ca="1">IF(OR(M47="住宅",J51&lt;L48,J56="是"),"——",J51-L48)</f>
        <v>23.36</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99</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5726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503</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42503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71.58</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20.399999999999999</v>
      </c>
      <c r="D65" s="960" t="s">
        <v>742</v>
      </c>
      <c r="E65" s="946" t="s">
        <v>743</v>
      </c>
      <c r="F65" s="330">
        <f t="shared" ca="1" si="0"/>
        <v>1.5E-3</v>
      </c>
      <c r="I65" s="1458" t="s">
        <v>866</v>
      </c>
      <c r="J65" s="1459">
        <v>40</v>
      </c>
      <c r="K65" s="1459">
        <v>30</v>
      </c>
      <c r="L65" s="1459">
        <v>50</v>
      </c>
      <c r="M65" s="1461">
        <v>0.02</v>
      </c>
      <c r="O65" s="1414" t="s">
        <v>402</v>
      </c>
      <c r="P65" s="1415" t="s">
        <v>867</v>
      </c>
      <c r="Q65" s="1416">
        <f ca="1">C40+J29</f>
        <v>42503</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-99</v>
      </c>
      <c r="D67" s="959" t="s">
        <v>752</v>
      </c>
      <c r="E67" s="964"/>
      <c r="F67" s="965"/>
      <c r="O67" s="1424" t="s">
        <v>404</v>
      </c>
      <c r="P67" s="1415" t="s">
        <v>849</v>
      </c>
      <c r="Q67" s="1462">
        <f ca="1">L51</f>
        <v>20657</v>
      </c>
      <c r="R67" s="1416" t="s">
        <v>869</v>
      </c>
    </row>
    <row r="68" spans="1:18" s="1380" customFormat="1" ht="16.5" thickBot="1">
      <c r="A68" s="943" t="s">
        <v>394</v>
      </c>
      <c r="B68" s="944" t="s">
        <v>773</v>
      </c>
      <c r="C68" s="301">
        <f ca="1">ROUND(C67*(1-((1+F70)/(1+F68))^F69)/(F68-F70),0)</f>
        <v>-1503</v>
      </c>
      <c r="D68" s="961" t="s">
        <v>757</v>
      </c>
      <c r="E68" s="946" t="s">
        <v>758</v>
      </c>
      <c r="F68" s="312">
        <f ca="1">F40</f>
        <v>5.5E-2</v>
      </c>
      <c r="O68" s="1424" t="s">
        <v>405</v>
      </c>
      <c r="P68" s="1463" t="s">
        <v>870</v>
      </c>
      <c r="Q68" s="1416">
        <f ca="1">ROUND(Q69-Q70*Q71,0)</f>
        <v>1101</v>
      </c>
      <c r="R68" s="1416" t="s">
        <v>413</v>
      </c>
    </row>
    <row r="69" spans="1:18" s="1380" customFormat="1" ht="13.5" thickBot="1">
      <c r="A69" s="947"/>
      <c r="B69" s="948"/>
      <c r="C69" s="306"/>
      <c r="D69" s="966" t="s">
        <v>761</v>
      </c>
      <c r="E69" s="946" t="s">
        <v>762</v>
      </c>
      <c r="F69" s="333">
        <f ca="1">F41</f>
        <v>33.64</v>
      </c>
      <c r="O69" s="1424" t="s">
        <v>410</v>
      </c>
      <c r="P69" s="1463" t="s">
        <v>871</v>
      </c>
      <c r="Q69" s="1416">
        <f ca="1">C39</f>
        <v>2053</v>
      </c>
      <c r="R69" s="1416" t="s">
        <v>817</v>
      </c>
    </row>
    <row r="70" spans="1:18" s="1380" customFormat="1" ht="13.5" thickBot="1">
      <c r="A70" s="950"/>
      <c r="B70" s="951"/>
      <c r="C70" s="310"/>
      <c r="D70" s="962"/>
      <c r="E70" s="946" t="s">
        <v>765</v>
      </c>
      <c r="F70" s="1050"/>
      <c r="O70" s="1424" t="s">
        <v>411</v>
      </c>
      <c r="P70" s="1463" t="s">
        <v>872</v>
      </c>
      <c r="Q70" s="1416">
        <f ca="1">C13</f>
        <v>13599</v>
      </c>
      <c r="R70" s="1416" t="s">
        <v>817</v>
      </c>
    </row>
    <row r="71" spans="1:18" s="1380" customFormat="1" ht="13.5" thickBot="1">
      <c r="A71" s="967" t="s">
        <v>395</v>
      </c>
      <c r="B71" s="968" t="s">
        <v>775</v>
      </c>
      <c r="C71" s="336">
        <f ca="1">ROUND(C68*10000/F71,0)</f>
        <v>-856</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952</v>
      </c>
      <c r="D75" s="1380"/>
      <c r="E75" s="1380"/>
      <c r="F75" s="1380"/>
      <c r="K75" s="1398"/>
      <c r="L75" s="1380"/>
      <c r="O75" s="1414" t="s">
        <v>408</v>
      </c>
      <c r="P75" s="1415" t="s">
        <v>837</v>
      </c>
      <c r="Q75" s="1416">
        <f ca="1">Q65+Q66</f>
        <v>42503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0.53600000000000003</v>
      </c>
    </row>
    <row r="80" spans="1:18">
      <c r="B80" s="340" t="s">
        <v>799</v>
      </c>
      <c r="C80" s="274">
        <f ca="1">ROUND(C75/C39,3)</f>
        <v>0.46400000000000002</v>
      </c>
    </row>
    <row r="81" spans="2:3">
      <c r="B81" s="270" t="s">
        <v>800</v>
      </c>
      <c r="C81" s="238"/>
    </row>
    <row r="82" spans="2:3">
      <c r="B82" s="273" t="s">
        <v>801</v>
      </c>
      <c r="C82" s="275">
        <f ca="1">1-C83</f>
        <v>0.67999999999999994</v>
      </c>
    </row>
    <row r="83" spans="2:3">
      <c r="B83" s="273" t="s">
        <v>802</v>
      </c>
      <c r="C83" s="274">
        <f ca="1">ROUND(C13/C40,3)</f>
        <v>0.32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21" t="s">
        <v>1767</v>
      </c>
      <c r="D4" s="3722"/>
      <c r="E4" s="3723" t="s">
        <v>1768</v>
      </c>
      <c r="F4" s="3724"/>
      <c r="G4" s="3721" t="s">
        <v>1769</v>
      </c>
      <c r="H4" s="3722"/>
      <c r="I4" s="3721" t="s">
        <v>1770</v>
      </c>
      <c r="J4" s="3722"/>
      <c r="K4" s="559" t="s">
        <v>1771</v>
      </c>
      <c r="L4" s="2711"/>
      <c r="M4" s="2712"/>
      <c r="N4" s="2712"/>
      <c r="O4" s="2712"/>
      <c r="P4" s="3725" t="s">
        <v>1772</v>
      </c>
      <c r="Q4" s="3726"/>
      <c r="R4" s="3731" t="s">
        <v>1768</v>
      </c>
      <c r="S4" s="3732"/>
      <c r="T4" s="3731" t="s">
        <v>1769</v>
      </c>
      <c r="U4" s="3732"/>
      <c r="V4" s="3716" t="s">
        <v>1770</v>
      </c>
      <c r="W4" s="3716"/>
      <c r="X4" s="1351"/>
      <c r="Y4" s="3731" t="s">
        <v>1772</v>
      </c>
      <c r="Z4" s="3732"/>
      <c r="AA4" s="3718" t="s">
        <v>1768</v>
      </c>
      <c r="AB4" s="3716" t="s">
        <v>1769</v>
      </c>
      <c r="AC4" s="3718" t="s">
        <v>1770</v>
      </c>
    </row>
    <row r="5" spans="1:29" ht="15">
      <c r="A5" s="358"/>
      <c r="B5" s="359"/>
      <c r="C5" s="3739" t="s">
        <v>1670</v>
      </c>
      <c r="D5" s="3740"/>
      <c r="E5" s="3746" t="s">
        <v>1671</v>
      </c>
      <c r="F5" s="3747"/>
      <c r="G5" s="3739" t="s">
        <v>1672</v>
      </c>
      <c r="H5" s="3740"/>
      <c r="I5" s="3739" t="s">
        <v>1673</v>
      </c>
      <c r="J5" s="3740"/>
      <c r="K5" s="559"/>
      <c r="L5" s="2711"/>
      <c r="M5" s="2712"/>
      <c r="N5" s="2712"/>
      <c r="O5" s="2712"/>
      <c r="P5" s="3727"/>
      <c r="Q5" s="3728"/>
      <c r="R5" s="3733"/>
      <c r="S5" s="3734"/>
      <c r="T5" s="3733"/>
      <c r="U5" s="3734"/>
      <c r="V5" s="3716"/>
      <c r="W5" s="3716"/>
      <c r="X5" s="1351"/>
      <c r="Y5" s="3733"/>
      <c r="Z5" s="3734"/>
      <c r="AA5" s="3719"/>
      <c r="AB5" s="3716"/>
      <c r="AC5" s="3719"/>
    </row>
    <row r="6" spans="1:29" ht="15.75" thickBot="1">
      <c r="A6" s="360"/>
      <c r="B6" s="361"/>
      <c r="C6" s="3737" t="s">
        <v>1674</v>
      </c>
      <c r="D6" s="3738"/>
      <c r="E6" s="3744" t="s">
        <v>1674</v>
      </c>
      <c r="F6" s="3745"/>
      <c r="G6" s="3737" t="s">
        <v>1674</v>
      </c>
      <c r="H6" s="3738"/>
      <c r="I6" s="3737" t="s">
        <v>1674</v>
      </c>
      <c r="J6" s="3738"/>
      <c r="K6" s="559" t="s">
        <v>1675</v>
      </c>
      <c r="L6" s="2711"/>
      <c r="M6" s="2712"/>
      <c r="N6" s="2712"/>
      <c r="O6" s="2712"/>
      <c r="P6" s="3729"/>
      <c r="Q6" s="3730"/>
      <c r="R6" s="3733"/>
      <c r="S6" s="3734"/>
      <c r="T6" s="3735"/>
      <c r="U6" s="3736"/>
      <c r="V6" s="3716"/>
      <c r="W6" s="3716"/>
      <c r="X6" s="1351"/>
      <c r="Y6" s="3735"/>
      <c r="Z6" s="3736"/>
      <c r="AA6" s="3720"/>
      <c r="AB6" s="3716"/>
      <c r="AC6" s="3720"/>
    </row>
    <row r="7" spans="1:29" s="108" customFormat="1" ht="15.75" thickBot="1">
      <c r="A7" s="362" t="s">
        <v>1676</v>
      </c>
      <c r="B7" s="363"/>
      <c r="C7" s="364">
        <f>'数据-取费表'!B2</f>
        <v>45457</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41" t="s">
        <v>1677</v>
      </c>
      <c r="Q7" s="3743"/>
      <c r="R7" s="700" t="s">
        <v>14</v>
      </c>
      <c r="S7" s="701">
        <f t="shared" ref="S7:S15" si="0">F7</f>
        <v>100</v>
      </c>
      <c r="T7" s="700" t="s">
        <v>14</v>
      </c>
      <c r="U7" s="701">
        <f t="shared" ref="U7:U15" si="1">H7</f>
        <v>100</v>
      </c>
      <c r="V7" s="700" t="s">
        <v>14</v>
      </c>
      <c r="W7" s="701">
        <f t="shared" ref="W7:W15" si="2">J7</f>
        <v>100</v>
      </c>
      <c r="X7" s="702"/>
      <c r="Y7" s="3741" t="s">
        <v>1677</v>
      </c>
      <c r="Z7" s="3742"/>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41" t="s">
        <v>1680</v>
      </c>
      <c r="Q8" s="3742"/>
      <c r="R8" s="700" t="s">
        <v>14</v>
      </c>
      <c r="S8" s="701">
        <f t="shared" si="0"/>
        <v>100</v>
      </c>
      <c r="T8" s="700" t="s">
        <v>14</v>
      </c>
      <c r="U8" s="701">
        <f t="shared" si="1"/>
        <v>100</v>
      </c>
      <c r="V8" s="700" t="s">
        <v>14</v>
      </c>
      <c r="W8" s="701">
        <f t="shared" si="2"/>
        <v>100</v>
      </c>
      <c r="X8" s="702"/>
      <c r="Y8" s="3741" t="s">
        <v>1680</v>
      </c>
      <c r="Z8" s="3742"/>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17" t="s">
        <v>1683</v>
      </c>
      <c r="Q9" s="1339" t="str">
        <f t="shared" ref="Q9:Q15" si="6">B9</f>
        <v>用途</v>
      </c>
      <c r="R9" s="700" t="s">
        <v>14</v>
      </c>
      <c r="S9" s="701">
        <f t="shared" si="0"/>
        <v>100</v>
      </c>
      <c r="T9" s="700" t="s">
        <v>14</v>
      </c>
      <c r="U9" s="701">
        <f t="shared" si="1"/>
        <v>100</v>
      </c>
      <c r="V9" s="700" t="s">
        <v>14</v>
      </c>
      <c r="W9" s="701">
        <f t="shared" si="2"/>
        <v>100</v>
      </c>
      <c r="X9" s="702"/>
      <c r="Y9" s="3599"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17"/>
      <c r="Q10" s="1339" t="str">
        <f t="shared" si="6"/>
        <v>土地使用年限（年）</v>
      </c>
      <c r="R10" s="700" t="s">
        <v>14</v>
      </c>
      <c r="S10" s="701">
        <f t="shared" si="0"/>
        <v>100</v>
      </c>
      <c r="T10" s="700" t="s">
        <v>14</v>
      </c>
      <c r="U10" s="701">
        <f t="shared" si="1"/>
        <v>100</v>
      </c>
      <c r="V10" s="700" t="s">
        <v>14</v>
      </c>
      <c r="W10" s="701">
        <f t="shared" si="2"/>
        <v>100</v>
      </c>
      <c r="X10" s="702"/>
      <c r="Y10" s="3599"/>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17"/>
      <c r="Q11" s="1339" t="str">
        <f t="shared" si="6"/>
        <v>容积率</v>
      </c>
      <c r="R11" s="700" t="s">
        <v>14</v>
      </c>
      <c r="S11" s="701">
        <f t="shared" si="0"/>
        <v>100</v>
      </c>
      <c r="T11" s="700" t="s">
        <v>14</v>
      </c>
      <c r="U11" s="701">
        <f t="shared" si="1"/>
        <v>100</v>
      </c>
      <c r="V11" s="700" t="s">
        <v>14</v>
      </c>
      <c r="W11" s="701">
        <f t="shared" si="2"/>
        <v>100</v>
      </c>
      <c r="X11" s="702"/>
      <c r="Y11" s="3599"/>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7"/>
      <c r="Q12" s="1339">
        <f t="shared" si="6"/>
        <v>111</v>
      </c>
      <c r="R12" s="700" t="s">
        <v>14</v>
      </c>
      <c r="S12" s="701">
        <f t="shared" si="0"/>
        <v>100</v>
      </c>
      <c r="T12" s="700" t="s">
        <v>14</v>
      </c>
      <c r="U12" s="701">
        <f t="shared" si="1"/>
        <v>100</v>
      </c>
      <c r="V12" s="700" t="s">
        <v>14</v>
      </c>
      <c r="W12" s="701">
        <f t="shared" si="2"/>
        <v>100</v>
      </c>
      <c r="X12" s="702"/>
      <c r="Y12" s="3599"/>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7"/>
      <c r="Q13" s="1339">
        <f t="shared" si="6"/>
        <v>111</v>
      </c>
      <c r="R13" s="700" t="s">
        <v>14</v>
      </c>
      <c r="S13" s="701">
        <f t="shared" si="0"/>
        <v>100</v>
      </c>
      <c r="T13" s="700" t="s">
        <v>14</v>
      </c>
      <c r="U13" s="701">
        <f t="shared" si="1"/>
        <v>100</v>
      </c>
      <c r="V13" s="700" t="s">
        <v>14</v>
      </c>
      <c r="W13" s="701">
        <f t="shared" si="2"/>
        <v>100</v>
      </c>
      <c r="X13" s="702"/>
      <c r="Y13" s="3599"/>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7"/>
      <c r="Q14" s="1339">
        <f t="shared" si="6"/>
        <v>111</v>
      </c>
      <c r="R14" s="700" t="s">
        <v>14</v>
      </c>
      <c r="S14" s="701">
        <f t="shared" si="0"/>
        <v>100</v>
      </c>
      <c r="T14" s="700" t="s">
        <v>14</v>
      </c>
      <c r="U14" s="701">
        <f t="shared" si="1"/>
        <v>100</v>
      </c>
      <c r="V14" s="700" t="s">
        <v>14</v>
      </c>
      <c r="W14" s="701">
        <f t="shared" si="2"/>
        <v>100</v>
      </c>
      <c r="X14" s="702"/>
      <c r="Y14" s="3599"/>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07" t="s">
        <v>1688</v>
      </c>
      <c r="Q15" s="1348" t="str">
        <f t="shared" si="6"/>
        <v>商业繁华度</v>
      </c>
      <c r="R15" s="704" t="s">
        <v>14</v>
      </c>
      <c r="S15" s="705">
        <f t="shared" si="0"/>
        <v>100</v>
      </c>
      <c r="T15" s="704" t="s">
        <v>14</v>
      </c>
      <c r="U15" s="705">
        <f t="shared" si="1"/>
        <v>100</v>
      </c>
      <c r="V15" s="704" t="s">
        <v>14</v>
      </c>
      <c r="W15" s="705">
        <f t="shared" si="2"/>
        <v>100</v>
      </c>
      <c r="X15" s="1351"/>
      <c r="Y15" s="3709"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08"/>
      <c r="Q16" s="1348"/>
      <c r="R16" s="704"/>
      <c r="S16" s="705"/>
      <c r="T16" s="704"/>
      <c r="U16" s="705"/>
      <c r="V16" s="704"/>
      <c r="W16" s="705"/>
      <c r="X16" s="1351"/>
      <c r="Y16" s="3710"/>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08"/>
      <c r="Q17" s="1348" t="str">
        <f>B17</f>
        <v>交通便捷度</v>
      </c>
      <c r="R17" s="704" t="s">
        <v>14</v>
      </c>
      <c r="S17" s="705">
        <f>F17</f>
        <v>100</v>
      </c>
      <c r="T17" s="704" t="s">
        <v>14</v>
      </c>
      <c r="U17" s="705">
        <f>H17</f>
        <v>100</v>
      </c>
      <c r="V17" s="704" t="s">
        <v>14</v>
      </c>
      <c r="W17" s="705">
        <f>J17</f>
        <v>100</v>
      </c>
      <c r="X17" s="1351"/>
      <c r="Y17" s="3710"/>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08"/>
      <c r="Q18" s="1348"/>
      <c r="R18" s="704"/>
      <c r="S18" s="705"/>
      <c r="T18" s="704"/>
      <c r="U18" s="705"/>
      <c r="V18" s="704"/>
      <c r="W18" s="705"/>
      <c r="X18" s="1351"/>
      <c r="Y18" s="3710"/>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08"/>
      <c r="Q19" s="1348" t="str">
        <f>B19</f>
        <v>公共配套设施</v>
      </c>
      <c r="R19" s="704" t="s">
        <v>14</v>
      </c>
      <c r="S19" s="705">
        <f>F19</f>
        <v>100</v>
      </c>
      <c r="T19" s="704" t="s">
        <v>14</v>
      </c>
      <c r="U19" s="705">
        <f>H19</f>
        <v>100</v>
      </c>
      <c r="V19" s="704" t="s">
        <v>14</v>
      </c>
      <c r="W19" s="705">
        <f>J19</f>
        <v>100</v>
      </c>
      <c r="X19" s="1351"/>
      <c r="Y19" s="3710"/>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08"/>
      <c r="Q20" s="1348"/>
      <c r="R20" s="704"/>
      <c r="S20" s="705"/>
      <c r="T20" s="704"/>
      <c r="U20" s="705"/>
      <c r="V20" s="704"/>
      <c r="W20" s="705"/>
      <c r="X20" s="1351"/>
      <c r="Y20" s="3710"/>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08"/>
      <c r="Q21" s="1348" t="str">
        <f>B21</f>
        <v>基础设施水平</v>
      </c>
      <c r="R21" s="704" t="s">
        <v>14</v>
      </c>
      <c r="S21" s="705">
        <f>F21</f>
        <v>100</v>
      </c>
      <c r="T21" s="704" t="s">
        <v>14</v>
      </c>
      <c r="U21" s="705">
        <f>H21</f>
        <v>100</v>
      </c>
      <c r="V21" s="704" t="s">
        <v>14</v>
      </c>
      <c r="W21" s="705">
        <f>J21</f>
        <v>100</v>
      </c>
      <c r="X21" s="1351"/>
      <c r="Y21" s="3710"/>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08"/>
      <c r="Q22" s="1348"/>
      <c r="R22" s="704"/>
      <c r="S22" s="705"/>
      <c r="T22" s="704"/>
      <c r="U22" s="705"/>
      <c r="V22" s="704"/>
      <c r="W22" s="705"/>
      <c r="X22" s="1351"/>
      <c r="Y22" s="3710"/>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08"/>
      <c r="Q23" s="1348" t="str">
        <f>B23</f>
        <v>自然及人文环境</v>
      </c>
      <c r="R23" s="704" t="s">
        <v>14</v>
      </c>
      <c r="S23" s="705">
        <f>F23</f>
        <v>100</v>
      </c>
      <c r="T23" s="704" t="s">
        <v>14</v>
      </c>
      <c r="U23" s="705">
        <f>H23</f>
        <v>100</v>
      </c>
      <c r="V23" s="704" t="s">
        <v>14</v>
      </c>
      <c r="W23" s="705">
        <f>J23</f>
        <v>100</v>
      </c>
      <c r="X23" s="1351"/>
      <c r="Y23" s="3710"/>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08"/>
      <c r="Q24" s="1348"/>
      <c r="R24" s="704"/>
      <c r="S24" s="705"/>
      <c r="T24" s="704"/>
      <c r="U24" s="705"/>
      <c r="V24" s="704"/>
      <c r="W24" s="705"/>
      <c r="X24" s="1351"/>
      <c r="Y24" s="3710"/>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08"/>
      <c r="Q25" s="1348" t="str">
        <f t="shared" ref="Q25:Q46" si="11">B25</f>
        <v>临街状况</v>
      </c>
      <c r="R25" s="704" t="s">
        <v>14</v>
      </c>
      <c r="S25" s="705">
        <f>F25</f>
        <v>100</v>
      </c>
      <c r="T25" s="704" t="s">
        <v>14</v>
      </c>
      <c r="U25" s="705">
        <f>H25</f>
        <v>100</v>
      </c>
      <c r="V25" s="704" t="s">
        <v>14</v>
      </c>
      <c r="W25" s="705">
        <f>J25</f>
        <v>100</v>
      </c>
      <c r="X25" s="1351"/>
      <c r="Y25" s="3710"/>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8"/>
      <c r="Q26" s="1348" t="str">
        <f t="shared" si="11"/>
        <v>平面位置/可视性</v>
      </c>
      <c r="R26" s="704" t="s">
        <v>14</v>
      </c>
      <c r="S26" s="705">
        <f>F26</f>
        <v>100</v>
      </c>
      <c r="T26" s="704" t="s">
        <v>14</v>
      </c>
      <c r="U26" s="705">
        <f>H26</f>
        <v>100</v>
      </c>
      <c r="V26" s="704" t="s">
        <v>14</v>
      </c>
      <c r="W26" s="705">
        <f>J26</f>
        <v>100</v>
      </c>
      <c r="X26" s="1351"/>
      <c r="Y26" s="3710"/>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08"/>
      <c r="Q27" s="1339" t="str">
        <f t="shared" si="11"/>
        <v>人流量</v>
      </c>
      <c r="R27" s="700" t="s">
        <v>14</v>
      </c>
      <c r="S27" s="701">
        <f>F27</f>
        <v>100</v>
      </c>
      <c r="T27" s="700" t="s">
        <v>14</v>
      </c>
      <c r="U27" s="701">
        <f>H27</f>
        <v>100</v>
      </c>
      <c r="V27" s="700" t="s">
        <v>14</v>
      </c>
      <c r="W27" s="701">
        <f>J27</f>
        <v>100</v>
      </c>
      <c r="X27" s="702"/>
      <c r="Y27" s="3710"/>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08"/>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1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8"/>
      <c r="Q29" s="1348">
        <f t="shared" si="11"/>
        <v>111</v>
      </c>
      <c r="R29" s="704" t="s">
        <v>14</v>
      </c>
      <c r="S29" s="705">
        <f t="shared" si="12"/>
        <v>100</v>
      </c>
      <c r="T29" s="704" t="s">
        <v>14</v>
      </c>
      <c r="U29" s="705">
        <f t="shared" si="13"/>
        <v>100</v>
      </c>
      <c r="V29" s="704" t="s">
        <v>14</v>
      </c>
      <c r="W29" s="705">
        <f t="shared" si="14"/>
        <v>100</v>
      </c>
      <c r="X29" s="1351"/>
      <c r="Y29" s="371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8"/>
      <c r="Q30" s="1348">
        <f t="shared" si="11"/>
        <v>111</v>
      </c>
      <c r="R30" s="704" t="s">
        <v>14</v>
      </c>
      <c r="S30" s="705">
        <f t="shared" si="12"/>
        <v>100</v>
      </c>
      <c r="T30" s="704" t="s">
        <v>14</v>
      </c>
      <c r="U30" s="705">
        <f t="shared" si="13"/>
        <v>100</v>
      </c>
      <c r="V30" s="704" t="s">
        <v>14</v>
      </c>
      <c r="W30" s="705">
        <f t="shared" si="14"/>
        <v>100</v>
      </c>
      <c r="X30" s="1351"/>
      <c r="Y30" s="371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8"/>
      <c r="Q31" s="1348">
        <f t="shared" si="11"/>
        <v>111</v>
      </c>
      <c r="R31" s="704" t="s">
        <v>14</v>
      </c>
      <c r="S31" s="705">
        <f t="shared" si="12"/>
        <v>100</v>
      </c>
      <c r="T31" s="704" t="s">
        <v>14</v>
      </c>
      <c r="U31" s="705">
        <f t="shared" si="13"/>
        <v>100</v>
      </c>
      <c r="V31" s="704" t="s">
        <v>14</v>
      </c>
      <c r="W31" s="705">
        <f t="shared" si="14"/>
        <v>100</v>
      </c>
      <c r="X31" s="1351"/>
      <c r="Y31" s="3710"/>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11" t="s">
        <v>1693</v>
      </c>
      <c r="Q32" s="1348" t="str">
        <f t="shared" si="11"/>
        <v>商业类型</v>
      </c>
      <c r="R32" s="704" t="s">
        <v>14</v>
      </c>
      <c r="S32" s="705">
        <f t="shared" si="12"/>
        <v>100</v>
      </c>
      <c r="T32" s="704" t="s">
        <v>14</v>
      </c>
      <c r="U32" s="705">
        <f t="shared" si="13"/>
        <v>100</v>
      </c>
      <c r="V32" s="704" t="s">
        <v>14</v>
      </c>
      <c r="W32" s="705">
        <f t="shared" si="14"/>
        <v>100</v>
      </c>
      <c r="X32" s="1351"/>
      <c r="Y32" s="3714"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12"/>
      <c r="Q33" s="706" t="str">
        <f t="shared" si="11"/>
        <v>项目建筑规模</v>
      </c>
      <c r="R33" s="707" t="s">
        <v>14</v>
      </c>
      <c r="S33" s="708">
        <f t="shared" si="12"/>
        <v>103</v>
      </c>
      <c r="T33" s="707" t="s">
        <v>14</v>
      </c>
      <c r="U33" s="708">
        <f t="shared" si="13"/>
        <v>103</v>
      </c>
      <c r="V33" s="707" t="s">
        <v>14</v>
      </c>
      <c r="W33" s="708">
        <f t="shared" si="14"/>
        <v>104</v>
      </c>
      <c r="X33" s="709"/>
      <c r="Y33" s="3714"/>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12"/>
      <c r="Q34" s="1348" t="str">
        <f t="shared" si="11"/>
        <v>建筑结构</v>
      </c>
      <c r="R34" s="704" t="s">
        <v>14</v>
      </c>
      <c r="S34" s="705">
        <f t="shared" si="12"/>
        <v>100</v>
      </c>
      <c r="T34" s="704" t="s">
        <v>14</v>
      </c>
      <c r="U34" s="705">
        <f t="shared" si="13"/>
        <v>100</v>
      </c>
      <c r="V34" s="704" t="s">
        <v>14</v>
      </c>
      <c r="W34" s="705">
        <f t="shared" si="14"/>
        <v>100</v>
      </c>
      <c r="X34" s="1351"/>
      <c r="Y34" s="3714"/>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12"/>
      <c r="Q35" s="1348" t="str">
        <f t="shared" si="11"/>
        <v>公共部分装修</v>
      </c>
      <c r="R35" s="704" t="s">
        <v>14</v>
      </c>
      <c r="S35" s="705">
        <f t="shared" si="12"/>
        <v>100</v>
      </c>
      <c r="T35" s="704" t="s">
        <v>14</v>
      </c>
      <c r="U35" s="705">
        <f t="shared" si="13"/>
        <v>100</v>
      </c>
      <c r="V35" s="704" t="s">
        <v>14</v>
      </c>
      <c r="W35" s="705">
        <f t="shared" si="14"/>
        <v>100</v>
      </c>
      <c r="X35" s="1351"/>
      <c r="Y35" s="3714"/>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12"/>
      <c r="Q36" s="1348" t="str">
        <f t="shared" si="11"/>
        <v>成新度</v>
      </c>
      <c r="R36" s="704" t="s">
        <v>14</v>
      </c>
      <c r="S36" s="705">
        <f t="shared" si="12"/>
        <v>100</v>
      </c>
      <c r="T36" s="704" t="s">
        <v>14</v>
      </c>
      <c r="U36" s="705">
        <f t="shared" si="13"/>
        <v>100</v>
      </c>
      <c r="V36" s="704" t="s">
        <v>14</v>
      </c>
      <c r="W36" s="705">
        <f t="shared" si="14"/>
        <v>100</v>
      </c>
      <c r="X36" s="1351"/>
      <c r="Y36" s="3714"/>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12"/>
      <c r="Q37" s="1339" t="str">
        <f t="shared" si="11"/>
        <v>市政基础设施</v>
      </c>
      <c r="R37" s="700" t="s">
        <v>14</v>
      </c>
      <c r="S37" s="701">
        <f t="shared" si="12"/>
        <v>100</v>
      </c>
      <c r="T37" s="700" t="s">
        <v>14</v>
      </c>
      <c r="U37" s="701">
        <f t="shared" si="13"/>
        <v>100</v>
      </c>
      <c r="V37" s="700" t="s">
        <v>14</v>
      </c>
      <c r="W37" s="701">
        <f t="shared" si="14"/>
        <v>100</v>
      </c>
      <c r="X37" s="702"/>
      <c r="Y37" s="3714"/>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12" t="s">
        <v>1693</v>
      </c>
      <c r="Q38" s="1348" t="str">
        <f t="shared" si="11"/>
        <v>业态</v>
      </c>
      <c r="R38" s="704" t="s">
        <v>14</v>
      </c>
      <c r="S38" s="705">
        <f t="shared" si="12"/>
        <v>105</v>
      </c>
      <c r="T38" s="704" t="s">
        <v>14</v>
      </c>
      <c r="U38" s="705">
        <f t="shared" si="13"/>
        <v>100</v>
      </c>
      <c r="V38" s="704" t="s">
        <v>14</v>
      </c>
      <c r="W38" s="705">
        <f t="shared" si="14"/>
        <v>105</v>
      </c>
      <c r="X38" s="1351"/>
      <c r="Y38" s="3714"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12"/>
      <c r="Q39" s="1348" t="str">
        <f t="shared" si="11"/>
        <v>层高</v>
      </c>
      <c r="R39" s="704" t="s">
        <v>14</v>
      </c>
      <c r="S39" s="705">
        <f t="shared" si="12"/>
        <v>100</v>
      </c>
      <c r="T39" s="704" t="s">
        <v>14</v>
      </c>
      <c r="U39" s="705">
        <f t="shared" si="13"/>
        <v>100</v>
      </c>
      <c r="V39" s="704" t="s">
        <v>14</v>
      </c>
      <c r="W39" s="705">
        <f t="shared" si="14"/>
        <v>100</v>
      </c>
      <c r="X39" s="1351"/>
      <c r="Y39" s="3714"/>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12"/>
      <c r="Q40" s="1348" t="str">
        <f t="shared" si="11"/>
        <v>单套建筑面积</v>
      </c>
      <c r="R40" s="704" t="s">
        <v>14</v>
      </c>
      <c r="S40" s="705">
        <f t="shared" si="12"/>
        <v>100</v>
      </c>
      <c r="T40" s="704" t="s">
        <v>14</v>
      </c>
      <c r="U40" s="705">
        <f t="shared" si="13"/>
        <v>100</v>
      </c>
      <c r="V40" s="704" t="s">
        <v>14</v>
      </c>
      <c r="W40" s="705">
        <f t="shared" si="14"/>
        <v>100</v>
      </c>
      <c r="X40" s="1351"/>
      <c r="Y40" s="3714"/>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2"/>
      <c r="Q41" s="706" t="str">
        <f t="shared" si="11"/>
        <v>进深比</v>
      </c>
      <c r="R41" s="707" t="s">
        <v>14</v>
      </c>
      <c r="S41" s="708">
        <f t="shared" si="12"/>
        <v>100</v>
      </c>
      <c r="T41" s="707" t="s">
        <v>14</v>
      </c>
      <c r="U41" s="708">
        <f t="shared" si="13"/>
        <v>100</v>
      </c>
      <c r="V41" s="707" t="s">
        <v>14</v>
      </c>
      <c r="W41" s="708">
        <f t="shared" si="14"/>
        <v>100</v>
      </c>
      <c r="X41" s="709"/>
      <c r="Y41" s="3714"/>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12"/>
      <c r="Q42" s="1348" t="str">
        <f t="shared" si="11"/>
        <v>内部装修</v>
      </c>
      <c r="R42" s="704" t="s">
        <v>14</v>
      </c>
      <c r="S42" s="705">
        <f t="shared" si="12"/>
        <v>100</v>
      </c>
      <c r="T42" s="704" t="s">
        <v>14</v>
      </c>
      <c r="U42" s="705">
        <f t="shared" si="13"/>
        <v>100</v>
      </c>
      <c r="V42" s="704" t="s">
        <v>14</v>
      </c>
      <c r="W42" s="705">
        <f t="shared" si="14"/>
        <v>100</v>
      </c>
      <c r="X42" s="1351"/>
      <c r="Y42" s="3714"/>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12"/>
      <c r="Q43" s="1348" t="str">
        <f t="shared" si="11"/>
        <v>内部装修维护情况</v>
      </c>
      <c r="R43" s="704" t="s">
        <v>14</v>
      </c>
      <c r="S43" s="705">
        <f t="shared" si="12"/>
        <v>100</v>
      </c>
      <c r="T43" s="704" t="s">
        <v>14</v>
      </c>
      <c r="U43" s="705">
        <f t="shared" si="13"/>
        <v>100</v>
      </c>
      <c r="V43" s="704" t="s">
        <v>14</v>
      </c>
      <c r="W43" s="705">
        <f t="shared" si="14"/>
        <v>100</v>
      </c>
      <c r="X43" s="1351"/>
      <c r="Y43" s="371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2"/>
      <c r="Q44" s="1339">
        <f t="shared" si="11"/>
        <v>111</v>
      </c>
      <c r="R44" s="700" t="s">
        <v>14</v>
      </c>
      <c r="S44" s="701">
        <f t="shared" si="12"/>
        <v>100</v>
      </c>
      <c r="T44" s="700" t="s">
        <v>14</v>
      </c>
      <c r="U44" s="701">
        <f t="shared" si="13"/>
        <v>100</v>
      </c>
      <c r="V44" s="700" t="s">
        <v>14</v>
      </c>
      <c r="W44" s="701">
        <f t="shared" si="14"/>
        <v>100</v>
      </c>
      <c r="X44" s="702"/>
      <c r="Y44" s="3714"/>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2"/>
      <c r="Q45" s="1348">
        <f t="shared" si="11"/>
        <v>111</v>
      </c>
      <c r="R45" s="704" t="s">
        <v>14</v>
      </c>
      <c r="S45" s="705">
        <f t="shared" si="12"/>
        <v>100</v>
      </c>
      <c r="T45" s="704" t="s">
        <v>14</v>
      </c>
      <c r="U45" s="705">
        <f t="shared" si="13"/>
        <v>100</v>
      </c>
      <c r="V45" s="704" t="s">
        <v>14</v>
      </c>
      <c r="W45" s="705">
        <f t="shared" si="14"/>
        <v>100</v>
      </c>
      <c r="X45" s="1351"/>
      <c r="Y45" s="371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3"/>
      <c r="Q46" s="1348">
        <f t="shared" si="11"/>
        <v>111</v>
      </c>
      <c r="R46" s="704" t="s">
        <v>14</v>
      </c>
      <c r="S46" s="705">
        <f t="shared" si="12"/>
        <v>100</v>
      </c>
      <c r="T46" s="704" t="s">
        <v>14</v>
      </c>
      <c r="U46" s="705">
        <f t="shared" si="13"/>
        <v>100</v>
      </c>
      <c r="V46" s="704" t="s">
        <v>14</v>
      </c>
      <c r="W46" s="705">
        <f t="shared" si="14"/>
        <v>100</v>
      </c>
      <c r="X46" s="1351"/>
      <c r="Y46" s="3715"/>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02" t="str">
        <f>A47</f>
        <v>成交单价（元/平方米）</v>
      </c>
      <c r="Q47" s="3702"/>
      <c r="R47" s="3716">
        <f>E47</f>
        <v>48625</v>
      </c>
      <c r="S47" s="3716"/>
      <c r="T47" s="3716">
        <f>G47</f>
        <v>51160</v>
      </c>
      <c r="U47" s="3716"/>
      <c r="V47" s="3716">
        <f>I47</f>
        <v>56603</v>
      </c>
      <c r="W47" s="3716"/>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02" t="str">
        <f>A48</f>
        <v>比较价值（元/平方米）</v>
      </c>
      <c r="Q48" s="3702"/>
      <c r="R48" s="3703">
        <f>IF(F1="售价",ROUND(PRODUCT(R47,AA7:AA46),0),ROUND(PRODUCT(R47,AA7:AA46),1))</f>
        <v>44961</v>
      </c>
      <c r="S48" s="3703"/>
      <c r="T48" s="3703">
        <f>IF(F1="售价",ROUND(PRODUCT(T47,AB7:AB46),0),ROUND(PRODUCT(T47,AB7:AB46),1))</f>
        <v>49670</v>
      </c>
      <c r="U48" s="3703"/>
      <c r="V48" s="3703">
        <f>IF(F1="售价",ROUND(PRODUCT(V47,AC7:AC46),0),ROUND(PRODUCT(V47,AC7:AC46),1))</f>
        <v>51834</v>
      </c>
      <c r="W48" s="3703"/>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04" t="str">
        <f>A49</f>
        <v>估价对象XX用房的比较价值（楼面单价，元/平方米）</v>
      </c>
      <c r="Q49" s="3705"/>
      <c r="R49" s="3706">
        <f>IF(F1="售价",ROUND(IF(D48="简单平均",AVERAGE(R48:V48),R48*F48+T48*H48+V48*J48),0),ROUND(IF(D48="简单平均",AVERAGE(R48:V48),R48*F48+T48*H48+V48*J48),1))</f>
        <v>48822</v>
      </c>
      <c r="S49" s="3706"/>
      <c r="T49" s="3706"/>
      <c r="U49" s="3706"/>
      <c r="V49" s="3706"/>
      <c r="W49" s="370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97635.155700000003</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19419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471639189</v>
      </c>
      <c r="D5" s="211" t="s">
        <v>1466</v>
      </c>
      <c r="E5" s="212" t="s">
        <v>1467</v>
      </c>
      <c r="F5" s="212" t="s">
        <v>1468</v>
      </c>
      <c r="G5" s="213"/>
    </row>
    <row r="6" spans="1:8" s="214" customFormat="1" ht="13.5" customHeight="1">
      <c r="A6" s="774" t="s">
        <v>1469</v>
      </c>
      <c r="B6" s="215" t="s">
        <v>1470</v>
      </c>
      <c r="C6" s="216">
        <f>ROUND('基准地价修正-办公'!C33*'基准地价修正-办公'!D33,0)</f>
        <v>447921950</v>
      </c>
      <c r="D6" s="217"/>
      <c r="E6" s="218"/>
      <c r="F6" s="218"/>
      <c r="G6" s="219"/>
    </row>
    <row r="7" spans="1:8" s="214" customFormat="1" ht="13.5" customHeight="1">
      <c r="A7" s="774" t="s">
        <v>1471</v>
      </c>
      <c r="B7" s="215" t="s">
        <v>1472</v>
      </c>
      <c r="C7" s="220">
        <f>ROUND(C6*F7,0)</f>
        <v>13661619</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9432784</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33429904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33104473</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325431</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72160796</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72160796</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635604196</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274015645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7541715</v>
      </c>
      <c r="D35" s="220"/>
      <c r="E35" s="220"/>
      <c r="F35" s="259">
        <f>'数据-取费表'!B33</f>
        <v>0.03</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5480313</v>
      </c>
      <c r="D39" s="232"/>
      <c r="E39" s="232"/>
      <c r="F39" s="233">
        <f>F20</f>
        <v>0.02</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9642611</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9453540</v>
      </c>
      <c r="D42" s="238"/>
      <c r="E42" s="238"/>
      <c r="F42" s="239"/>
      <c r="G42" s="3692" t="s">
        <v>1588</v>
      </c>
    </row>
    <row r="43" spans="1:7" ht="13.5" customHeight="1">
      <c r="A43" s="776" t="s">
        <v>346</v>
      </c>
      <c r="B43" s="215" t="s">
        <v>1542</v>
      </c>
      <c r="C43" s="238">
        <f ca="1">ROUND(IF('数据-取费表'!B22&lt;=1,C39*F22*'数据-取费表'!B20/2,C39*(POWER((1+F22),'数据-取费表'!B20/2)-1)),0)</f>
        <v>189071</v>
      </c>
      <c r="D43" s="238"/>
      <c r="E43" s="238"/>
      <c r="F43" s="239"/>
      <c r="G43" s="3693"/>
    </row>
    <row r="44" spans="1:7" ht="13.5" customHeight="1">
      <c r="A44" s="776" t="s">
        <v>347</v>
      </c>
      <c r="B44" s="215" t="s">
        <v>1543</v>
      </c>
      <c r="C44" s="238">
        <f ca="1">ROUND(IF('数据-取费表'!B22&lt;=1,C40*F22*'数据-取费表'!B20/2,C40*(POWER((1+F22),'数据-取费表'!B20/2)-1)),4)</f>
        <v>6.9999999999999999E-4</v>
      </c>
      <c r="D44" s="238"/>
      <c r="E44" s="238"/>
      <c r="F44" s="239"/>
      <c r="G44" s="3694"/>
    </row>
    <row r="45" spans="1:7" s="214" customFormat="1" ht="13.5" customHeight="1">
      <c r="A45" s="255" t="s">
        <v>1544</v>
      </c>
      <c r="B45" s="244" t="s">
        <v>1510</v>
      </c>
      <c r="C45" s="245">
        <f ca="1">C46</f>
        <v>41924394</v>
      </c>
      <c r="D45" s="235">
        <f ca="1">C47</f>
        <v>3.0000000000000001E-3</v>
      </c>
      <c r="E45" s="236" t="s">
        <v>1536</v>
      </c>
      <c r="F45" s="246">
        <f ca="1">F27</f>
        <v>0.15</v>
      </c>
      <c r="G45" s="247" t="s">
        <v>1545</v>
      </c>
    </row>
    <row r="46" spans="1:7" s="214" customFormat="1" ht="13.5" customHeight="1">
      <c r="A46" s="776" t="s">
        <v>345</v>
      </c>
      <c r="B46" s="248" t="s">
        <v>1546</v>
      </c>
      <c r="C46" s="249">
        <f ca="1">ROUND((C33+C39)*F27,0)</f>
        <v>41924394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358681433</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340747361</v>
      </c>
      <c r="D51" s="232"/>
      <c r="E51" s="232"/>
      <c r="F51" s="264"/>
      <c r="G51" s="234" t="s">
        <v>1557</v>
      </c>
    </row>
    <row r="52" spans="1:7" s="208" customFormat="1" ht="16.5" thickBot="1">
      <c r="A52" s="265" t="s">
        <v>1558</v>
      </c>
      <c r="B52" s="266"/>
      <c r="C52" s="267">
        <f ca="1">C31+C51</f>
        <v>976351557</v>
      </c>
      <c r="D52" s="266"/>
      <c r="E52" s="266"/>
      <c r="F52" s="266"/>
      <c r="G52" s="268"/>
    </row>
    <row r="55" spans="1:7" ht="15">
      <c r="B55" s="270" t="s">
        <v>1559</v>
      </c>
      <c r="C55" s="271"/>
    </row>
    <row r="56" spans="1:7">
      <c r="B56" s="273" t="s">
        <v>801</v>
      </c>
      <c r="C56" s="275">
        <f ca="1">1-C57</f>
        <v>0.65100000000000002</v>
      </c>
    </row>
    <row r="57" spans="1:7">
      <c r="B57" s="273" t="s">
        <v>802</v>
      </c>
      <c r="C57" s="274">
        <f ca="1">ROUND(C51/C52,3)</f>
        <v>0.34899999999999998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42994.282500000001</v>
      </c>
      <c r="C2" s="1383" t="s">
        <v>878</v>
      </c>
      <c r="D2" s="1467">
        <f ca="1">C40+J29+L46</f>
        <v>429942825</v>
      </c>
      <c r="E2" s="1384" t="s">
        <v>879</v>
      </c>
      <c r="F2" s="1385"/>
      <c r="G2" s="2702"/>
      <c r="H2" s="2691"/>
      <c r="I2" s="2691"/>
      <c r="J2" s="2691"/>
      <c r="K2" s="2692"/>
      <c r="L2" s="2691"/>
      <c r="M2" s="2691"/>
    </row>
    <row r="3" spans="1:37" ht="18" customHeight="1" thickBot="1">
      <c r="A3" s="1386" t="s">
        <v>880</v>
      </c>
      <c r="B3" s="1387">
        <f ca="1">IF(ISERROR(D2/F43),0,ROUND(D2/F43,0))</f>
        <v>24478</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25997562</v>
      </c>
      <c r="D5" s="1360" t="s">
        <v>888</v>
      </c>
      <c r="E5" s="1067"/>
      <c r="F5" s="1068"/>
      <c r="G5" s="1380"/>
      <c r="H5" s="299">
        <v>1</v>
      </c>
      <c r="I5" s="300" t="s">
        <v>887</v>
      </c>
      <c r="J5" s="1066">
        <f ca="1">J6+J10+J12</f>
        <v>0</v>
      </c>
      <c r="K5" s="1360" t="s">
        <v>888</v>
      </c>
      <c r="L5" s="1067"/>
      <c r="M5" s="1068"/>
    </row>
    <row r="6" spans="1:37" ht="18" customHeight="1">
      <c r="A6" s="1065" t="s">
        <v>397</v>
      </c>
      <c r="B6" s="3697" t="s">
        <v>693</v>
      </c>
      <c r="C6" s="1070">
        <f ca="1">ROUND(F6*F8*F7*(1-F9),0)</f>
        <v>25965106</v>
      </c>
      <c r="D6" s="155" t="s">
        <v>2101</v>
      </c>
      <c r="E6" s="302" t="s">
        <v>695</v>
      </c>
      <c r="F6" s="303">
        <f ca="1">INDIRECT("'数据-取费表'!u"&amp;$G$1)</f>
        <v>4.5</v>
      </c>
      <c r="G6" s="1380"/>
      <c r="H6" s="1065" t="s">
        <v>397</v>
      </c>
      <c r="I6" s="3697" t="s">
        <v>693</v>
      </c>
      <c r="J6" s="301">
        <f ca="1">ROUND(M6*M8*M7*(1-M9),0)</f>
        <v>0</v>
      </c>
      <c r="K6" s="1372" t="s">
        <v>2102</v>
      </c>
      <c r="L6" s="302" t="s">
        <v>695</v>
      </c>
      <c r="M6" s="303">
        <f ca="1">INDIRECT("'数据-取费表'!z"&amp;$G$1)</f>
        <v>0</v>
      </c>
    </row>
    <row r="7" spans="1:37" ht="18" customHeight="1">
      <c r="A7" s="1069"/>
      <c r="B7" s="3698"/>
      <c r="C7" s="1071"/>
      <c r="D7" s="307"/>
      <c r="E7" s="1072" t="s">
        <v>696</v>
      </c>
      <c r="F7" s="303">
        <f ca="1">IF(INDIRECT("'数据-取费表'!ah"&amp;$G$1)="",INDIRECT("'数据-取费表'!k"&amp;$G$1),INDIRECT("'数据-取费表'!ah"&amp;$G$1))</f>
        <v>17564.759999999998</v>
      </c>
      <c r="G7" s="1380"/>
      <c r="H7" s="304"/>
      <c r="I7" s="3698"/>
      <c r="J7" s="306"/>
      <c r="K7" s="307"/>
      <c r="L7" s="302" t="s">
        <v>696</v>
      </c>
      <c r="M7" s="303">
        <f ca="1">F7</f>
        <v>17564.759999999998</v>
      </c>
    </row>
    <row r="8" spans="1:37" ht="18" customHeight="1">
      <c r="A8" s="304"/>
      <c r="B8" s="3698"/>
      <c r="C8" s="306"/>
      <c r="D8" s="307"/>
      <c r="E8" s="302" t="s">
        <v>697</v>
      </c>
      <c r="F8" s="303">
        <f ca="1">INDIRECT("'数据-取费表'!ai"&amp;$G$1)</f>
        <v>365</v>
      </c>
      <c r="G8" s="1380"/>
      <c r="H8" s="304"/>
      <c r="I8" s="3698"/>
      <c r="J8" s="306"/>
      <c r="K8" s="307"/>
      <c r="L8" s="302" t="s">
        <v>697</v>
      </c>
      <c r="M8" s="303">
        <f ca="1">INDIRECT("'数据-取费表'!ai"&amp;$G$1)</f>
        <v>365</v>
      </c>
    </row>
    <row r="9" spans="1:37" ht="18" customHeight="1">
      <c r="A9" s="304"/>
      <c r="B9" s="3699"/>
      <c r="C9" s="306"/>
      <c r="D9" s="307"/>
      <c r="E9" s="302" t="s">
        <v>698</v>
      </c>
      <c r="F9" s="312">
        <f ca="1">INDIRECT("'数据-取费表'!w"&amp;$G$1)</f>
        <v>0.1</v>
      </c>
      <c r="G9" s="1380"/>
      <c r="H9" s="304"/>
      <c r="I9" s="3699"/>
      <c r="J9" s="306"/>
      <c r="K9" s="307"/>
      <c r="L9" s="313" t="s">
        <v>698</v>
      </c>
      <c r="M9" s="314">
        <f ca="1">INDIRECT("'数据-取费表'!ab"&amp;$G$1)</f>
        <v>0</v>
      </c>
    </row>
    <row r="10" spans="1:37" ht="18" customHeight="1">
      <c r="A10" s="1065" t="s">
        <v>401</v>
      </c>
      <c r="B10" s="1361" t="s">
        <v>699</v>
      </c>
      <c r="C10" s="316">
        <f ca="1">ROUND(IF(F10="押一",C6/12*F11,IF(F10="押二",C6/12*2*F11,IF(F10="押三",C6/12*3*F11,C11*F11))),0)</f>
        <v>32456</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136001303</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143159266</v>
      </c>
      <c r="K14" s="12"/>
      <c r="L14" s="803"/>
      <c r="M14" s="804"/>
    </row>
    <row r="15" spans="1:37" s="1393" customFormat="1" ht="18" customHeight="1" thickBot="1">
      <c r="A15" s="978" t="s">
        <v>398</v>
      </c>
      <c r="B15" s="302" t="s">
        <v>709</v>
      </c>
      <c r="C15" s="21">
        <f ca="1">ROUND(C14*F15,0)</f>
        <v>2885054</v>
      </c>
      <c r="D15" s="320" t="s">
        <v>710</v>
      </c>
      <c r="E15" s="320"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786901</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104823611</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2096472</v>
      </c>
      <c r="D20" s="323" t="s">
        <v>728</v>
      </c>
      <c r="E20" s="302" t="s">
        <v>711</v>
      </c>
      <c r="F20" s="322">
        <f>'数据-取费表'!B37</f>
        <v>0.02</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715796</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3688743</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-786901</v>
      </c>
      <c r="K25" s="1091" t="s">
        <v>752</v>
      </c>
      <c r="L25" s="1092"/>
      <c r="M25" s="1093"/>
    </row>
    <row r="26" spans="1:37" ht="18" customHeight="1">
      <c r="A26" s="978" t="s">
        <v>396</v>
      </c>
      <c r="B26" s="302" t="s">
        <v>753</v>
      </c>
      <c r="C26" s="21">
        <f ca="1">ROUND((C19+C20)*F26,0)</f>
        <v>21384017</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143159266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5473138</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4423352</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1384806</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2967441</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715796</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204002</v>
      </c>
      <c r="D37" s="1340"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ROUND(C5*F38,0)</f>
        <v>129988</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20524424</v>
      </c>
      <c r="D39" s="1091" t="s">
        <v>772</v>
      </c>
      <c r="E39" s="1092"/>
      <c r="F39" s="1093"/>
      <c r="G39" s="1380"/>
      <c r="H39" s="2696"/>
      <c r="I39" s="1394"/>
      <c r="J39" s="1395"/>
      <c r="K39" s="2700"/>
      <c r="L39" s="2696"/>
      <c r="M39" s="2696"/>
    </row>
    <row r="40" spans="1:18" ht="18" customHeight="1">
      <c r="A40" s="299" t="s">
        <v>394</v>
      </c>
      <c r="B40" s="300" t="s">
        <v>773</v>
      </c>
      <c r="C40" s="301">
        <f ca="1">ROUND(C39*(1-((1+F42)/(1+F40))^F41)/(F40-F42),0)</f>
        <v>424915943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ROUND(C40/F43,0)</f>
        <v>24191</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-43995.7575</v>
      </c>
      <c r="D45" s="3427" t="s">
        <v>3350</v>
      </c>
      <c r="E45" s="1396"/>
      <c r="F45" s="1396"/>
      <c r="O45" s="1399" t="s">
        <v>807</v>
      </c>
      <c r="P45" s="1457"/>
      <c r="Q45" s="1457"/>
      <c r="R45" s="1457"/>
    </row>
    <row r="46" spans="1:18" s="1380" customFormat="1" ht="13.5" thickBot="1">
      <c r="A46" s="1400" t="s">
        <v>808</v>
      </c>
      <c r="C46" s="1401">
        <f ca="1">ROUND(C45,0)</f>
        <v>-43996</v>
      </c>
      <c r="D46" s="1402" t="str">
        <f>C2</f>
        <v>万元</v>
      </c>
      <c r="I46" s="1403" t="s">
        <v>809</v>
      </c>
      <c r="J46" s="1404"/>
      <c r="K46" s="1405"/>
      <c r="L46" s="1406">
        <f ca="1">IF(M47="住宅",0,IF(L48&gt;J51,L60,J60))</f>
        <v>5026882</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424915943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5026882</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143159266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206446992</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33.64</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33.64</v>
      </c>
      <c r="K53" s="3700" t="s">
        <v>836</v>
      </c>
      <c r="L53" s="3701"/>
      <c r="O53" s="1414" t="s">
        <v>408</v>
      </c>
      <c r="P53" s="1415" t="s">
        <v>837</v>
      </c>
      <c r="Q53" s="1416">
        <f ca="1">Q47+Q48</f>
        <v>429942825</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136001303</v>
      </c>
      <c r="D56" s="1443"/>
      <c r="E56" s="1444"/>
      <c r="F56" s="1436"/>
      <c r="I56" s="1445" t="s">
        <v>841</v>
      </c>
      <c r="J56" s="1446" t="s">
        <v>3380</v>
      </c>
      <c r="K56" s="1417" t="s">
        <v>842</v>
      </c>
      <c r="L56" s="1420" t="str">
        <f ca="1">IF(L48&lt;J51,"——",L48-J51)</f>
        <v>——</v>
      </c>
      <c r="O56" s="1414" t="s">
        <v>402</v>
      </c>
      <c r="P56" s="1415" t="s">
        <v>816</v>
      </c>
      <c r="Q56" s="1416">
        <f ca="1">C40+J29</f>
        <v>424915943</v>
      </c>
      <c r="R56" s="1416" t="s">
        <v>817</v>
      </c>
    </row>
    <row r="57" spans="1:18" s="1380" customFormat="1" ht="24.75" thickBot="1">
      <c r="A57" s="1447"/>
      <c r="B57" s="946" t="s">
        <v>766</v>
      </c>
      <c r="C57" s="238">
        <f ca="1">C29</f>
        <v>143159266</v>
      </c>
      <c r="D57" s="1448"/>
      <c r="E57" s="1449"/>
      <c r="F57" s="1450"/>
      <c r="I57" s="1451" t="s">
        <v>843</v>
      </c>
      <c r="J57" s="1452">
        <f ca="1">IF(OR(M47="住宅",J51&lt;L48,J56="是"),"——",J51-L48)</f>
        <v>23.36</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990903</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57263706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5026882</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424915943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715796</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204002</v>
      </c>
      <c r="D65" s="960" t="s">
        <v>742</v>
      </c>
      <c r="E65" s="946" t="s">
        <v>743</v>
      </c>
      <c r="F65" s="330">
        <f t="shared" ca="1" si="0"/>
        <v>1.5E-3</v>
      </c>
      <c r="I65" s="1458" t="s">
        <v>866</v>
      </c>
      <c r="J65" s="1459">
        <v>40</v>
      </c>
      <c r="K65" s="1459">
        <v>30</v>
      </c>
      <c r="L65" s="1459">
        <v>50</v>
      </c>
      <c r="M65" s="1461">
        <v>0.02</v>
      </c>
      <c r="O65" s="1414" t="s">
        <v>402</v>
      </c>
      <c r="P65" s="1415" t="s">
        <v>867</v>
      </c>
      <c r="Q65" s="1416">
        <f ca="1">C40+J29</f>
        <v>424915943</v>
      </c>
      <c r="R65" s="1416" t="s">
        <v>817</v>
      </c>
    </row>
    <row r="66" spans="1:18" s="1380" customFormat="1" ht="16.5" thickBot="1">
      <c r="A66" s="978" t="s">
        <v>792</v>
      </c>
      <c r="B66" s="946" t="s">
        <v>727</v>
      </c>
      <c r="C66" s="21">
        <f ca="1">ROUND(C48*F66,0)</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-990903</v>
      </c>
      <c r="D67" s="959" t="s">
        <v>752</v>
      </c>
      <c r="E67" s="964"/>
      <c r="F67" s="965"/>
      <c r="O67" s="1424" t="s">
        <v>404</v>
      </c>
      <c r="P67" s="1415" t="s">
        <v>849</v>
      </c>
      <c r="Q67" s="1462">
        <f ca="1">L51</f>
        <v>206446992</v>
      </c>
      <c r="R67" s="1416" t="s">
        <v>869</v>
      </c>
    </row>
    <row r="68" spans="1:18" s="1380" customFormat="1" ht="16.5" thickBot="1">
      <c r="A68" s="943" t="s">
        <v>394</v>
      </c>
      <c r="B68" s="944" t="s">
        <v>773</v>
      </c>
      <c r="C68" s="301">
        <f ca="1">ROUND(C67*(1-((1+F70)/(1+F68))^F69)/(F68-F70),0)</f>
        <v>-15041632</v>
      </c>
      <c r="D68" s="961" t="s">
        <v>757</v>
      </c>
      <c r="E68" s="946" t="s">
        <v>758</v>
      </c>
      <c r="F68" s="312">
        <f ca="1">F40</f>
        <v>5.5E-2</v>
      </c>
      <c r="O68" s="1424" t="s">
        <v>405</v>
      </c>
      <c r="P68" s="1463" t="s">
        <v>870</v>
      </c>
      <c r="Q68" s="1416">
        <f ca="1">ROUND(Q69-Q70*Q71,0)</f>
        <v>11004333</v>
      </c>
      <c r="R68" s="1416" t="s">
        <v>413</v>
      </c>
    </row>
    <row r="69" spans="1:18" s="1380" customFormat="1" ht="13.5" thickBot="1">
      <c r="A69" s="947"/>
      <c r="B69" s="948"/>
      <c r="C69" s="306"/>
      <c r="D69" s="966" t="s">
        <v>761</v>
      </c>
      <c r="E69" s="946" t="s">
        <v>762</v>
      </c>
      <c r="F69" s="333">
        <f ca="1">F41</f>
        <v>33.64</v>
      </c>
      <c r="O69" s="1424" t="s">
        <v>410</v>
      </c>
      <c r="P69" s="1463" t="s">
        <v>871</v>
      </c>
      <c r="Q69" s="1416">
        <f ca="1">C39</f>
        <v>20524424</v>
      </c>
      <c r="R69" s="1416" t="s">
        <v>817</v>
      </c>
    </row>
    <row r="70" spans="1:18" s="1380" customFormat="1" ht="13.5" thickBot="1">
      <c r="A70" s="950"/>
      <c r="B70" s="951"/>
      <c r="C70" s="310"/>
      <c r="D70" s="962"/>
      <c r="E70" s="946" t="s">
        <v>765</v>
      </c>
      <c r="F70" s="1050"/>
      <c r="O70" s="1424" t="s">
        <v>411</v>
      </c>
      <c r="P70" s="1463" t="s">
        <v>872</v>
      </c>
      <c r="Q70" s="1416">
        <f ca="1">C13</f>
        <v>136001303</v>
      </c>
      <c r="R70" s="1416" t="s">
        <v>817</v>
      </c>
    </row>
    <row r="71" spans="1:18" s="1380" customFormat="1" ht="13.5" thickBot="1">
      <c r="A71" s="967" t="s">
        <v>395</v>
      </c>
      <c r="B71" s="968" t="s">
        <v>775</v>
      </c>
      <c r="C71" s="336">
        <f ca="1">ROUND(C68/F71,0)</f>
        <v>-856</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9520091</v>
      </c>
      <c r="D75" s="1380"/>
      <c r="E75" s="1380"/>
      <c r="F75" s="1380"/>
      <c r="K75" s="1398"/>
      <c r="L75" s="1380"/>
      <c r="O75" s="1414" t="s">
        <v>408</v>
      </c>
      <c r="P75" s="1415" t="s">
        <v>837</v>
      </c>
      <c r="Q75" s="1416">
        <f ca="1">Q65+Q66</f>
        <v>424915943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0.53600000000000003</v>
      </c>
    </row>
    <row r="80" spans="1:18">
      <c r="B80" s="340" t="s">
        <v>799</v>
      </c>
      <c r="C80" s="274">
        <f ca="1">ROUND(C75/C39,3)</f>
        <v>0.46400000000000002</v>
      </c>
    </row>
    <row r="81" spans="2:3">
      <c r="B81" s="270" t="s">
        <v>800</v>
      </c>
      <c r="C81" s="238"/>
    </row>
    <row r="82" spans="2:3">
      <c r="B82" s="273" t="s">
        <v>801</v>
      </c>
      <c r="C82" s="275">
        <f ca="1">1-C83</f>
        <v>0.67999999999999994</v>
      </c>
    </row>
    <row r="83" spans="2:3">
      <c r="B83" s="273" t="s">
        <v>802</v>
      </c>
      <c r="C83" s="274">
        <f ca="1">ROUND(C13/C40,3)</f>
        <v>0.32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54" t="s">
        <v>2316</v>
      </c>
      <c r="K2" s="3755"/>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6" t="s">
        <v>2326</v>
      </c>
      <c r="K3" s="3757"/>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6" t="s">
        <v>2328</v>
      </c>
      <c r="K4" s="3757"/>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2" t="s">
        <v>2332</v>
      </c>
      <c r="B6" s="3763"/>
      <c r="C6" s="3764"/>
      <c r="D6" s="2866"/>
      <c r="E6" s="2867"/>
      <c r="F6" s="2868"/>
      <c r="G6" s="2869"/>
      <c r="H6" s="2844"/>
      <c r="I6" s="2845"/>
      <c r="J6" s="3748">
        <v>1</v>
      </c>
      <c r="K6" s="3749"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48"/>
      <c r="K7" s="3750"/>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5" t="s">
        <v>2346</v>
      </c>
      <c r="C8" s="3766"/>
      <c r="D8" s="2885" t="s">
        <v>2347</v>
      </c>
      <c r="E8" s="2886" t="s">
        <v>2348</v>
      </c>
      <c r="F8" s="2887" t="s">
        <v>2349</v>
      </c>
      <c r="G8" s="2888"/>
      <c r="H8" s="2844"/>
      <c r="I8" s="2845"/>
      <c r="J8" s="3748"/>
      <c r="K8" s="3750"/>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5" t="s">
        <v>2352</v>
      </c>
      <c r="C9" s="3766"/>
      <c r="D9" s="2885">
        <f>ROUND(D6*E9,0)</f>
        <v>0</v>
      </c>
      <c r="E9" s="2889"/>
      <c r="F9" s="2890" t="s">
        <v>2353</v>
      </c>
      <c r="G9" s="2869"/>
      <c r="H9" s="2844"/>
      <c r="I9" s="2845"/>
      <c r="J9" s="3748"/>
      <c r="K9" s="3750"/>
      <c r="L9" s="2879" t="s">
        <v>2354</v>
      </c>
      <c r="M9" s="2880"/>
      <c r="N9" s="2856"/>
      <c r="O9" s="2881"/>
      <c r="P9" s="2881"/>
      <c r="Q9" s="2882">
        <v>365</v>
      </c>
      <c r="R9" s="2883">
        <f t="shared" si="0"/>
        <v>0</v>
      </c>
      <c r="S9" s="2837"/>
      <c r="T9" s="2837"/>
      <c r="U9" s="2837"/>
      <c r="V9" s="2845"/>
    </row>
    <row r="10" spans="1:22" s="2849" customFormat="1" ht="13.15" customHeight="1">
      <c r="A10" s="2884">
        <v>2</v>
      </c>
      <c r="B10" s="3765" t="s">
        <v>2355</v>
      </c>
      <c r="C10" s="3766"/>
      <c r="D10" s="2885">
        <f>ROUND(D6*E10,0)</f>
        <v>0</v>
      </c>
      <c r="E10" s="2889"/>
      <c r="F10" s="2890" t="s">
        <v>2356</v>
      </c>
      <c r="G10" s="2869"/>
      <c r="H10" s="2844"/>
      <c r="I10" s="2845"/>
      <c r="J10" s="3748"/>
      <c r="K10" s="3750"/>
      <c r="L10" s="2879" t="s">
        <v>2357</v>
      </c>
      <c r="M10" s="2880"/>
      <c r="N10" s="2856"/>
      <c r="O10" s="2881"/>
      <c r="P10" s="2881"/>
      <c r="Q10" s="2882">
        <v>365</v>
      </c>
      <c r="R10" s="2883">
        <f t="shared" si="0"/>
        <v>0</v>
      </c>
      <c r="S10" s="2837"/>
      <c r="T10" s="2837"/>
      <c r="U10" s="2837"/>
      <c r="V10" s="2845"/>
    </row>
    <row r="11" spans="1:22" s="2849" customFormat="1" ht="13.15" customHeight="1">
      <c r="A11" s="2884">
        <v>3</v>
      </c>
      <c r="B11" s="3765" t="s">
        <v>2358</v>
      </c>
      <c r="C11" s="3766"/>
      <c r="D11" s="2885">
        <f>D12+D14+D15+D16</f>
        <v>0</v>
      </c>
      <c r="E11" s="2891" t="e">
        <f>D11/D6</f>
        <v>#DIV/0!</v>
      </c>
      <c r="F11" s="2887"/>
      <c r="G11" s="2888"/>
      <c r="H11" s="2844"/>
      <c r="I11" s="2845"/>
      <c r="J11" s="3748"/>
      <c r="K11" s="3750"/>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58" t="s">
        <v>2361</v>
      </c>
      <c r="C12" s="3759"/>
      <c r="D12" s="2893">
        <f>ROUND(D13*1.2%*(1-30%),0)</f>
        <v>0</v>
      </c>
      <c r="E12" s="2894">
        <v>1.2E-2</v>
      </c>
      <c r="F12" s="2887" t="s">
        <v>2362</v>
      </c>
      <c r="G12" s="2888"/>
      <c r="H12" s="2844"/>
      <c r="I12" s="2845"/>
      <c r="J12" s="3748"/>
      <c r="K12" s="3750"/>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48"/>
      <c r="K13" s="3750"/>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58" t="s">
        <v>2367</v>
      </c>
      <c r="C14" s="3759"/>
      <c r="D14" s="2893">
        <f>ROUND(E14*B5/10000,0)</f>
        <v>0</v>
      </c>
      <c r="E14" s="2882"/>
      <c r="F14" s="2887" t="s">
        <v>2368</v>
      </c>
      <c r="G14" s="2888"/>
      <c r="H14" s="2844"/>
      <c r="I14" s="2845"/>
      <c r="J14" s="3748"/>
      <c r="K14" s="3751"/>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58" t="s">
        <v>2371</v>
      </c>
      <c r="C15" s="3759"/>
      <c r="D15" s="2893">
        <f>ROUND(D6*E15,0)</f>
        <v>0</v>
      </c>
      <c r="E15" s="2894">
        <v>5.5E-2</v>
      </c>
      <c r="F15" s="2887" t="s">
        <v>2372</v>
      </c>
      <c r="G15" s="2869"/>
      <c r="H15" s="2844"/>
      <c r="I15" s="2845"/>
      <c r="J15" s="3748">
        <v>2</v>
      </c>
      <c r="K15" s="3749"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58" t="s">
        <v>2380</v>
      </c>
      <c r="C16" s="3759"/>
      <c r="D16" s="2904">
        <f>D6*E16</f>
        <v>0</v>
      </c>
      <c r="E16" s="2905"/>
      <c r="F16" s="2890" t="s">
        <v>2381</v>
      </c>
      <c r="G16" s="2869"/>
      <c r="H16" s="2844"/>
      <c r="I16" s="2845"/>
      <c r="J16" s="3748"/>
      <c r="K16" s="3750"/>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0" t="s">
        <v>2383</v>
      </c>
      <c r="C17" s="3761"/>
      <c r="D17" s="2907">
        <f>ROUND(D6*E17,0)</f>
        <v>0</v>
      </c>
      <c r="E17" s="2908"/>
      <c r="F17" s="2909" t="s">
        <v>2384</v>
      </c>
      <c r="G17" s="2869"/>
      <c r="H17" s="2844"/>
      <c r="I17" s="2845"/>
      <c r="J17" s="3748"/>
      <c r="K17" s="3750"/>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48"/>
      <c r="K18" s="3750"/>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48"/>
      <c r="K19" s="3751"/>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8">
        <v>3</v>
      </c>
      <c r="K20" s="3749"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48"/>
      <c r="K21" s="3750"/>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48"/>
      <c r="K22" s="3750"/>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48"/>
      <c r="K23" s="3750"/>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48"/>
      <c r="K24" s="3751"/>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52">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5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4" t="s">
        <v>2316</v>
      </c>
      <c r="K32" s="3755"/>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6" t="s">
        <v>2326</v>
      </c>
      <c r="K33" s="3757"/>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6" t="s">
        <v>2328</v>
      </c>
      <c r="K34" s="375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48">
        <v>1</v>
      </c>
      <c r="K36" s="3749"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48"/>
      <c r="K37" s="3750"/>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8"/>
      <c r="K38" s="3750"/>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48"/>
      <c r="K39" s="3750"/>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48"/>
      <c r="K40" s="3751"/>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2">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5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21" t="s">
        <v>1664</v>
      </c>
      <c r="D4" s="3722"/>
      <c r="E4" s="3723" t="s">
        <v>1665</v>
      </c>
      <c r="F4" s="3724"/>
      <c r="G4" s="3721" t="s">
        <v>1666</v>
      </c>
      <c r="H4" s="3722"/>
      <c r="I4" s="3721" t="s">
        <v>1667</v>
      </c>
      <c r="J4" s="3722"/>
      <c r="K4" s="1885" t="s">
        <v>1668</v>
      </c>
      <c r="L4" s="2711"/>
      <c r="M4" s="2712"/>
      <c r="N4" s="2712"/>
      <c r="O4" s="2712"/>
      <c r="P4" s="3725" t="s">
        <v>1669</v>
      </c>
      <c r="Q4" s="3726"/>
      <c r="R4" s="3731" t="s">
        <v>1665</v>
      </c>
      <c r="S4" s="3732"/>
      <c r="T4" s="3731" t="s">
        <v>1666</v>
      </c>
      <c r="U4" s="3732"/>
      <c r="V4" s="3716" t="s">
        <v>1667</v>
      </c>
      <c r="W4" s="3716"/>
      <c r="X4" s="1351"/>
      <c r="Y4" s="3731" t="s">
        <v>1669</v>
      </c>
      <c r="Z4" s="3732"/>
      <c r="AA4" s="3718" t="s">
        <v>1665</v>
      </c>
      <c r="AB4" s="3718" t="s">
        <v>1666</v>
      </c>
      <c r="AC4" s="3718" t="s">
        <v>1667</v>
      </c>
    </row>
    <row r="5" spans="1:29" ht="15">
      <c r="A5" s="358"/>
      <c r="B5" s="359"/>
      <c r="C5" s="3739" t="s">
        <v>1670</v>
      </c>
      <c r="D5" s="3740"/>
      <c r="E5" s="3746" t="s">
        <v>1671</v>
      </c>
      <c r="F5" s="3747"/>
      <c r="G5" s="3739" t="s">
        <v>1672</v>
      </c>
      <c r="H5" s="3740"/>
      <c r="I5" s="3739" t="s">
        <v>1673</v>
      </c>
      <c r="J5" s="3740"/>
      <c r="K5" s="1886"/>
      <c r="L5" s="2711"/>
      <c r="M5" s="2712"/>
      <c r="N5" s="2712"/>
      <c r="O5" s="2712"/>
      <c r="P5" s="3727"/>
      <c r="Q5" s="3728"/>
      <c r="R5" s="3733"/>
      <c r="S5" s="3734"/>
      <c r="T5" s="3733"/>
      <c r="U5" s="3734"/>
      <c r="V5" s="3716"/>
      <c r="W5" s="3716"/>
      <c r="X5" s="1351"/>
      <c r="Y5" s="3733"/>
      <c r="Z5" s="3734"/>
      <c r="AA5" s="3719"/>
      <c r="AB5" s="3719"/>
      <c r="AC5" s="3719"/>
    </row>
    <row r="6" spans="1:29" ht="15.75" thickBot="1">
      <c r="A6" s="360"/>
      <c r="B6" s="361"/>
      <c r="C6" s="3737" t="s">
        <v>1674</v>
      </c>
      <c r="D6" s="3738"/>
      <c r="E6" s="3744" t="s">
        <v>1674</v>
      </c>
      <c r="F6" s="3745"/>
      <c r="G6" s="3737" t="s">
        <v>1674</v>
      </c>
      <c r="H6" s="3738"/>
      <c r="I6" s="3737" t="s">
        <v>1674</v>
      </c>
      <c r="J6" s="3738"/>
      <c r="K6" s="1886" t="s">
        <v>1675</v>
      </c>
      <c r="L6" s="2711"/>
      <c r="M6" s="2712"/>
      <c r="N6" s="2712"/>
      <c r="O6" s="2712"/>
      <c r="P6" s="3729"/>
      <c r="Q6" s="3730"/>
      <c r="R6" s="3733"/>
      <c r="S6" s="3734"/>
      <c r="T6" s="3735"/>
      <c r="U6" s="3736"/>
      <c r="V6" s="3716"/>
      <c r="W6" s="3716"/>
      <c r="X6" s="1351"/>
      <c r="Y6" s="3735"/>
      <c r="Z6" s="3736"/>
      <c r="AA6" s="3720"/>
      <c r="AB6" s="3720"/>
      <c r="AC6" s="3720"/>
    </row>
    <row r="7" spans="1:29" s="108" customFormat="1" ht="15.75" thickBot="1">
      <c r="A7" s="362" t="s">
        <v>1676</v>
      </c>
      <c r="B7" s="363"/>
      <c r="C7" s="364">
        <f>'数据-取费表'!B2</f>
        <v>45457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41" t="s">
        <v>1677</v>
      </c>
      <c r="Q7" s="3743"/>
      <c r="R7" s="700" t="s">
        <v>20</v>
      </c>
      <c r="S7" s="701">
        <f t="shared" ref="S7:S15" si="0">F7</f>
        <v>0</v>
      </c>
      <c r="T7" s="700" t="s">
        <v>20</v>
      </c>
      <c r="U7" s="701">
        <f t="shared" ref="U7:U15" si="1">H7</f>
        <v>0</v>
      </c>
      <c r="V7" s="700" t="s">
        <v>20</v>
      </c>
      <c r="W7" s="701">
        <f t="shared" ref="W7:W15" si="2">J7</f>
        <v>0</v>
      </c>
      <c r="X7" s="702"/>
      <c r="Y7" s="3741" t="s">
        <v>1677</v>
      </c>
      <c r="Z7" s="3742"/>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41" t="s">
        <v>1680</v>
      </c>
      <c r="Q8" s="3742"/>
      <c r="R8" s="700" t="s">
        <v>20</v>
      </c>
      <c r="S8" s="701">
        <f t="shared" si="0"/>
        <v>100</v>
      </c>
      <c r="T8" s="700" t="s">
        <v>20</v>
      </c>
      <c r="U8" s="701">
        <f t="shared" si="1"/>
        <v>100</v>
      </c>
      <c r="V8" s="700" t="s">
        <v>20</v>
      </c>
      <c r="W8" s="701">
        <f t="shared" si="2"/>
        <v>100</v>
      </c>
      <c r="X8" s="702"/>
      <c r="Y8" s="3741" t="s">
        <v>1680</v>
      </c>
      <c r="Z8" s="3742"/>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17" t="s">
        <v>1683</v>
      </c>
      <c r="Q9" s="1339" t="str">
        <f t="shared" ref="Q9:Q15" si="6">B9</f>
        <v>用途</v>
      </c>
      <c r="R9" s="700" t="s">
        <v>14</v>
      </c>
      <c r="S9" s="701">
        <f t="shared" si="0"/>
        <v>100</v>
      </c>
      <c r="T9" s="700" t="s">
        <v>14</v>
      </c>
      <c r="U9" s="701">
        <f t="shared" si="1"/>
        <v>100</v>
      </c>
      <c r="V9" s="700" t="s">
        <v>14</v>
      </c>
      <c r="W9" s="701">
        <f t="shared" si="2"/>
        <v>100</v>
      </c>
      <c r="X9" s="702"/>
      <c r="Y9" s="3599"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17"/>
      <c r="Q10" s="1339" t="str">
        <f t="shared" si="6"/>
        <v>土地使用年限（年）</v>
      </c>
      <c r="R10" s="700" t="s">
        <v>14</v>
      </c>
      <c r="S10" s="701">
        <f t="shared" si="0"/>
        <v>100</v>
      </c>
      <c r="T10" s="700" t="s">
        <v>14</v>
      </c>
      <c r="U10" s="701">
        <f t="shared" si="1"/>
        <v>100</v>
      </c>
      <c r="V10" s="700" t="s">
        <v>14</v>
      </c>
      <c r="W10" s="701">
        <f t="shared" si="2"/>
        <v>100</v>
      </c>
      <c r="X10" s="702"/>
      <c r="Y10" s="3599"/>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7"/>
      <c r="Q11" s="1339" t="str">
        <f t="shared" si="6"/>
        <v>容积率</v>
      </c>
      <c r="R11" s="700" t="s">
        <v>18</v>
      </c>
      <c r="S11" s="701" t="e">
        <f t="shared" si="0"/>
        <v>#N/A</v>
      </c>
      <c r="T11" s="700" t="s">
        <v>18</v>
      </c>
      <c r="U11" s="701" t="e">
        <f t="shared" si="1"/>
        <v>#N/A</v>
      </c>
      <c r="V11" s="700" t="s">
        <v>18</v>
      </c>
      <c r="W11" s="701" t="e">
        <f t="shared" si="2"/>
        <v>#N/A</v>
      </c>
      <c r="X11" s="702"/>
      <c r="Y11" s="3599"/>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17"/>
      <c r="Q12" s="1339">
        <f t="shared" si="6"/>
        <v>111</v>
      </c>
      <c r="R12" s="700" t="s">
        <v>18</v>
      </c>
      <c r="S12" s="701">
        <f t="shared" si="0"/>
        <v>100</v>
      </c>
      <c r="T12" s="700" t="s">
        <v>18</v>
      </c>
      <c r="U12" s="701">
        <f t="shared" si="1"/>
        <v>100</v>
      </c>
      <c r="V12" s="700" t="s">
        <v>18</v>
      </c>
      <c r="W12" s="701">
        <f t="shared" si="2"/>
        <v>100</v>
      </c>
      <c r="X12" s="702"/>
      <c r="Y12" s="3599"/>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17"/>
      <c r="Q13" s="1339">
        <f t="shared" si="6"/>
        <v>111</v>
      </c>
      <c r="R13" s="700" t="s">
        <v>18</v>
      </c>
      <c r="S13" s="701">
        <f t="shared" si="0"/>
        <v>100</v>
      </c>
      <c r="T13" s="700" t="s">
        <v>18</v>
      </c>
      <c r="U13" s="701">
        <f t="shared" si="1"/>
        <v>100</v>
      </c>
      <c r="V13" s="700" t="s">
        <v>18</v>
      </c>
      <c r="W13" s="701">
        <f t="shared" si="2"/>
        <v>100</v>
      </c>
      <c r="X13" s="702"/>
      <c r="Y13" s="3599"/>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17"/>
      <c r="Q14" s="1339">
        <f t="shared" si="6"/>
        <v>111</v>
      </c>
      <c r="R14" s="700" t="s">
        <v>18</v>
      </c>
      <c r="S14" s="701">
        <f t="shared" si="0"/>
        <v>100</v>
      </c>
      <c r="T14" s="700" t="s">
        <v>18</v>
      </c>
      <c r="U14" s="701">
        <f t="shared" si="1"/>
        <v>100</v>
      </c>
      <c r="V14" s="700" t="s">
        <v>18</v>
      </c>
      <c r="W14" s="701">
        <f t="shared" si="2"/>
        <v>100</v>
      </c>
      <c r="X14" s="702"/>
      <c r="Y14" s="3599"/>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7" t="s">
        <v>1688</v>
      </c>
      <c r="Q15" s="1348" t="str">
        <f t="shared" si="6"/>
        <v>居住社区成熟度</v>
      </c>
      <c r="R15" s="704" t="s">
        <v>18</v>
      </c>
      <c r="S15" s="705">
        <f t="shared" si="0"/>
        <v>100</v>
      </c>
      <c r="T15" s="704" t="s">
        <v>18</v>
      </c>
      <c r="U15" s="705">
        <f t="shared" si="1"/>
        <v>100</v>
      </c>
      <c r="V15" s="704" t="s">
        <v>18</v>
      </c>
      <c r="W15" s="705">
        <f t="shared" si="2"/>
        <v>100</v>
      </c>
      <c r="X15" s="1351"/>
      <c r="Y15" s="3709"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08"/>
      <c r="Q16" s="1348"/>
      <c r="R16" s="704"/>
      <c r="S16" s="705"/>
      <c r="T16" s="704"/>
      <c r="U16" s="705"/>
      <c r="V16" s="704"/>
      <c r="W16" s="705"/>
      <c r="X16" s="1351"/>
      <c r="Y16" s="3710"/>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8"/>
      <c r="Q17" s="1348" t="str">
        <f>B17</f>
        <v>交通便捷度</v>
      </c>
      <c r="R17" s="704" t="s">
        <v>18</v>
      </c>
      <c r="S17" s="705">
        <f>F17</f>
        <v>100</v>
      </c>
      <c r="T17" s="704" t="s">
        <v>18</v>
      </c>
      <c r="U17" s="705">
        <f>H17</f>
        <v>100</v>
      </c>
      <c r="V17" s="704" t="s">
        <v>18</v>
      </c>
      <c r="W17" s="705">
        <f>J17</f>
        <v>100</v>
      </c>
      <c r="X17" s="1351"/>
      <c r="Y17" s="371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08"/>
      <c r="Q18" s="1348"/>
      <c r="R18" s="704"/>
      <c r="S18" s="705"/>
      <c r="T18" s="704"/>
      <c r="U18" s="705"/>
      <c r="V18" s="704"/>
      <c r="W18" s="705"/>
      <c r="X18" s="1351"/>
      <c r="Y18" s="3710"/>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8"/>
      <c r="Q19" s="1348" t="str">
        <f>B19</f>
        <v>公共配套设施</v>
      </c>
      <c r="R19" s="704" t="s">
        <v>18</v>
      </c>
      <c r="S19" s="705">
        <f>F19</f>
        <v>100</v>
      </c>
      <c r="T19" s="704" t="s">
        <v>18</v>
      </c>
      <c r="U19" s="705">
        <f>H19</f>
        <v>100</v>
      </c>
      <c r="V19" s="704" t="s">
        <v>18</v>
      </c>
      <c r="W19" s="705">
        <f>J19</f>
        <v>100</v>
      </c>
      <c r="X19" s="1351"/>
      <c r="Y19" s="371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08"/>
      <c r="Q20" s="1348"/>
      <c r="R20" s="704"/>
      <c r="S20" s="705"/>
      <c r="T20" s="704"/>
      <c r="U20" s="705"/>
      <c r="V20" s="704"/>
      <c r="W20" s="705"/>
      <c r="X20" s="1351"/>
      <c r="Y20" s="3710"/>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8"/>
      <c r="Q21" s="1348" t="str">
        <f>B21</f>
        <v>基础设施水平</v>
      </c>
      <c r="R21" s="704" t="s">
        <v>14</v>
      </c>
      <c r="S21" s="705">
        <f>F21</f>
        <v>100</v>
      </c>
      <c r="T21" s="704" t="s">
        <v>14</v>
      </c>
      <c r="U21" s="705">
        <f>H21</f>
        <v>100</v>
      </c>
      <c r="V21" s="704" t="s">
        <v>14</v>
      </c>
      <c r="W21" s="705">
        <f>J21</f>
        <v>100</v>
      </c>
      <c r="X21" s="1351"/>
      <c r="Y21" s="371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08"/>
      <c r="Q22" s="1348"/>
      <c r="R22" s="704"/>
      <c r="S22" s="705"/>
      <c r="T22" s="704"/>
      <c r="U22" s="705"/>
      <c r="V22" s="704"/>
      <c r="W22" s="705"/>
      <c r="X22" s="1351"/>
      <c r="Y22" s="3710"/>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8"/>
      <c r="Q23" s="1348" t="str">
        <f>B23</f>
        <v>自然及人文环境</v>
      </c>
      <c r="R23" s="704" t="s">
        <v>18</v>
      </c>
      <c r="S23" s="705">
        <f>F23</f>
        <v>100</v>
      </c>
      <c r="T23" s="704" t="s">
        <v>18</v>
      </c>
      <c r="U23" s="705">
        <f>H23</f>
        <v>100</v>
      </c>
      <c r="V23" s="704" t="s">
        <v>18</v>
      </c>
      <c r="W23" s="705">
        <f>J23</f>
        <v>100</v>
      </c>
      <c r="X23" s="1351"/>
      <c r="Y23" s="371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08"/>
      <c r="Q24" s="1348"/>
      <c r="R24" s="704"/>
      <c r="S24" s="705"/>
      <c r="T24" s="704"/>
      <c r="U24" s="705"/>
      <c r="V24" s="704"/>
      <c r="W24" s="705"/>
      <c r="X24" s="1351"/>
      <c r="Y24" s="3710"/>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08"/>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10"/>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08"/>
      <c r="Q26" s="1348" t="str">
        <f t="shared" si="11"/>
        <v>朝向</v>
      </c>
      <c r="R26" s="704" t="s">
        <v>18</v>
      </c>
      <c r="S26" s="705">
        <f t="shared" si="12"/>
        <v>100</v>
      </c>
      <c r="T26" s="704" t="s">
        <v>18</v>
      </c>
      <c r="U26" s="705">
        <f t="shared" si="13"/>
        <v>100</v>
      </c>
      <c r="V26" s="704" t="s">
        <v>18</v>
      </c>
      <c r="W26" s="705">
        <f t="shared" si="14"/>
        <v>100</v>
      </c>
      <c r="X26" s="1351"/>
      <c r="Y26" s="371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08"/>
      <c r="Q27" s="1339">
        <f t="shared" si="11"/>
        <v>111</v>
      </c>
      <c r="R27" s="700" t="s">
        <v>18</v>
      </c>
      <c r="S27" s="701">
        <f t="shared" si="12"/>
        <v>100</v>
      </c>
      <c r="T27" s="700" t="s">
        <v>18</v>
      </c>
      <c r="U27" s="701">
        <f t="shared" si="13"/>
        <v>100</v>
      </c>
      <c r="V27" s="700" t="s">
        <v>18</v>
      </c>
      <c r="W27" s="701">
        <f t="shared" si="14"/>
        <v>100</v>
      </c>
      <c r="X27" s="702"/>
      <c r="Y27" s="371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08"/>
      <c r="Q28" s="1348">
        <f t="shared" si="11"/>
        <v>111</v>
      </c>
      <c r="R28" s="704" t="s">
        <v>18</v>
      </c>
      <c r="S28" s="705">
        <f t="shared" si="12"/>
        <v>100</v>
      </c>
      <c r="T28" s="704" t="s">
        <v>18</v>
      </c>
      <c r="U28" s="705">
        <f t="shared" si="13"/>
        <v>100</v>
      </c>
      <c r="V28" s="704" t="s">
        <v>18</v>
      </c>
      <c r="W28" s="705">
        <f t="shared" si="14"/>
        <v>100</v>
      </c>
      <c r="X28" s="1351"/>
      <c r="Y28" s="371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08"/>
      <c r="Q29" s="1348">
        <f t="shared" si="11"/>
        <v>111</v>
      </c>
      <c r="R29" s="704" t="s">
        <v>18</v>
      </c>
      <c r="S29" s="705">
        <f t="shared" si="12"/>
        <v>100</v>
      </c>
      <c r="T29" s="704" t="s">
        <v>18</v>
      </c>
      <c r="U29" s="705">
        <f t="shared" si="13"/>
        <v>100</v>
      </c>
      <c r="V29" s="704" t="s">
        <v>18</v>
      </c>
      <c r="W29" s="705">
        <f t="shared" si="14"/>
        <v>100</v>
      </c>
      <c r="X29" s="1351"/>
      <c r="Y29" s="371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08"/>
      <c r="Q30" s="1348">
        <f t="shared" si="11"/>
        <v>111</v>
      </c>
      <c r="R30" s="704" t="s">
        <v>18</v>
      </c>
      <c r="S30" s="705">
        <f t="shared" si="12"/>
        <v>100</v>
      </c>
      <c r="T30" s="704" t="s">
        <v>18</v>
      </c>
      <c r="U30" s="705">
        <f t="shared" si="13"/>
        <v>100</v>
      </c>
      <c r="V30" s="704" t="s">
        <v>18</v>
      </c>
      <c r="W30" s="705">
        <f t="shared" si="14"/>
        <v>100</v>
      </c>
      <c r="X30" s="1351"/>
      <c r="Y30" s="371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08"/>
      <c r="Q31" s="1348">
        <f t="shared" si="11"/>
        <v>111</v>
      </c>
      <c r="R31" s="704" t="s">
        <v>18</v>
      </c>
      <c r="S31" s="705">
        <f t="shared" si="12"/>
        <v>100</v>
      </c>
      <c r="T31" s="704" t="s">
        <v>18</v>
      </c>
      <c r="U31" s="705">
        <f t="shared" si="13"/>
        <v>100</v>
      </c>
      <c r="V31" s="704" t="s">
        <v>18</v>
      </c>
      <c r="W31" s="705">
        <f t="shared" si="14"/>
        <v>100</v>
      </c>
      <c r="X31" s="1351"/>
      <c r="Y31" s="3710"/>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11" t="s">
        <v>1693</v>
      </c>
      <c r="Q32" s="1348" t="str">
        <f t="shared" si="11"/>
        <v>建筑类型</v>
      </c>
      <c r="R32" s="704" t="s">
        <v>18</v>
      </c>
      <c r="S32" s="705">
        <f t="shared" si="12"/>
        <v>100</v>
      </c>
      <c r="T32" s="704" t="s">
        <v>18</v>
      </c>
      <c r="U32" s="705">
        <f t="shared" si="13"/>
        <v>100</v>
      </c>
      <c r="V32" s="704" t="s">
        <v>18</v>
      </c>
      <c r="W32" s="705">
        <f t="shared" si="14"/>
        <v>100</v>
      </c>
      <c r="X32" s="1351"/>
      <c r="Y32" s="3714"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12"/>
      <c r="Q33" s="706" t="str">
        <f t="shared" si="11"/>
        <v>项目建筑规模</v>
      </c>
      <c r="R33" s="707" t="s">
        <v>18</v>
      </c>
      <c r="S33" s="708" t="e">
        <f t="shared" si="12"/>
        <v>#N/A</v>
      </c>
      <c r="T33" s="707" t="s">
        <v>18</v>
      </c>
      <c r="U33" s="708" t="e">
        <f t="shared" si="13"/>
        <v>#N/A</v>
      </c>
      <c r="V33" s="707" t="s">
        <v>18</v>
      </c>
      <c r="W33" s="708" t="e">
        <f t="shared" si="14"/>
        <v>#N/A</v>
      </c>
      <c r="X33" s="709"/>
      <c r="Y33" s="3714"/>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12"/>
      <c r="Q34" s="1348" t="str">
        <f t="shared" si="11"/>
        <v>建筑结构</v>
      </c>
      <c r="R34" s="704" t="s">
        <v>18</v>
      </c>
      <c r="S34" s="705">
        <f t="shared" si="12"/>
        <v>100</v>
      </c>
      <c r="T34" s="704" t="s">
        <v>18</v>
      </c>
      <c r="U34" s="705">
        <f t="shared" si="13"/>
        <v>100</v>
      </c>
      <c r="V34" s="704" t="s">
        <v>18</v>
      </c>
      <c r="W34" s="705">
        <f t="shared" si="14"/>
        <v>100</v>
      </c>
      <c r="X34" s="1351"/>
      <c r="Y34" s="3714"/>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12"/>
      <c r="Q35" s="1348" t="str">
        <f t="shared" si="11"/>
        <v>建筑品质</v>
      </c>
      <c r="R35" s="704" t="s">
        <v>18</v>
      </c>
      <c r="S35" s="705">
        <f t="shared" si="12"/>
        <v>100</v>
      </c>
      <c r="T35" s="704" t="s">
        <v>18</v>
      </c>
      <c r="U35" s="705">
        <f t="shared" si="13"/>
        <v>100</v>
      </c>
      <c r="V35" s="704" t="s">
        <v>18</v>
      </c>
      <c r="W35" s="705">
        <f t="shared" si="14"/>
        <v>100</v>
      </c>
      <c r="X35" s="1351"/>
      <c r="Y35" s="3714"/>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12"/>
      <c r="Q36" s="1348" t="str">
        <f t="shared" si="11"/>
        <v>公共部分装修</v>
      </c>
      <c r="R36" s="704" t="s">
        <v>18</v>
      </c>
      <c r="S36" s="705">
        <f t="shared" si="12"/>
        <v>100</v>
      </c>
      <c r="T36" s="704" t="s">
        <v>18</v>
      </c>
      <c r="U36" s="705">
        <f t="shared" si="13"/>
        <v>100</v>
      </c>
      <c r="V36" s="704" t="s">
        <v>18</v>
      </c>
      <c r="W36" s="705">
        <f t="shared" si="14"/>
        <v>100</v>
      </c>
      <c r="X36" s="1351"/>
      <c r="Y36" s="3714"/>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2"/>
      <c r="Q37" s="1339" t="str">
        <f t="shared" si="11"/>
        <v>成新度</v>
      </c>
      <c r="R37" s="700" t="s">
        <v>18</v>
      </c>
      <c r="S37" s="701" t="e">
        <f t="shared" si="12"/>
        <v>#N/A</v>
      </c>
      <c r="T37" s="700" t="s">
        <v>18</v>
      </c>
      <c r="U37" s="701" t="e">
        <f t="shared" si="13"/>
        <v>#N/A</v>
      </c>
      <c r="V37" s="700" t="s">
        <v>18</v>
      </c>
      <c r="W37" s="701" t="e">
        <f t="shared" si="14"/>
        <v>#N/A</v>
      </c>
      <c r="X37" s="702"/>
      <c r="Y37" s="3714"/>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12" t="s">
        <v>1693</v>
      </c>
      <c r="Q38" s="1348" t="str">
        <f t="shared" si="11"/>
        <v>物业管理</v>
      </c>
      <c r="R38" s="704" t="s">
        <v>18</v>
      </c>
      <c r="S38" s="705">
        <f t="shared" si="12"/>
        <v>100</v>
      </c>
      <c r="T38" s="704" t="s">
        <v>18</v>
      </c>
      <c r="U38" s="705">
        <f t="shared" si="13"/>
        <v>100</v>
      </c>
      <c r="V38" s="704" t="s">
        <v>18</v>
      </c>
      <c r="W38" s="705">
        <f t="shared" si="14"/>
        <v>100</v>
      </c>
      <c r="X38" s="1351"/>
      <c r="Y38" s="3714"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12"/>
      <c r="Q39" s="1348" t="str">
        <f t="shared" si="11"/>
        <v>市政基础设施</v>
      </c>
      <c r="R39" s="704" t="s">
        <v>18</v>
      </c>
      <c r="S39" s="705">
        <f t="shared" si="12"/>
        <v>100</v>
      </c>
      <c r="T39" s="704" t="s">
        <v>18</v>
      </c>
      <c r="U39" s="705">
        <f t="shared" si="13"/>
        <v>100</v>
      </c>
      <c r="V39" s="704" t="s">
        <v>18</v>
      </c>
      <c r="W39" s="705">
        <f t="shared" si="14"/>
        <v>100</v>
      </c>
      <c r="X39" s="1351"/>
      <c r="Y39" s="3714"/>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12"/>
      <c r="Q40" s="1348" t="str">
        <f t="shared" si="11"/>
        <v>房型</v>
      </c>
      <c r="R40" s="704" t="s">
        <v>18</v>
      </c>
      <c r="S40" s="705">
        <f t="shared" si="12"/>
        <v>100</v>
      </c>
      <c r="T40" s="704" t="s">
        <v>18</v>
      </c>
      <c r="U40" s="705">
        <f t="shared" si="13"/>
        <v>100</v>
      </c>
      <c r="V40" s="704" t="s">
        <v>18</v>
      </c>
      <c r="W40" s="705">
        <f t="shared" si="14"/>
        <v>100</v>
      </c>
      <c r="X40" s="1351"/>
      <c r="Y40" s="3714"/>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12"/>
      <c r="Q41" s="706" t="str">
        <f t="shared" si="11"/>
        <v>单套/主力户型建筑面积</v>
      </c>
      <c r="R41" s="707" t="s">
        <v>18</v>
      </c>
      <c r="S41" s="708">
        <f t="shared" si="12"/>
        <v>100</v>
      </c>
      <c r="T41" s="707" t="s">
        <v>18</v>
      </c>
      <c r="U41" s="708">
        <f t="shared" si="13"/>
        <v>100</v>
      </c>
      <c r="V41" s="707" t="s">
        <v>18</v>
      </c>
      <c r="W41" s="708">
        <f t="shared" si="14"/>
        <v>100</v>
      </c>
      <c r="X41" s="709"/>
      <c r="Y41" s="3714"/>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12"/>
      <c r="Q42" s="1348" t="str">
        <f t="shared" si="11"/>
        <v>内部装修</v>
      </c>
      <c r="R42" s="704" t="s">
        <v>18</v>
      </c>
      <c r="S42" s="705">
        <f t="shared" si="12"/>
        <v>100</v>
      </c>
      <c r="T42" s="704" t="s">
        <v>18</v>
      </c>
      <c r="U42" s="705">
        <f t="shared" si="13"/>
        <v>100</v>
      </c>
      <c r="V42" s="704" t="s">
        <v>18</v>
      </c>
      <c r="W42" s="705">
        <f t="shared" si="14"/>
        <v>100</v>
      </c>
      <c r="X42" s="1351"/>
      <c r="Y42" s="3714"/>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12"/>
      <c r="Q43" s="1348" t="str">
        <f t="shared" si="11"/>
        <v>内部装修维护情况</v>
      </c>
      <c r="R43" s="704" t="s">
        <v>18</v>
      </c>
      <c r="S43" s="705">
        <f t="shared" si="12"/>
        <v>100</v>
      </c>
      <c r="T43" s="704" t="s">
        <v>18</v>
      </c>
      <c r="U43" s="705">
        <f t="shared" si="13"/>
        <v>100</v>
      </c>
      <c r="V43" s="704" t="s">
        <v>18</v>
      </c>
      <c r="W43" s="705">
        <f t="shared" si="14"/>
        <v>100</v>
      </c>
      <c r="X43" s="1351"/>
      <c r="Y43" s="371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12"/>
      <c r="Q44" s="1339">
        <f t="shared" si="11"/>
        <v>111</v>
      </c>
      <c r="R44" s="700" t="s">
        <v>18</v>
      </c>
      <c r="S44" s="701">
        <f t="shared" si="12"/>
        <v>100</v>
      </c>
      <c r="T44" s="700" t="s">
        <v>18</v>
      </c>
      <c r="U44" s="701">
        <f t="shared" si="13"/>
        <v>100</v>
      </c>
      <c r="V44" s="700" t="s">
        <v>18</v>
      </c>
      <c r="W44" s="701">
        <f t="shared" si="14"/>
        <v>100</v>
      </c>
      <c r="X44" s="702"/>
      <c r="Y44" s="3714"/>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12"/>
      <c r="Q45" s="1348">
        <f t="shared" si="11"/>
        <v>111</v>
      </c>
      <c r="R45" s="704" t="s">
        <v>18</v>
      </c>
      <c r="S45" s="705">
        <f t="shared" si="12"/>
        <v>100</v>
      </c>
      <c r="T45" s="704" t="s">
        <v>18</v>
      </c>
      <c r="U45" s="705">
        <f t="shared" si="13"/>
        <v>100</v>
      </c>
      <c r="V45" s="704" t="s">
        <v>18</v>
      </c>
      <c r="W45" s="705">
        <f t="shared" si="14"/>
        <v>100</v>
      </c>
      <c r="X45" s="1351"/>
      <c r="Y45" s="371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13"/>
      <c r="Q46" s="1348">
        <f t="shared" si="11"/>
        <v>111</v>
      </c>
      <c r="R46" s="704" t="s">
        <v>17</v>
      </c>
      <c r="S46" s="705">
        <f t="shared" si="12"/>
        <v>100</v>
      </c>
      <c r="T46" s="704" t="s">
        <v>17</v>
      </c>
      <c r="U46" s="705">
        <f t="shared" si="13"/>
        <v>100</v>
      </c>
      <c r="V46" s="704" t="s">
        <v>17</v>
      </c>
      <c r="W46" s="705">
        <f t="shared" si="14"/>
        <v>100</v>
      </c>
      <c r="X46" s="1351"/>
      <c r="Y46" s="3715"/>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02" t="str">
        <f>A47</f>
        <v>成交单价（元/平方米）</v>
      </c>
      <c r="Q47" s="3702"/>
      <c r="R47" s="3703">
        <f>E47</f>
        <v>0</v>
      </c>
      <c r="S47" s="3703"/>
      <c r="T47" s="3703">
        <f>G47</f>
        <v>0</v>
      </c>
      <c r="U47" s="3703"/>
      <c r="V47" s="3703">
        <f>I47</f>
        <v>0</v>
      </c>
      <c r="W47" s="3703"/>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2024年6月14日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21" t="s">
        <v>1767</v>
      </c>
      <c r="D4" s="3722"/>
      <c r="E4" s="3723" t="s">
        <v>1768</v>
      </c>
      <c r="F4" s="3724"/>
      <c r="G4" s="3721" t="s">
        <v>1769</v>
      </c>
      <c r="H4" s="3722"/>
      <c r="I4" s="3721" t="s">
        <v>1770</v>
      </c>
      <c r="J4" s="3722"/>
      <c r="K4" s="559" t="s">
        <v>1771</v>
      </c>
      <c r="L4" s="2711"/>
      <c r="M4" s="2712"/>
      <c r="N4" s="2712"/>
      <c r="O4" s="2712"/>
      <c r="P4" s="3773" t="s">
        <v>1772</v>
      </c>
      <c r="Q4" s="3774"/>
      <c r="R4" s="3777" t="s">
        <v>1768</v>
      </c>
      <c r="S4" s="3778"/>
      <c r="T4" s="3777" t="s">
        <v>1769</v>
      </c>
      <c r="U4" s="3778"/>
      <c r="V4" s="3779" t="s">
        <v>1770</v>
      </c>
      <c r="W4" s="3779"/>
      <c r="X4" s="1954"/>
      <c r="Y4" s="3777" t="s">
        <v>1772</v>
      </c>
      <c r="Z4" s="3778"/>
      <c r="AA4" s="3781" t="s">
        <v>1768</v>
      </c>
      <c r="AB4" s="3781" t="s">
        <v>1769</v>
      </c>
      <c r="AC4" s="3770" t="s">
        <v>1770</v>
      </c>
    </row>
    <row r="5" spans="1:29" ht="15">
      <c r="A5" s="358"/>
      <c r="B5" s="359"/>
      <c r="C5" s="3739" t="s">
        <v>1670</v>
      </c>
      <c r="D5" s="3740"/>
      <c r="E5" s="3746" t="s">
        <v>1671</v>
      </c>
      <c r="F5" s="3747"/>
      <c r="G5" s="3739" t="s">
        <v>1672</v>
      </c>
      <c r="H5" s="3740"/>
      <c r="I5" s="3739" t="s">
        <v>1673</v>
      </c>
      <c r="J5" s="3740"/>
      <c r="K5" s="559"/>
      <c r="L5" s="2711"/>
      <c r="M5" s="2712"/>
      <c r="N5" s="2712"/>
      <c r="O5" s="2712"/>
      <c r="P5" s="3775"/>
      <c r="Q5" s="3728"/>
      <c r="R5" s="3733"/>
      <c r="S5" s="3734"/>
      <c r="T5" s="3733"/>
      <c r="U5" s="3734"/>
      <c r="V5" s="3716"/>
      <c r="W5" s="3716"/>
      <c r="X5" s="1351"/>
      <c r="Y5" s="3733"/>
      <c r="Z5" s="3734"/>
      <c r="AA5" s="3719"/>
      <c r="AB5" s="3719"/>
      <c r="AC5" s="3771"/>
    </row>
    <row r="6" spans="1:29" ht="15.75" thickBot="1">
      <c r="A6" s="360"/>
      <c r="B6" s="361"/>
      <c r="C6" s="3737" t="s">
        <v>1674</v>
      </c>
      <c r="D6" s="3738"/>
      <c r="E6" s="3744" t="s">
        <v>1674</v>
      </c>
      <c r="F6" s="3745"/>
      <c r="G6" s="3737" t="s">
        <v>1674</v>
      </c>
      <c r="H6" s="3738"/>
      <c r="I6" s="3737" t="s">
        <v>1674</v>
      </c>
      <c r="J6" s="3738"/>
      <c r="K6" s="559" t="s">
        <v>1675</v>
      </c>
      <c r="L6" s="2711"/>
      <c r="M6" s="2712"/>
      <c r="N6" s="2712"/>
      <c r="O6" s="2712"/>
      <c r="P6" s="3776"/>
      <c r="Q6" s="3730"/>
      <c r="R6" s="3733"/>
      <c r="S6" s="3734"/>
      <c r="T6" s="3735"/>
      <c r="U6" s="3736"/>
      <c r="V6" s="3716"/>
      <c r="W6" s="3716"/>
      <c r="X6" s="1351"/>
      <c r="Y6" s="3735"/>
      <c r="Z6" s="3736"/>
      <c r="AA6" s="3720"/>
      <c r="AB6" s="3720"/>
      <c r="AC6" s="3772"/>
    </row>
    <row r="7" spans="1:29" s="108" customFormat="1" ht="15.75" thickBot="1">
      <c r="A7" s="362" t="s">
        <v>1676</v>
      </c>
      <c r="B7" s="363"/>
      <c r="C7" s="364">
        <f>'数据-取费表'!B2</f>
        <v>45457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0" t="s">
        <v>1677</v>
      </c>
      <c r="Q7" s="3743"/>
      <c r="R7" s="700" t="s">
        <v>14</v>
      </c>
      <c r="S7" s="701">
        <f t="shared" ref="S7:S15" si="0">F7</f>
        <v>0</v>
      </c>
      <c r="T7" s="700" t="s">
        <v>14</v>
      </c>
      <c r="U7" s="701">
        <f t="shared" ref="U7:U15" si="1">H7</f>
        <v>0</v>
      </c>
      <c r="V7" s="700" t="s">
        <v>14</v>
      </c>
      <c r="W7" s="701">
        <f t="shared" ref="W7:W15" si="2">J7</f>
        <v>0</v>
      </c>
      <c r="X7" s="702"/>
      <c r="Y7" s="3741" t="s">
        <v>1677</v>
      </c>
      <c r="Z7" s="3742"/>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0" t="s">
        <v>1680</v>
      </c>
      <c r="Q8" s="3742"/>
      <c r="R8" s="700" t="s">
        <v>14</v>
      </c>
      <c r="S8" s="701">
        <f t="shared" si="0"/>
        <v>100</v>
      </c>
      <c r="T8" s="700" t="s">
        <v>14</v>
      </c>
      <c r="U8" s="701">
        <f t="shared" si="1"/>
        <v>100</v>
      </c>
      <c r="V8" s="700" t="s">
        <v>14</v>
      </c>
      <c r="W8" s="701">
        <f t="shared" si="2"/>
        <v>100</v>
      </c>
      <c r="X8" s="702"/>
      <c r="Y8" s="3741" t="s">
        <v>1680</v>
      </c>
      <c r="Z8" s="3742"/>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7" t="s">
        <v>1683</v>
      </c>
      <c r="Q9" s="1339" t="str">
        <f t="shared" ref="Q9:Q15" si="6">B9</f>
        <v>用途</v>
      </c>
      <c r="R9" s="700" t="s">
        <v>14</v>
      </c>
      <c r="S9" s="701">
        <f t="shared" si="0"/>
        <v>100</v>
      </c>
      <c r="T9" s="700" t="s">
        <v>14</v>
      </c>
      <c r="U9" s="701">
        <f t="shared" si="1"/>
        <v>100</v>
      </c>
      <c r="V9" s="700" t="s">
        <v>14</v>
      </c>
      <c r="W9" s="701">
        <f t="shared" si="2"/>
        <v>100</v>
      </c>
      <c r="X9" s="702"/>
      <c r="Y9" s="3599"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17"/>
      <c r="Q10" s="1339" t="str">
        <f t="shared" si="6"/>
        <v>土地使用年限（年）</v>
      </c>
      <c r="R10" s="700" t="s">
        <v>14</v>
      </c>
      <c r="S10" s="701">
        <f t="shared" si="0"/>
        <v>100</v>
      </c>
      <c r="T10" s="700" t="s">
        <v>14</v>
      </c>
      <c r="U10" s="701">
        <f t="shared" si="1"/>
        <v>100</v>
      </c>
      <c r="V10" s="700" t="s">
        <v>14</v>
      </c>
      <c r="W10" s="701">
        <f t="shared" si="2"/>
        <v>100</v>
      </c>
      <c r="X10" s="702"/>
      <c r="Y10" s="3599"/>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7"/>
      <c r="Q11" s="1339" t="str">
        <f t="shared" si="6"/>
        <v>容积率</v>
      </c>
      <c r="R11" s="700" t="s">
        <v>14</v>
      </c>
      <c r="S11" s="701">
        <f t="shared" si="0"/>
        <v>100</v>
      </c>
      <c r="T11" s="700" t="s">
        <v>14</v>
      </c>
      <c r="U11" s="701">
        <f t="shared" si="1"/>
        <v>100</v>
      </c>
      <c r="V11" s="700" t="s">
        <v>14</v>
      </c>
      <c r="W11" s="701">
        <f t="shared" si="2"/>
        <v>100</v>
      </c>
      <c r="X11" s="702"/>
      <c r="Y11" s="3599"/>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17"/>
      <c r="Q12" s="1339">
        <f t="shared" si="6"/>
        <v>111</v>
      </c>
      <c r="R12" s="700" t="s">
        <v>14</v>
      </c>
      <c r="S12" s="701">
        <f t="shared" si="0"/>
        <v>100</v>
      </c>
      <c r="T12" s="700" t="s">
        <v>14</v>
      </c>
      <c r="U12" s="701">
        <f t="shared" si="1"/>
        <v>100</v>
      </c>
      <c r="V12" s="700" t="s">
        <v>14</v>
      </c>
      <c r="W12" s="701">
        <f t="shared" si="2"/>
        <v>100</v>
      </c>
      <c r="X12" s="702"/>
      <c r="Y12" s="3599"/>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17"/>
      <c r="Q13" s="1339">
        <f t="shared" si="6"/>
        <v>111</v>
      </c>
      <c r="R13" s="700" t="s">
        <v>14</v>
      </c>
      <c r="S13" s="701">
        <f t="shared" si="0"/>
        <v>100</v>
      </c>
      <c r="T13" s="700" t="s">
        <v>14</v>
      </c>
      <c r="U13" s="701">
        <f t="shared" si="1"/>
        <v>100</v>
      </c>
      <c r="V13" s="700" t="s">
        <v>14</v>
      </c>
      <c r="W13" s="701">
        <f t="shared" si="2"/>
        <v>100</v>
      </c>
      <c r="X13" s="702"/>
      <c r="Y13" s="3599"/>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17"/>
      <c r="Q14" s="1339">
        <f t="shared" si="6"/>
        <v>111</v>
      </c>
      <c r="R14" s="700" t="s">
        <v>14</v>
      </c>
      <c r="S14" s="701">
        <f t="shared" si="0"/>
        <v>100</v>
      </c>
      <c r="T14" s="700" t="s">
        <v>14</v>
      </c>
      <c r="U14" s="701">
        <f t="shared" si="1"/>
        <v>100</v>
      </c>
      <c r="V14" s="700" t="s">
        <v>14</v>
      </c>
      <c r="W14" s="701">
        <f t="shared" si="2"/>
        <v>100</v>
      </c>
      <c r="X14" s="702"/>
      <c r="Y14" s="3599"/>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7" t="s">
        <v>1688</v>
      </c>
      <c r="Q15" s="1348" t="str">
        <f t="shared" si="6"/>
        <v>办公集聚程度</v>
      </c>
      <c r="R15" s="704" t="s">
        <v>14</v>
      </c>
      <c r="S15" s="705">
        <f t="shared" si="0"/>
        <v>100</v>
      </c>
      <c r="T15" s="704" t="s">
        <v>14</v>
      </c>
      <c r="U15" s="705">
        <f t="shared" si="1"/>
        <v>100</v>
      </c>
      <c r="V15" s="704" t="s">
        <v>14</v>
      </c>
      <c r="W15" s="705">
        <f t="shared" si="2"/>
        <v>100</v>
      </c>
      <c r="X15" s="1351"/>
      <c r="Y15" s="3709"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08"/>
      <c r="Q16" s="1348"/>
      <c r="R16" s="704"/>
      <c r="S16" s="705"/>
      <c r="T16" s="704"/>
      <c r="U16" s="705"/>
      <c r="V16" s="704"/>
      <c r="W16" s="705"/>
      <c r="X16" s="1351"/>
      <c r="Y16" s="3710"/>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8"/>
      <c r="Q17" s="1348" t="str">
        <f>B17</f>
        <v>交通便捷度</v>
      </c>
      <c r="R17" s="704" t="s">
        <v>14</v>
      </c>
      <c r="S17" s="705">
        <f>F17</f>
        <v>100</v>
      </c>
      <c r="T17" s="704" t="s">
        <v>14</v>
      </c>
      <c r="U17" s="705">
        <f>H17</f>
        <v>100</v>
      </c>
      <c r="V17" s="704" t="s">
        <v>14</v>
      </c>
      <c r="W17" s="705">
        <f>J17</f>
        <v>100</v>
      </c>
      <c r="X17" s="1351"/>
      <c r="Y17" s="3710"/>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08"/>
      <c r="Q18" s="1348"/>
      <c r="R18" s="704"/>
      <c r="S18" s="705"/>
      <c r="T18" s="704"/>
      <c r="U18" s="705"/>
      <c r="V18" s="704"/>
      <c r="W18" s="705"/>
      <c r="X18" s="1351"/>
      <c r="Y18" s="3710"/>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8"/>
      <c r="Q19" s="1348" t="str">
        <f>B19</f>
        <v>公共配套设施</v>
      </c>
      <c r="R19" s="704" t="s">
        <v>14</v>
      </c>
      <c r="S19" s="705">
        <f>F19</f>
        <v>100</v>
      </c>
      <c r="T19" s="704" t="s">
        <v>14</v>
      </c>
      <c r="U19" s="705">
        <f>H19</f>
        <v>100</v>
      </c>
      <c r="V19" s="704" t="s">
        <v>14</v>
      </c>
      <c r="W19" s="705">
        <f>J19</f>
        <v>100</v>
      </c>
      <c r="X19" s="1351"/>
      <c r="Y19" s="3710"/>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08"/>
      <c r="Q20" s="1348"/>
      <c r="R20" s="704"/>
      <c r="S20" s="705"/>
      <c r="T20" s="704"/>
      <c r="U20" s="705"/>
      <c r="V20" s="704"/>
      <c r="W20" s="705"/>
      <c r="X20" s="1351"/>
      <c r="Y20" s="3710"/>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8"/>
      <c r="Q21" s="1348" t="str">
        <f>B21</f>
        <v>基础设施水平</v>
      </c>
      <c r="R21" s="704" t="s">
        <v>14</v>
      </c>
      <c r="S21" s="705">
        <f>F21</f>
        <v>100</v>
      </c>
      <c r="T21" s="704" t="s">
        <v>14</v>
      </c>
      <c r="U21" s="705">
        <f>H21</f>
        <v>100</v>
      </c>
      <c r="V21" s="704" t="s">
        <v>14</v>
      </c>
      <c r="W21" s="705">
        <f>J21</f>
        <v>100</v>
      </c>
      <c r="X21" s="1351"/>
      <c r="Y21" s="3710"/>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08"/>
      <c r="Q22" s="1348"/>
      <c r="R22" s="704"/>
      <c r="S22" s="705"/>
      <c r="T22" s="704"/>
      <c r="U22" s="705"/>
      <c r="V22" s="704"/>
      <c r="W22" s="705"/>
      <c r="X22" s="1351"/>
      <c r="Y22" s="3710"/>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8"/>
      <c r="Q23" s="1348" t="str">
        <f>B23</f>
        <v>环境质量</v>
      </c>
      <c r="R23" s="704" t="s">
        <v>14</v>
      </c>
      <c r="S23" s="705">
        <f>F23</f>
        <v>100</v>
      </c>
      <c r="T23" s="704" t="s">
        <v>14</v>
      </c>
      <c r="U23" s="705">
        <f>H23</f>
        <v>100</v>
      </c>
      <c r="V23" s="704" t="s">
        <v>14</v>
      </c>
      <c r="W23" s="705">
        <f>J23</f>
        <v>100</v>
      </c>
      <c r="X23" s="1351"/>
      <c r="Y23" s="3710"/>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08"/>
      <c r="Q24" s="1348"/>
      <c r="R24" s="704"/>
      <c r="S24" s="705"/>
      <c r="T24" s="704"/>
      <c r="U24" s="705"/>
      <c r="V24" s="704"/>
      <c r="W24" s="705"/>
      <c r="X24" s="1351"/>
      <c r="Y24" s="3710"/>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08"/>
      <c r="Q25" s="1348" t="str">
        <f>B25</f>
        <v>毗邻道路的类型与等级</v>
      </c>
      <c r="R25" s="704" t="s">
        <v>14</v>
      </c>
      <c r="S25" s="705">
        <f>F25</f>
        <v>100</v>
      </c>
      <c r="T25" s="704" t="s">
        <v>14</v>
      </c>
      <c r="U25" s="705">
        <f>H25</f>
        <v>100</v>
      </c>
      <c r="V25" s="704" t="s">
        <v>14</v>
      </c>
      <c r="W25" s="705">
        <f>J25</f>
        <v>100</v>
      </c>
      <c r="X25" s="1351"/>
      <c r="Y25" s="3710"/>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08"/>
      <c r="Q26" s="1348"/>
      <c r="R26" s="704"/>
      <c r="S26" s="705"/>
      <c r="T26" s="704"/>
      <c r="U26" s="705"/>
      <c r="V26" s="704"/>
      <c r="W26" s="705"/>
      <c r="X26" s="1351"/>
      <c r="Y26" s="3710"/>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08"/>
      <c r="Q27" s="1348" t="str">
        <f t="shared" ref="Q27:Q47" si="11">B27</f>
        <v>楼层</v>
      </c>
      <c r="R27" s="704" t="s">
        <v>14</v>
      </c>
      <c r="S27" s="705">
        <f>F27</f>
        <v>100</v>
      </c>
      <c r="T27" s="704" t="s">
        <v>14</v>
      </c>
      <c r="U27" s="705">
        <f>H27</f>
        <v>100</v>
      </c>
      <c r="V27" s="704" t="s">
        <v>14</v>
      </c>
      <c r="W27" s="705">
        <f>J27</f>
        <v>100</v>
      </c>
      <c r="X27" s="1351"/>
      <c r="Y27" s="3710"/>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08"/>
      <c r="Q28" s="1339" t="str">
        <f t="shared" si="11"/>
        <v>朝向</v>
      </c>
      <c r="R28" s="700" t="s">
        <v>14</v>
      </c>
      <c r="S28" s="701">
        <f>F28</f>
        <v>100</v>
      </c>
      <c r="T28" s="700" t="s">
        <v>14</v>
      </c>
      <c r="U28" s="701">
        <f>H28</f>
        <v>100</v>
      </c>
      <c r="V28" s="700" t="s">
        <v>14</v>
      </c>
      <c r="W28" s="701">
        <f>J28</f>
        <v>100</v>
      </c>
      <c r="X28" s="702"/>
      <c r="Y28" s="3710"/>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08"/>
      <c r="Q29" s="1348">
        <f t="shared" si="11"/>
        <v>111</v>
      </c>
      <c r="R29" s="704" t="s">
        <v>14</v>
      </c>
      <c r="S29" s="705">
        <f t="shared" ref="S29:S47" si="12">F29</f>
        <v>100</v>
      </c>
      <c r="T29" s="704" t="s">
        <v>14</v>
      </c>
      <c r="U29" s="705">
        <f t="shared" ref="U29:U47" si="13">H29</f>
        <v>100</v>
      </c>
      <c r="V29" s="704" t="s">
        <v>14</v>
      </c>
      <c r="W29" s="705">
        <f t="shared" ref="W29:W47" si="14">J29</f>
        <v>100</v>
      </c>
      <c r="X29" s="1351"/>
      <c r="Y29" s="3710"/>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08"/>
      <c r="Q30" s="1348">
        <f t="shared" si="11"/>
        <v>111</v>
      </c>
      <c r="R30" s="704" t="s">
        <v>14</v>
      </c>
      <c r="S30" s="705">
        <f t="shared" si="12"/>
        <v>100</v>
      </c>
      <c r="T30" s="704" t="s">
        <v>14</v>
      </c>
      <c r="U30" s="705">
        <f t="shared" si="13"/>
        <v>100</v>
      </c>
      <c r="V30" s="704" t="s">
        <v>14</v>
      </c>
      <c r="W30" s="705">
        <f t="shared" si="14"/>
        <v>100</v>
      </c>
      <c r="X30" s="1351"/>
      <c r="Y30" s="3710"/>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08"/>
      <c r="Q31" s="1348">
        <f t="shared" si="11"/>
        <v>111</v>
      </c>
      <c r="R31" s="704" t="s">
        <v>14</v>
      </c>
      <c r="S31" s="705">
        <f t="shared" si="12"/>
        <v>100</v>
      </c>
      <c r="T31" s="704" t="s">
        <v>14</v>
      </c>
      <c r="U31" s="705">
        <f t="shared" si="13"/>
        <v>100</v>
      </c>
      <c r="V31" s="704" t="s">
        <v>14</v>
      </c>
      <c r="W31" s="705">
        <f t="shared" si="14"/>
        <v>100</v>
      </c>
      <c r="X31" s="1351"/>
      <c r="Y31" s="3710"/>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08"/>
      <c r="Q32" s="1348">
        <f t="shared" si="11"/>
        <v>111</v>
      </c>
      <c r="R32" s="704" t="s">
        <v>14</v>
      </c>
      <c r="S32" s="705">
        <f t="shared" si="12"/>
        <v>100</v>
      </c>
      <c r="T32" s="704" t="s">
        <v>14</v>
      </c>
      <c r="U32" s="705">
        <f t="shared" si="13"/>
        <v>100</v>
      </c>
      <c r="V32" s="704" t="s">
        <v>14</v>
      </c>
      <c r="W32" s="705">
        <f t="shared" si="14"/>
        <v>100</v>
      </c>
      <c r="X32" s="1351"/>
      <c r="Y32" s="3710"/>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11" t="s">
        <v>1693</v>
      </c>
      <c r="Q33" s="1348" t="str">
        <f t="shared" si="11"/>
        <v>建筑类型</v>
      </c>
      <c r="R33" s="704" t="s">
        <v>14</v>
      </c>
      <c r="S33" s="705">
        <f t="shared" si="12"/>
        <v>100</v>
      </c>
      <c r="T33" s="704" t="s">
        <v>14</v>
      </c>
      <c r="U33" s="705">
        <f t="shared" si="13"/>
        <v>100</v>
      </c>
      <c r="V33" s="704" t="s">
        <v>14</v>
      </c>
      <c r="W33" s="705">
        <f t="shared" si="14"/>
        <v>100</v>
      </c>
      <c r="X33" s="1351"/>
      <c r="Y33" s="3714"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2"/>
      <c r="Q34" s="706" t="str">
        <f t="shared" si="11"/>
        <v>项目建筑规模</v>
      </c>
      <c r="R34" s="707" t="s">
        <v>14</v>
      </c>
      <c r="S34" s="708" t="e">
        <f t="shared" si="12"/>
        <v>#N/A</v>
      </c>
      <c r="T34" s="707" t="s">
        <v>14</v>
      </c>
      <c r="U34" s="708" t="e">
        <f t="shared" si="13"/>
        <v>#N/A</v>
      </c>
      <c r="V34" s="707" t="s">
        <v>14</v>
      </c>
      <c r="W34" s="708" t="e">
        <f t="shared" si="14"/>
        <v>#N/A</v>
      </c>
      <c r="X34" s="709"/>
      <c r="Y34" s="3714"/>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2"/>
      <c r="Q35" s="1348" t="str">
        <f t="shared" si="11"/>
        <v>建筑结构</v>
      </c>
      <c r="R35" s="704" t="s">
        <v>14</v>
      </c>
      <c r="S35" s="705">
        <f t="shared" si="12"/>
        <v>100</v>
      </c>
      <c r="T35" s="704" t="s">
        <v>14</v>
      </c>
      <c r="U35" s="705">
        <f t="shared" si="13"/>
        <v>100</v>
      </c>
      <c r="V35" s="704" t="s">
        <v>14</v>
      </c>
      <c r="W35" s="705">
        <f t="shared" si="14"/>
        <v>100</v>
      </c>
      <c r="X35" s="1351"/>
      <c r="Y35" s="3714"/>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2"/>
      <c r="Q36" s="1348" t="str">
        <f t="shared" si="11"/>
        <v>公共部分装修</v>
      </c>
      <c r="R36" s="704" t="s">
        <v>14</v>
      </c>
      <c r="S36" s="705">
        <f t="shared" si="12"/>
        <v>100</v>
      </c>
      <c r="T36" s="704" t="s">
        <v>14</v>
      </c>
      <c r="U36" s="705">
        <f t="shared" si="13"/>
        <v>100</v>
      </c>
      <c r="V36" s="704" t="s">
        <v>14</v>
      </c>
      <c r="W36" s="705">
        <f t="shared" si="14"/>
        <v>100</v>
      </c>
      <c r="X36" s="1351"/>
      <c r="Y36" s="3714"/>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2"/>
      <c r="Q37" s="1348" t="str">
        <f t="shared" si="11"/>
        <v>成新度</v>
      </c>
      <c r="R37" s="704" t="s">
        <v>14</v>
      </c>
      <c r="S37" s="705" t="e">
        <f t="shared" si="12"/>
        <v>#N/A</v>
      </c>
      <c r="T37" s="704" t="s">
        <v>14</v>
      </c>
      <c r="U37" s="705" t="e">
        <f t="shared" si="13"/>
        <v>#N/A</v>
      </c>
      <c r="V37" s="704" t="s">
        <v>14</v>
      </c>
      <c r="W37" s="705" t="e">
        <f t="shared" si="14"/>
        <v>#N/A</v>
      </c>
      <c r="X37" s="1351"/>
      <c r="Y37" s="3714"/>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2"/>
      <c r="Q38" s="1339" t="str">
        <f t="shared" si="11"/>
        <v>写字楼等级</v>
      </c>
      <c r="R38" s="700" t="s">
        <v>14</v>
      </c>
      <c r="S38" s="701">
        <f t="shared" si="12"/>
        <v>100</v>
      </c>
      <c r="T38" s="700" t="s">
        <v>14</v>
      </c>
      <c r="U38" s="701">
        <f t="shared" si="13"/>
        <v>100</v>
      </c>
      <c r="V38" s="700" t="s">
        <v>14</v>
      </c>
      <c r="W38" s="701">
        <f t="shared" si="14"/>
        <v>100</v>
      </c>
      <c r="X38" s="702"/>
      <c r="Y38" s="3714"/>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2" t="s">
        <v>1693</v>
      </c>
      <c r="Q39" s="1348" t="str">
        <f t="shared" si="11"/>
        <v>物业管理</v>
      </c>
      <c r="R39" s="704" t="s">
        <v>14</v>
      </c>
      <c r="S39" s="705">
        <f t="shared" si="12"/>
        <v>100</v>
      </c>
      <c r="T39" s="704" t="s">
        <v>14</v>
      </c>
      <c r="U39" s="705">
        <f t="shared" si="13"/>
        <v>100</v>
      </c>
      <c r="V39" s="704" t="s">
        <v>14</v>
      </c>
      <c r="W39" s="705">
        <f t="shared" si="14"/>
        <v>100</v>
      </c>
      <c r="X39" s="1351"/>
      <c r="Y39" s="3714"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2"/>
      <c r="Q40" s="1348" t="str">
        <f t="shared" si="11"/>
        <v>市政基础设施</v>
      </c>
      <c r="R40" s="704" t="s">
        <v>14</v>
      </c>
      <c r="S40" s="705">
        <f t="shared" si="12"/>
        <v>100</v>
      </c>
      <c r="T40" s="704" t="s">
        <v>14</v>
      </c>
      <c r="U40" s="705">
        <f t="shared" si="13"/>
        <v>100</v>
      </c>
      <c r="V40" s="704" t="s">
        <v>14</v>
      </c>
      <c r="W40" s="705">
        <f t="shared" si="14"/>
        <v>100</v>
      </c>
      <c r="X40" s="1351"/>
      <c r="Y40" s="3714"/>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2"/>
      <c r="Q41" s="1348" t="str">
        <f t="shared" si="11"/>
        <v>层高</v>
      </c>
      <c r="R41" s="704" t="s">
        <v>14</v>
      </c>
      <c r="S41" s="705">
        <f t="shared" si="12"/>
        <v>100</v>
      </c>
      <c r="T41" s="704" t="s">
        <v>14</v>
      </c>
      <c r="U41" s="705">
        <f t="shared" si="13"/>
        <v>100</v>
      </c>
      <c r="V41" s="704" t="s">
        <v>14</v>
      </c>
      <c r="W41" s="705">
        <f t="shared" si="14"/>
        <v>100</v>
      </c>
      <c r="X41" s="1351"/>
      <c r="Y41" s="3714"/>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2"/>
      <c r="Q42" s="706" t="str">
        <f t="shared" si="11"/>
        <v>单套建筑面积</v>
      </c>
      <c r="R42" s="707" t="s">
        <v>14</v>
      </c>
      <c r="S42" s="708">
        <f t="shared" si="12"/>
        <v>100</v>
      </c>
      <c r="T42" s="707" t="s">
        <v>14</v>
      </c>
      <c r="U42" s="708">
        <f t="shared" si="13"/>
        <v>100</v>
      </c>
      <c r="V42" s="707" t="s">
        <v>14</v>
      </c>
      <c r="W42" s="708">
        <f t="shared" si="14"/>
        <v>100</v>
      </c>
      <c r="X42" s="709"/>
      <c r="Y42" s="3714"/>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2"/>
      <c r="Q43" s="1348" t="str">
        <f t="shared" si="11"/>
        <v>内部装修</v>
      </c>
      <c r="R43" s="704" t="s">
        <v>14</v>
      </c>
      <c r="S43" s="705">
        <f t="shared" si="12"/>
        <v>100</v>
      </c>
      <c r="T43" s="704" t="s">
        <v>14</v>
      </c>
      <c r="U43" s="705">
        <f t="shared" si="13"/>
        <v>100</v>
      </c>
      <c r="V43" s="704" t="s">
        <v>14</v>
      </c>
      <c r="W43" s="705">
        <f t="shared" si="14"/>
        <v>100</v>
      </c>
      <c r="X43" s="1351"/>
      <c r="Y43" s="3714"/>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12"/>
      <c r="Q44" s="1348" t="str">
        <f t="shared" si="11"/>
        <v>内部装修维护情况</v>
      </c>
      <c r="R44" s="704" t="s">
        <v>14</v>
      </c>
      <c r="S44" s="705">
        <f t="shared" si="12"/>
        <v>100</v>
      </c>
      <c r="T44" s="704" t="s">
        <v>14</v>
      </c>
      <c r="U44" s="705">
        <f t="shared" si="13"/>
        <v>100</v>
      </c>
      <c r="V44" s="704" t="s">
        <v>14</v>
      </c>
      <c r="W44" s="705">
        <f t="shared" si="14"/>
        <v>100</v>
      </c>
      <c r="X44" s="1351"/>
      <c r="Y44" s="3714"/>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2"/>
      <c r="Q45" s="1339">
        <f t="shared" si="11"/>
        <v>111</v>
      </c>
      <c r="R45" s="700" t="s">
        <v>14</v>
      </c>
      <c r="S45" s="701">
        <f t="shared" si="12"/>
        <v>100</v>
      </c>
      <c r="T45" s="700" t="s">
        <v>14</v>
      </c>
      <c r="U45" s="701">
        <f t="shared" si="13"/>
        <v>100</v>
      </c>
      <c r="V45" s="700" t="s">
        <v>14</v>
      </c>
      <c r="W45" s="701">
        <f t="shared" si="14"/>
        <v>100</v>
      </c>
      <c r="X45" s="702"/>
      <c r="Y45" s="3714"/>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2"/>
      <c r="Q46" s="1348">
        <f t="shared" si="11"/>
        <v>111</v>
      </c>
      <c r="R46" s="704" t="s">
        <v>14</v>
      </c>
      <c r="S46" s="705">
        <f t="shared" si="12"/>
        <v>100</v>
      </c>
      <c r="T46" s="704" t="s">
        <v>14</v>
      </c>
      <c r="U46" s="705">
        <f t="shared" si="13"/>
        <v>100</v>
      </c>
      <c r="V46" s="704" t="s">
        <v>14</v>
      </c>
      <c r="W46" s="705">
        <f t="shared" si="14"/>
        <v>100</v>
      </c>
      <c r="X46" s="1351"/>
      <c r="Y46" s="3714"/>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3"/>
      <c r="Q47" s="1348">
        <f t="shared" si="11"/>
        <v>111</v>
      </c>
      <c r="R47" s="704" t="s">
        <v>14</v>
      </c>
      <c r="S47" s="705">
        <f t="shared" si="12"/>
        <v>100</v>
      </c>
      <c r="T47" s="704" t="s">
        <v>14</v>
      </c>
      <c r="U47" s="705">
        <f t="shared" si="13"/>
        <v>100</v>
      </c>
      <c r="V47" s="704" t="s">
        <v>14</v>
      </c>
      <c r="W47" s="705">
        <f t="shared" si="14"/>
        <v>100</v>
      </c>
      <c r="X47" s="1351"/>
      <c r="Y47" s="3715"/>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17" t="str">
        <f>A48</f>
        <v>成交单价（元/平方米）</v>
      </c>
      <c r="Q48" s="3702"/>
      <c r="R48" s="3703">
        <f>E48</f>
        <v>0</v>
      </c>
      <c r="S48" s="3703"/>
      <c r="T48" s="3703">
        <f>G48</f>
        <v>0</v>
      </c>
      <c r="U48" s="3703"/>
      <c r="V48" s="3703">
        <f>I48</f>
        <v>0</v>
      </c>
      <c r="W48" s="3703"/>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17"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21" t="s">
        <v>1767</v>
      </c>
      <c r="D4" s="3722"/>
      <c r="E4" s="3723" t="s">
        <v>1768</v>
      </c>
      <c r="F4" s="3724"/>
      <c r="G4" s="3721" t="s">
        <v>1769</v>
      </c>
      <c r="H4" s="3722"/>
      <c r="I4" s="3721" t="s">
        <v>1770</v>
      </c>
      <c r="J4" s="3722"/>
      <c r="K4" s="559" t="s">
        <v>1771</v>
      </c>
      <c r="L4" s="909"/>
      <c r="M4" s="910"/>
      <c r="N4" s="910"/>
      <c r="O4" s="910"/>
      <c r="P4" s="3725" t="s">
        <v>1772</v>
      </c>
      <c r="Q4" s="3726"/>
      <c r="R4" s="3731" t="s">
        <v>1768</v>
      </c>
      <c r="S4" s="3732"/>
      <c r="T4" s="3731" t="s">
        <v>1769</v>
      </c>
      <c r="U4" s="3732"/>
      <c r="V4" s="3716" t="s">
        <v>1770</v>
      </c>
      <c r="W4" s="3716"/>
      <c r="X4" s="1351"/>
      <c r="Y4" s="3731" t="s">
        <v>1772</v>
      </c>
      <c r="Z4" s="3732"/>
      <c r="AA4" s="3718" t="s">
        <v>1768</v>
      </c>
      <c r="AB4" s="3719" t="s">
        <v>1769</v>
      </c>
      <c r="AC4" s="3718" t="s">
        <v>1770</v>
      </c>
    </row>
    <row r="5" spans="1:29" ht="15">
      <c r="A5" s="358"/>
      <c r="B5" s="359"/>
      <c r="C5" s="3739" t="s">
        <v>1670</v>
      </c>
      <c r="D5" s="3740"/>
      <c r="E5" s="3746" t="s">
        <v>1671</v>
      </c>
      <c r="F5" s="3747"/>
      <c r="G5" s="3739" t="s">
        <v>1672</v>
      </c>
      <c r="H5" s="3740"/>
      <c r="I5" s="3739" t="s">
        <v>1673</v>
      </c>
      <c r="J5" s="3740"/>
      <c r="K5" s="559"/>
      <c r="L5" s="909"/>
      <c r="M5" s="910"/>
      <c r="N5" s="910"/>
      <c r="O5" s="910"/>
      <c r="P5" s="3727"/>
      <c r="Q5" s="3728"/>
      <c r="R5" s="3733"/>
      <c r="S5" s="3734"/>
      <c r="T5" s="3733"/>
      <c r="U5" s="3734"/>
      <c r="V5" s="3716"/>
      <c r="W5" s="3716"/>
      <c r="X5" s="1351"/>
      <c r="Y5" s="3733"/>
      <c r="Z5" s="3734"/>
      <c r="AA5" s="3719"/>
      <c r="AB5" s="3719"/>
      <c r="AC5" s="3719"/>
    </row>
    <row r="6" spans="1:29" ht="15.75" thickBot="1">
      <c r="A6" s="360"/>
      <c r="B6" s="361"/>
      <c r="C6" s="3737" t="s">
        <v>1674</v>
      </c>
      <c r="D6" s="3738"/>
      <c r="E6" s="3744" t="s">
        <v>1674</v>
      </c>
      <c r="F6" s="3745"/>
      <c r="G6" s="3737" t="s">
        <v>1674</v>
      </c>
      <c r="H6" s="3738"/>
      <c r="I6" s="3737" t="s">
        <v>1674</v>
      </c>
      <c r="J6" s="3738"/>
      <c r="K6" s="559" t="s">
        <v>1675</v>
      </c>
      <c r="L6" s="909"/>
      <c r="M6" s="910"/>
      <c r="N6" s="910"/>
      <c r="O6" s="910"/>
      <c r="P6" s="3729"/>
      <c r="Q6" s="3730"/>
      <c r="R6" s="3733"/>
      <c r="S6" s="3734"/>
      <c r="T6" s="3735"/>
      <c r="U6" s="3736"/>
      <c r="V6" s="3716"/>
      <c r="W6" s="3716"/>
      <c r="X6" s="1351"/>
      <c r="Y6" s="3735"/>
      <c r="Z6" s="3736"/>
      <c r="AA6" s="3720"/>
      <c r="AB6" s="3720"/>
      <c r="AC6" s="3720"/>
    </row>
    <row r="7" spans="1:29" s="108" customFormat="1" ht="15.75" thickBot="1">
      <c r="A7" s="362" t="s">
        <v>1676</v>
      </c>
      <c r="B7" s="363"/>
      <c r="C7" s="364">
        <f>'数据-取费表'!B2</f>
        <v>45457</v>
      </c>
      <c r="D7" s="365">
        <v>100</v>
      </c>
      <c r="E7" s="366"/>
      <c r="F7" s="367">
        <f>SUMIF(52:52,YEAR(E7)&amp;"-"&amp;MONTH(E7),53:53)</f>
        <v>0</v>
      </c>
      <c r="G7" s="366"/>
      <c r="H7" s="365">
        <f>SUMIF(52:52,YEAR(G7)&amp;"-"&amp;MONTH(G7),53:53)</f>
        <v>0</v>
      </c>
      <c r="I7" s="366"/>
      <c r="J7" s="365">
        <f>SUMIF(52:52,YEAR(I7)&amp;"-"&amp;MONTH(I7),53:53)</f>
        <v>0</v>
      </c>
      <c r="K7" s="560"/>
      <c r="L7" s="911"/>
      <c r="M7" s="912"/>
      <c r="N7" s="912"/>
      <c r="O7" s="912"/>
      <c r="P7" s="3741" t="s">
        <v>1677</v>
      </c>
      <c r="Q7" s="3743"/>
      <c r="R7" s="700" t="s">
        <v>14</v>
      </c>
      <c r="S7" s="701">
        <f t="shared" ref="S7:S15" si="0">F7</f>
        <v>0</v>
      </c>
      <c r="T7" s="700" t="s">
        <v>14</v>
      </c>
      <c r="U7" s="701">
        <f t="shared" ref="U7:U15" si="1">H7</f>
        <v>0</v>
      </c>
      <c r="V7" s="700" t="s">
        <v>14</v>
      </c>
      <c r="W7" s="701">
        <f t="shared" ref="W7:W15" si="2">J7</f>
        <v>0</v>
      </c>
      <c r="X7" s="702"/>
      <c r="Y7" s="3741" t="s">
        <v>1677</v>
      </c>
      <c r="Z7" s="3742"/>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41" t="s">
        <v>1680</v>
      </c>
      <c r="Q8" s="3742"/>
      <c r="R8" s="700" t="s">
        <v>14</v>
      </c>
      <c r="S8" s="701">
        <f t="shared" si="0"/>
        <v>100</v>
      </c>
      <c r="T8" s="700" t="s">
        <v>14</v>
      </c>
      <c r="U8" s="701">
        <f t="shared" si="1"/>
        <v>100</v>
      </c>
      <c r="V8" s="700" t="s">
        <v>14</v>
      </c>
      <c r="W8" s="701">
        <f t="shared" si="2"/>
        <v>100</v>
      </c>
      <c r="X8" s="702"/>
      <c r="Y8" s="3741" t="s">
        <v>1680</v>
      </c>
      <c r="Z8" s="3742"/>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02" t="s">
        <v>1683</v>
      </c>
      <c r="Q9" s="1339" t="str">
        <f t="shared" ref="Q9:Q15" si="6">B9</f>
        <v>用途</v>
      </c>
      <c r="R9" s="700" t="s">
        <v>14</v>
      </c>
      <c r="S9" s="701">
        <f t="shared" si="0"/>
        <v>100</v>
      </c>
      <c r="T9" s="700" t="s">
        <v>14</v>
      </c>
      <c r="U9" s="701">
        <f t="shared" si="1"/>
        <v>100</v>
      </c>
      <c r="V9" s="700" t="s">
        <v>14</v>
      </c>
      <c r="W9" s="701">
        <f t="shared" si="2"/>
        <v>100</v>
      </c>
      <c r="X9" s="702"/>
      <c r="Y9" s="3599"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02"/>
      <c r="Q10" s="1339" t="str">
        <f t="shared" si="6"/>
        <v>土地使用年限（年）</v>
      </c>
      <c r="R10" s="700" t="s">
        <v>14</v>
      </c>
      <c r="S10" s="701">
        <f t="shared" si="0"/>
        <v>100</v>
      </c>
      <c r="T10" s="700" t="s">
        <v>14</v>
      </c>
      <c r="U10" s="701">
        <f t="shared" si="1"/>
        <v>100</v>
      </c>
      <c r="V10" s="700" t="s">
        <v>14</v>
      </c>
      <c r="W10" s="701">
        <f t="shared" si="2"/>
        <v>100</v>
      </c>
      <c r="X10" s="702"/>
      <c r="Y10" s="3599"/>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02"/>
      <c r="Q11" s="1339" t="str">
        <f t="shared" si="6"/>
        <v>容积率</v>
      </c>
      <c r="R11" s="700" t="s">
        <v>14</v>
      </c>
      <c r="S11" s="701">
        <f t="shared" si="0"/>
        <v>100</v>
      </c>
      <c r="T11" s="700" t="s">
        <v>14</v>
      </c>
      <c r="U11" s="701">
        <f t="shared" si="1"/>
        <v>100</v>
      </c>
      <c r="V11" s="700" t="s">
        <v>14</v>
      </c>
      <c r="W11" s="701">
        <f t="shared" si="2"/>
        <v>100</v>
      </c>
      <c r="X11" s="702"/>
      <c r="Y11" s="3599"/>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02"/>
      <c r="Q12" s="1339">
        <f t="shared" si="6"/>
        <v>111</v>
      </c>
      <c r="R12" s="700" t="s">
        <v>14</v>
      </c>
      <c r="S12" s="701">
        <f t="shared" si="0"/>
        <v>100</v>
      </c>
      <c r="T12" s="700" t="s">
        <v>14</v>
      </c>
      <c r="U12" s="701">
        <f t="shared" si="1"/>
        <v>100</v>
      </c>
      <c r="V12" s="700" t="s">
        <v>14</v>
      </c>
      <c r="W12" s="701">
        <f t="shared" si="2"/>
        <v>100</v>
      </c>
      <c r="X12" s="702"/>
      <c r="Y12" s="3599"/>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02"/>
      <c r="Q13" s="1339">
        <f t="shared" si="6"/>
        <v>111</v>
      </c>
      <c r="R13" s="700" t="s">
        <v>14</v>
      </c>
      <c r="S13" s="701">
        <f t="shared" si="0"/>
        <v>100</v>
      </c>
      <c r="T13" s="700" t="s">
        <v>14</v>
      </c>
      <c r="U13" s="701">
        <f t="shared" si="1"/>
        <v>100</v>
      </c>
      <c r="V13" s="700" t="s">
        <v>14</v>
      </c>
      <c r="W13" s="701">
        <f t="shared" si="2"/>
        <v>100</v>
      </c>
      <c r="X13" s="702"/>
      <c r="Y13" s="3599"/>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02"/>
      <c r="Q14" s="1339">
        <f t="shared" si="6"/>
        <v>111</v>
      </c>
      <c r="R14" s="700" t="s">
        <v>14</v>
      </c>
      <c r="S14" s="701">
        <f t="shared" si="0"/>
        <v>100</v>
      </c>
      <c r="T14" s="700" t="s">
        <v>14</v>
      </c>
      <c r="U14" s="701">
        <f t="shared" si="1"/>
        <v>100</v>
      </c>
      <c r="V14" s="700" t="s">
        <v>14</v>
      </c>
      <c r="W14" s="701">
        <f t="shared" si="2"/>
        <v>100</v>
      </c>
      <c r="X14" s="702"/>
      <c r="Y14" s="3599"/>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09" t="s">
        <v>1688</v>
      </c>
      <c r="Q15" s="1348" t="str">
        <f t="shared" si="6"/>
        <v>产业集聚程度</v>
      </c>
      <c r="R15" s="704" t="s">
        <v>14</v>
      </c>
      <c r="S15" s="705">
        <f t="shared" si="0"/>
        <v>100</v>
      </c>
      <c r="T15" s="704" t="s">
        <v>14</v>
      </c>
      <c r="U15" s="705">
        <f t="shared" si="1"/>
        <v>100</v>
      </c>
      <c r="V15" s="704" t="s">
        <v>14</v>
      </c>
      <c r="W15" s="705">
        <f t="shared" si="2"/>
        <v>100</v>
      </c>
      <c r="X15" s="1351"/>
      <c r="Y15" s="3709"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10"/>
      <c r="Q16" s="1348"/>
      <c r="R16" s="704"/>
      <c r="S16" s="705"/>
      <c r="T16" s="704"/>
      <c r="U16" s="705"/>
      <c r="V16" s="704"/>
      <c r="W16" s="705"/>
      <c r="X16" s="1351"/>
      <c r="Y16" s="3710"/>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10"/>
      <c r="Q17" s="1348" t="str">
        <f>B17</f>
        <v>交通便捷度</v>
      </c>
      <c r="R17" s="704" t="s">
        <v>14</v>
      </c>
      <c r="S17" s="705">
        <f>F17</f>
        <v>100</v>
      </c>
      <c r="T17" s="704" t="s">
        <v>14</v>
      </c>
      <c r="U17" s="705">
        <f>H17</f>
        <v>100</v>
      </c>
      <c r="V17" s="704" t="s">
        <v>14</v>
      </c>
      <c r="W17" s="705">
        <f>J17</f>
        <v>100</v>
      </c>
      <c r="X17" s="1351"/>
      <c r="Y17" s="371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10"/>
      <c r="Q18" s="1348"/>
      <c r="R18" s="704"/>
      <c r="S18" s="705"/>
      <c r="T18" s="704"/>
      <c r="U18" s="705"/>
      <c r="V18" s="704"/>
      <c r="W18" s="705"/>
      <c r="X18" s="1351"/>
      <c r="Y18" s="3710"/>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10"/>
      <c r="Q19" s="1348" t="str">
        <f>B19</f>
        <v>公共配套设施</v>
      </c>
      <c r="R19" s="704" t="s">
        <v>14</v>
      </c>
      <c r="S19" s="705">
        <f>F19</f>
        <v>100</v>
      </c>
      <c r="T19" s="704" t="s">
        <v>14</v>
      </c>
      <c r="U19" s="705">
        <f>H19</f>
        <v>100</v>
      </c>
      <c r="V19" s="704" t="s">
        <v>14</v>
      </c>
      <c r="W19" s="705">
        <f>J19</f>
        <v>100</v>
      </c>
      <c r="X19" s="1351"/>
      <c r="Y19" s="371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10"/>
      <c r="Q20" s="1348"/>
      <c r="R20" s="704"/>
      <c r="S20" s="705"/>
      <c r="T20" s="704"/>
      <c r="U20" s="705"/>
      <c r="V20" s="704"/>
      <c r="W20" s="705"/>
      <c r="X20" s="1351"/>
      <c r="Y20" s="3710"/>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10"/>
      <c r="Q21" s="1348" t="str">
        <f>B21</f>
        <v>基础设施水平</v>
      </c>
      <c r="R21" s="704" t="s">
        <v>14</v>
      </c>
      <c r="S21" s="705">
        <f>F21</f>
        <v>100</v>
      </c>
      <c r="T21" s="704" t="s">
        <v>14</v>
      </c>
      <c r="U21" s="705">
        <f>H21</f>
        <v>100</v>
      </c>
      <c r="V21" s="704" t="s">
        <v>14</v>
      </c>
      <c r="W21" s="705">
        <f>J21</f>
        <v>100</v>
      </c>
      <c r="X21" s="1351"/>
      <c r="Y21" s="371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10"/>
      <c r="Q22" s="1348"/>
      <c r="R22" s="704"/>
      <c r="S22" s="705"/>
      <c r="T22" s="704"/>
      <c r="U22" s="705"/>
      <c r="V22" s="704"/>
      <c r="W22" s="705"/>
      <c r="X22" s="1351"/>
      <c r="Y22" s="3710"/>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10"/>
      <c r="Q23" s="1348" t="str">
        <f>B23</f>
        <v>环境质量</v>
      </c>
      <c r="R23" s="704" t="s">
        <v>14</v>
      </c>
      <c r="S23" s="705">
        <f>F23</f>
        <v>100</v>
      </c>
      <c r="T23" s="704" t="s">
        <v>14</v>
      </c>
      <c r="U23" s="705">
        <f>H23</f>
        <v>100</v>
      </c>
      <c r="V23" s="704" t="s">
        <v>14</v>
      </c>
      <c r="W23" s="705">
        <f>J23</f>
        <v>100</v>
      </c>
      <c r="X23" s="1351"/>
      <c r="Y23" s="371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10"/>
      <c r="Q24" s="1348"/>
      <c r="R24" s="704"/>
      <c r="S24" s="705"/>
      <c r="T24" s="704"/>
      <c r="U24" s="705"/>
      <c r="V24" s="704"/>
      <c r="W24" s="705"/>
      <c r="X24" s="1351"/>
      <c r="Y24" s="371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10"/>
      <c r="Q25" s="1348">
        <f>B25</f>
        <v>111</v>
      </c>
      <c r="R25" s="704" t="s">
        <v>14</v>
      </c>
      <c r="S25" s="705">
        <f>F25</f>
        <v>100</v>
      </c>
      <c r="T25" s="704" t="s">
        <v>14</v>
      </c>
      <c r="U25" s="705">
        <f>H25</f>
        <v>100</v>
      </c>
      <c r="V25" s="704" t="s">
        <v>14</v>
      </c>
      <c r="W25" s="705">
        <f>J25</f>
        <v>100</v>
      </c>
      <c r="X25" s="1351"/>
      <c r="Y25" s="371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10"/>
      <c r="Q26" s="1348">
        <f t="shared" ref="Q26:Q40" si="11">B26</f>
        <v>111</v>
      </c>
      <c r="R26" s="704" t="s">
        <v>14</v>
      </c>
      <c r="S26" s="705">
        <f>F26</f>
        <v>100</v>
      </c>
      <c r="T26" s="704" t="s">
        <v>14</v>
      </c>
      <c r="U26" s="705">
        <f>H26</f>
        <v>100</v>
      </c>
      <c r="V26" s="704" t="s">
        <v>14</v>
      </c>
      <c r="W26" s="705">
        <f>J26</f>
        <v>100</v>
      </c>
      <c r="X26" s="1351"/>
      <c r="Y26" s="371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10"/>
      <c r="Q27" s="1339">
        <f t="shared" si="11"/>
        <v>111</v>
      </c>
      <c r="R27" s="700" t="s">
        <v>14</v>
      </c>
      <c r="S27" s="701">
        <f>F27</f>
        <v>100</v>
      </c>
      <c r="T27" s="700" t="s">
        <v>14</v>
      </c>
      <c r="U27" s="701">
        <f>H27</f>
        <v>100</v>
      </c>
      <c r="V27" s="700" t="s">
        <v>14</v>
      </c>
      <c r="W27" s="701">
        <f>J27</f>
        <v>100</v>
      </c>
      <c r="X27" s="702"/>
      <c r="Y27" s="371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10"/>
      <c r="Q28" s="1348">
        <f t="shared" si="11"/>
        <v>111</v>
      </c>
      <c r="R28" s="704" t="s">
        <v>14</v>
      </c>
      <c r="S28" s="705">
        <f t="shared" ref="S28:S40" si="12">F28</f>
        <v>100</v>
      </c>
      <c r="T28" s="704" t="s">
        <v>14</v>
      </c>
      <c r="U28" s="705">
        <f t="shared" ref="U28:U40" si="13">H28</f>
        <v>100</v>
      </c>
      <c r="V28" s="704" t="s">
        <v>14</v>
      </c>
      <c r="W28" s="705">
        <f t="shared" ref="W28:W40" si="14">J28</f>
        <v>100</v>
      </c>
      <c r="X28" s="1351"/>
      <c r="Y28" s="3710"/>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2" t="s">
        <v>1693</v>
      </c>
      <c r="Q29" s="1348" t="str">
        <f t="shared" si="11"/>
        <v>建筑类型</v>
      </c>
      <c r="R29" s="704" t="s">
        <v>14</v>
      </c>
      <c r="S29" s="705">
        <f t="shared" si="12"/>
        <v>100</v>
      </c>
      <c r="T29" s="704" t="s">
        <v>14</v>
      </c>
      <c r="U29" s="705">
        <f t="shared" si="13"/>
        <v>100</v>
      </c>
      <c r="V29" s="704" t="s">
        <v>14</v>
      </c>
      <c r="W29" s="705">
        <f t="shared" si="14"/>
        <v>100</v>
      </c>
      <c r="X29" s="1351"/>
      <c r="Y29" s="3714"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14"/>
      <c r="Q30" s="706" t="str">
        <f t="shared" si="11"/>
        <v>项目建筑规模</v>
      </c>
      <c r="R30" s="707" t="s">
        <v>14</v>
      </c>
      <c r="S30" s="708" t="e">
        <f t="shared" si="12"/>
        <v>#N/A</v>
      </c>
      <c r="T30" s="707" t="s">
        <v>14</v>
      </c>
      <c r="U30" s="708" t="e">
        <f t="shared" si="13"/>
        <v>#N/A</v>
      </c>
      <c r="V30" s="707" t="s">
        <v>14</v>
      </c>
      <c r="W30" s="708" t="e">
        <f t="shared" si="14"/>
        <v>#N/A</v>
      </c>
      <c r="X30" s="709"/>
      <c r="Y30" s="3714"/>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14"/>
      <c r="Q31" s="1348" t="str">
        <f t="shared" si="11"/>
        <v>建筑结构</v>
      </c>
      <c r="R31" s="704" t="s">
        <v>14</v>
      </c>
      <c r="S31" s="705">
        <f t="shared" si="12"/>
        <v>100</v>
      </c>
      <c r="T31" s="704" t="s">
        <v>14</v>
      </c>
      <c r="U31" s="705">
        <f t="shared" si="13"/>
        <v>100</v>
      </c>
      <c r="V31" s="704" t="s">
        <v>14</v>
      </c>
      <c r="W31" s="705">
        <f t="shared" si="14"/>
        <v>100</v>
      </c>
      <c r="X31" s="1351"/>
      <c r="Y31" s="3714"/>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14"/>
      <c r="Q32" s="1348" t="str">
        <f t="shared" si="11"/>
        <v>公共部分装修</v>
      </c>
      <c r="R32" s="704" t="s">
        <v>14</v>
      </c>
      <c r="S32" s="705">
        <f t="shared" si="12"/>
        <v>100</v>
      </c>
      <c r="T32" s="704" t="s">
        <v>14</v>
      </c>
      <c r="U32" s="705">
        <f t="shared" si="13"/>
        <v>100</v>
      </c>
      <c r="V32" s="704" t="s">
        <v>14</v>
      </c>
      <c r="W32" s="705">
        <f t="shared" si="14"/>
        <v>100</v>
      </c>
      <c r="X32" s="1351"/>
      <c r="Y32" s="3714"/>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14"/>
      <c r="Q33" s="1348" t="str">
        <f t="shared" si="11"/>
        <v>成新度</v>
      </c>
      <c r="R33" s="704" t="s">
        <v>14</v>
      </c>
      <c r="S33" s="705" t="e">
        <f t="shared" si="12"/>
        <v>#N/A</v>
      </c>
      <c r="T33" s="704" t="s">
        <v>14</v>
      </c>
      <c r="U33" s="705" t="e">
        <f t="shared" si="13"/>
        <v>#N/A</v>
      </c>
      <c r="V33" s="704" t="s">
        <v>14</v>
      </c>
      <c r="W33" s="705" t="e">
        <f t="shared" si="14"/>
        <v>#N/A</v>
      </c>
      <c r="X33" s="1351"/>
      <c r="Y33" s="3714"/>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14"/>
      <c r="Q34" s="1339" t="str">
        <f t="shared" si="11"/>
        <v>物业管理</v>
      </c>
      <c r="R34" s="700" t="s">
        <v>14</v>
      </c>
      <c r="S34" s="701">
        <f t="shared" si="12"/>
        <v>100</v>
      </c>
      <c r="T34" s="700" t="s">
        <v>14</v>
      </c>
      <c r="U34" s="701">
        <f t="shared" si="13"/>
        <v>100</v>
      </c>
      <c r="V34" s="700" t="s">
        <v>14</v>
      </c>
      <c r="W34" s="701">
        <f t="shared" si="14"/>
        <v>100</v>
      </c>
      <c r="X34" s="702"/>
      <c r="Y34" s="3714"/>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14" t="s">
        <v>1693</v>
      </c>
      <c r="Q35" s="1348" t="str">
        <f t="shared" si="11"/>
        <v>市政基础设施</v>
      </c>
      <c r="R35" s="704" t="s">
        <v>14</v>
      </c>
      <c r="S35" s="705">
        <f t="shared" si="12"/>
        <v>100</v>
      </c>
      <c r="T35" s="704" t="s">
        <v>14</v>
      </c>
      <c r="U35" s="705">
        <f t="shared" si="13"/>
        <v>100</v>
      </c>
      <c r="V35" s="704" t="s">
        <v>14</v>
      </c>
      <c r="W35" s="705">
        <f t="shared" si="14"/>
        <v>100</v>
      </c>
      <c r="X35" s="1351"/>
      <c r="Y35" s="3714"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14"/>
      <c r="Q36" s="1348" t="str">
        <f t="shared" si="11"/>
        <v>内部装修</v>
      </c>
      <c r="R36" s="704" t="s">
        <v>14</v>
      </c>
      <c r="S36" s="705">
        <f t="shared" si="12"/>
        <v>100</v>
      </c>
      <c r="T36" s="704" t="s">
        <v>14</v>
      </c>
      <c r="U36" s="705">
        <f t="shared" si="13"/>
        <v>100</v>
      </c>
      <c r="V36" s="704" t="s">
        <v>14</v>
      </c>
      <c r="W36" s="705">
        <f t="shared" si="14"/>
        <v>100</v>
      </c>
      <c r="X36" s="1351"/>
      <c r="Y36" s="3714"/>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14"/>
      <c r="Q37" s="1348" t="str">
        <f t="shared" si="11"/>
        <v>内部装修状况</v>
      </c>
      <c r="R37" s="704" t="s">
        <v>14</v>
      </c>
      <c r="S37" s="705">
        <f t="shared" si="12"/>
        <v>100</v>
      </c>
      <c r="T37" s="704" t="s">
        <v>14</v>
      </c>
      <c r="U37" s="705">
        <f t="shared" si="13"/>
        <v>100</v>
      </c>
      <c r="V37" s="704" t="s">
        <v>14</v>
      </c>
      <c r="W37" s="705">
        <f t="shared" si="14"/>
        <v>100</v>
      </c>
      <c r="X37" s="1351"/>
      <c r="Y37" s="371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14"/>
      <c r="Q38" s="706">
        <f t="shared" si="11"/>
        <v>111</v>
      </c>
      <c r="R38" s="707" t="s">
        <v>14</v>
      </c>
      <c r="S38" s="708">
        <f t="shared" si="12"/>
        <v>100</v>
      </c>
      <c r="T38" s="707" t="s">
        <v>14</v>
      </c>
      <c r="U38" s="708">
        <f t="shared" si="13"/>
        <v>100</v>
      </c>
      <c r="V38" s="707" t="s">
        <v>14</v>
      </c>
      <c r="W38" s="708">
        <f t="shared" si="14"/>
        <v>100</v>
      </c>
      <c r="X38" s="709"/>
      <c r="Y38" s="3714"/>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14"/>
      <c r="Q39" s="1348">
        <f t="shared" si="11"/>
        <v>111</v>
      </c>
      <c r="R39" s="704" t="s">
        <v>14</v>
      </c>
      <c r="S39" s="705">
        <f t="shared" si="12"/>
        <v>100</v>
      </c>
      <c r="T39" s="704" t="s">
        <v>14</v>
      </c>
      <c r="U39" s="705">
        <f t="shared" si="13"/>
        <v>100</v>
      </c>
      <c r="V39" s="704" t="s">
        <v>14</v>
      </c>
      <c r="W39" s="705">
        <f t="shared" si="14"/>
        <v>100</v>
      </c>
      <c r="X39" s="1351"/>
      <c r="Y39" s="371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15"/>
      <c r="Q40" s="1348">
        <f t="shared" si="11"/>
        <v>111</v>
      </c>
      <c r="R40" s="704" t="s">
        <v>14</v>
      </c>
      <c r="S40" s="705">
        <f t="shared" si="12"/>
        <v>100</v>
      </c>
      <c r="T40" s="704" t="s">
        <v>14</v>
      </c>
      <c r="U40" s="705">
        <f t="shared" si="13"/>
        <v>100</v>
      </c>
      <c r="V40" s="704" t="s">
        <v>14</v>
      </c>
      <c r="W40" s="705">
        <f t="shared" si="14"/>
        <v>100</v>
      </c>
      <c r="X40" s="1351"/>
      <c r="Y40" s="3715"/>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02" t="str">
        <f>A41</f>
        <v>成交单价（元/平方米）</v>
      </c>
      <c r="Q41" s="3702"/>
      <c r="R41" s="3703">
        <f>E41</f>
        <v>0</v>
      </c>
      <c r="S41" s="3703"/>
      <c r="T41" s="3703">
        <f>G41</f>
        <v>0</v>
      </c>
      <c r="U41" s="3703"/>
      <c r="V41" s="3703">
        <f>I41</f>
        <v>0</v>
      </c>
      <c r="W41" s="3703"/>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21" t="s">
        <v>1767</v>
      </c>
      <c r="D4" s="3722"/>
      <c r="E4" s="3723" t="s">
        <v>1768</v>
      </c>
      <c r="F4" s="3724"/>
      <c r="G4" s="3721" t="s">
        <v>1769</v>
      </c>
      <c r="H4" s="3722"/>
      <c r="I4" s="3721" t="s">
        <v>1770</v>
      </c>
      <c r="J4" s="3722"/>
      <c r="K4" s="559" t="s">
        <v>1771</v>
      </c>
      <c r="L4" s="2711"/>
      <c r="M4" s="2712"/>
      <c r="N4" s="2712"/>
      <c r="O4" s="2712"/>
      <c r="P4" s="3725" t="s">
        <v>1772</v>
      </c>
      <c r="Q4" s="3726"/>
      <c r="R4" s="3731" t="s">
        <v>1768</v>
      </c>
      <c r="S4" s="3732"/>
      <c r="T4" s="3731" t="s">
        <v>1769</v>
      </c>
      <c r="U4" s="3732"/>
      <c r="V4" s="3716" t="s">
        <v>1770</v>
      </c>
      <c r="W4" s="3716"/>
      <c r="X4" s="1351"/>
      <c r="Y4" s="3731" t="s">
        <v>1772</v>
      </c>
      <c r="Z4" s="3732"/>
      <c r="AA4" s="3718" t="s">
        <v>1768</v>
      </c>
      <c r="AB4" s="3719" t="s">
        <v>1769</v>
      </c>
      <c r="AC4" s="3718" t="s">
        <v>1770</v>
      </c>
    </row>
    <row r="5" spans="1:29" ht="15">
      <c r="A5" s="358"/>
      <c r="B5" s="359"/>
      <c r="C5" s="3739" t="s">
        <v>1670</v>
      </c>
      <c r="D5" s="3740"/>
      <c r="E5" s="3746" t="s">
        <v>1671</v>
      </c>
      <c r="F5" s="3747"/>
      <c r="G5" s="3739" t="s">
        <v>1672</v>
      </c>
      <c r="H5" s="3740"/>
      <c r="I5" s="3739" t="s">
        <v>1673</v>
      </c>
      <c r="J5" s="3740"/>
      <c r="K5" s="559"/>
      <c r="L5" s="2711"/>
      <c r="M5" s="2712"/>
      <c r="N5" s="2712"/>
      <c r="O5" s="2712"/>
      <c r="P5" s="3727"/>
      <c r="Q5" s="3728"/>
      <c r="R5" s="3733"/>
      <c r="S5" s="3734"/>
      <c r="T5" s="3733"/>
      <c r="U5" s="3734"/>
      <c r="V5" s="3716"/>
      <c r="W5" s="3716"/>
      <c r="X5" s="1351"/>
      <c r="Y5" s="3733"/>
      <c r="Z5" s="3734"/>
      <c r="AA5" s="3719"/>
      <c r="AB5" s="3719"/>
      <c r="AC5" s="3719"/>
    </row>
    <row r="6" spans="1:29" ht="15.75" thickBot="1">
      <c r="A6" s="360"/>
      <c r="B6" s="361"/>
      <c r="C6" s="3737" t="s">
        <v>1674</v>
      </c>
      <c r="D6" s="3738"/>
      <c r="E6" s="3744" t="s">
        <v>1674</v>
      </c>
      <c r="F6" s="3745"/>
      <c r="G6" s="3737" t="s">
        <v>1674</v>
      </c>
      <c r="H6" s="3738"/>
      <c r="I6" s="3737" t="s">
        <v>1674</v>
      </c>
      <c r="J6" s="3738"/>
      <c r="K6" s="559" t="s">
        <v>1675</v>
      </c>
      <c r="L6" s="2711"/>
      <c r="M6" s="2712"/>
      <c r="N6" s="2712"/>
      <c r="O6" s="2712"/>
      <c r="P6" s="3729"/>
      <c r="Q6" s="3730"/>
      <c r="R6" s="3733"/>
      <c r="S6" s="3734"/>
      <c r="T6" s="3735"/>
      <c r="U6" s="3736"/>
      <c r="V6" s="3716"/>
      <c r="W6" s="3716"/>
      <c r="X6" s="1351"/>
      <c r="Y6" s="3735"/>
      <c r="Z6" s="3736"/>
      <c r="AA6" s="3720"/>
      <c r="AB6" s="3720"/>
      <c r="AC6" s="3720"/>
    </row>
    <row r="7" spans="1:29" s="108" customFormat="1" ht="15.75" thickBot="1">
      <c r="A7" s="362" t="s">
        <v>1676</v>
      </c>
      <c r="B7" s="363"/>
      <c r="C7" s="364">
        <f>'数据-取费表'!B2</f>
        <v>45457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1" t="s">
        <v>1677</v>
      </c>
      <c r="Q7" s="3743"/>
      <c r="R7" s="700" t="s">
        <v>14</v>
      </c>
      <c r="S7" s="701">
        <f t="shared" ref="S7:S14" si="0">F7</f>
        <v>0</v>
      </c>
      <c r="T7" s="700" t="s">
        <v>14</v>
      </c>
      <c r="U7" s="701">
        <f t="shared" ref="U7:U14" si="1">H7</f>
        <v>0</v>
      </c>
      <c r="V7" s="700" t="s">
        <v>14</v>
      </c>
      <c r="W7" s="701">
        <f t="shared" ref="W7:W14" si="2">J7</f>
        <v>0</v>
      </c>
      <c r="X7" s="702"/>
      <c r="Y7" s="3741" t="s">
        <v>1677</v>
      </c>
      <c r="Z7" s="3742"/>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1" t="s">
        <v>1680</v>
      </c>
      <c r="Q8" s="3742"/>
      <c r="R8" s="700" t="s">
        <v>14</v>
      </c>
      <c r="S8" s="701">
        <f t="shared" si="0"/>
        <v>100</v>
      </c>
      <c r="T8" s="700" t="s">
        <v>14</v>
      </c>
      <c r="U8" s="701">
        <f t="shared" si="1"/>
        <v>100</v>
      </c>
      <c r="V8" s="700" t="s">
        <v>14</v>
      </c>
      <c r="W8" s="701">
        <f t="shared" si="2"/>
        <v>100</v>
      </c>
      <c r="X8" s="702"/>
      <c r="Y8" s="3741" t="s">
        <v>1680</v>
      </c>
      <c r="Z8" s="3742"/>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2" t="s">
        <v>1683</v>
      </c>
      <c r="Q9" s="1339" t="str">
        <f t="shared" ref="Q9:Q14" si="6">B9</f>
        <v>用途</v>
      </c>
      <c r="R9" s="700" t="s">
        <v>14</v>
      </c>
      <c r="S9" s="701">
        <f t="shared" si="0"/>
        <v>100</v>
      </c>
      <c r="T9" s="700" t="s">
        <v>14</v>
      </c>
      <c r="U9" s="701">
        <f t="shared" si="1"/>
        <v>100</v>
      </c>
      <c r="V9" s="700" t="s">
        <v>14</v>
      </c>
      <c r="W9" s="701">
        <f t="shared" si="2"/>
        <v>100</v>
      </c>
      <c r="X9" s="702"/>
      <c r="Y9" s="3599"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02"/>
      <c r="Q10" s="1339" t="str">
        <f t="shared" si="6"/>
        <v>土地使用年限（年）</v>
      </c>
      <c r="R10" s="700" t="s">
        <v>14</v>
      </c>
      <c r="S10" s="701">
        <f t="shared" si="0"/>
        <v>100</v>
      </c>
      <c r="T10" s="700" t="s">
        <v>14</v>
      </c>
      <c r="U10" s="701">
        <f t="shared" si="1"/>
        <v>100</v>
      </c>
      <c r="V10" s="700" t="s">
        <v>14</v>
      </c>
      <c r="W10" s="701">
        <f t="shared" si="2"/>
        <v>100</v>
      </c>
      <c r="X10" s="702"/>
      <c r="Y10" s="359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2"/>
      <c r="Q11" s="1339">
        <f t="shared" si="6"/>
        <v>111</v>
      </c>
      <c r="R11" s="700" t="s">
        <v>14</v>
      </c>
      <c r="S11" s="701">
        <f t="shared" si="0"/>
        <v>100</v>
      </c>
      <c r="T11" s="700" t="s">
        <v>14</v>
      </c>
      <c r="U11" s="701">
        <f t="shared" si="1"/>
        <v>100</v>
      </c>
      <c r="V11" s="700" t="s">
        <v>14</v>
      </c>
      <c r="W11" s="701">
        <f t="shared" si="2"/>
        <v>100</v>
      </c>
      <c r="X11" s="702"/>
      <c r="Y11" s="359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2"/>
      <c r="Q12" s="1339">
        <f t="shared" si="6"/>
        <v>111</v>
      </c>
      <c r="R12" s="700" t="s">
        <v>14</v>
      </c>
      <c r="S12" s="701">
        <f t="shared" si="0"/>
        <v>100</v>
      </c>
      <c r="T12" s="700" t="s">
        <v>14</v>
      </c>
      <c r="U12" s="701">
        <f t="shared" si="1"/>
        <v>100</v>
      </c>
      <c r="V12" s="700" t="s">
        <v>14</v>
      </c>
      <c r="W12" s="701">
        <f t="shared" si="2"/>
        <v>100</v>
      </c>
      <c r="X12" s="702"/>
      <c r="Y12" s="359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2"/>
      <c r="Q13" s="1339">
        <f t="shared" si="6"/>
        <v>111</v>
      </c>
      <c r="R13" s="700" t="s">
        <v>14</v>
      </c>
      <c r="S13" s="701">
        <f t="shared" si="0"/>
        <v>100</v>
      </c>
      <c r="T13" s="700" t="s">
        <v>14</v>
      </c>
      <c r="U13" s="701">
        <f t="shared" si="1"/>
        <v>100</v>
      </c>
      <c r="V13" s="700" t="s">
        <v>14</v>
      </c>
      <c r="W13" s="701">
        <f t="shared" si="2"/>
        <v>100</v>
      </c>
      <c r="X13" s="702"/>
      <c r="Y13" s="3599"/>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9" t="s">
        <v>1688</v>
      </c>
      <c r="Q14" s="1348" t="str">
        <f t="shared" si="6"/>
        <v>交通便捷度</v>
      </c>
      <c r="R14" s="704" t="s">
        <v>14</v>
      </c>
      <c r="S14" s="705">
        <f t="shared" si="0"/>
        <v>100</v>
      </c>
      <c r="T14" s="704" t="s">
        <v>14</v>
      </c>
      <c r="U14" s="705">
        <f t="shared" si="1"/>
        <v>100</v>
      </c>
      <c r="V14" s="704" t="s">
        <v>14</v>
      </c>
      <c r="W14" s="705">
        <f t="shared" si="2"/>
        <v>100</v>
      </c>
      <c r="X14" s="1351"/>
      <c r="Y14" s="3709"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10"/>
      <c r="Q15" s="1348"/>
      <c r="R15" s="704"/>
      <c r="S15" s="705"/>
      <c r="T15" s="704"/>
      <c r="U15" s="705"/>
      <c r="V15" s="704"/>
      <c r="W15" s="705"/>
      <c r="X15" s="1351"/>
      <c r="Y15" s="3710"/>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0"/>
      <c r="Q16" s="1348" t="str">
        <f>B16</f>
        <v>公共配套设施</v>
      </c>
      <c r="R16" s="704" t="s">
        <v>14</v>
      </c>
      <c r="S16" s="705">
        <f>F16</f>
        <v>100</v>
      </c>
      <c r="T16" s="704" t="s">
        <v>14</v>
      </c>
      <c r="U16" s="705">
        <f>H16</f>
        <v>100</v>
      </c>
      <c r="V16" s="704" t="s">
        <v>14</v>
      </c>
      <c r="W16" s="705">
        <f>J16</f>
        <v>100</v>
      </c>
      <c r="X16" s="1351"/>
      <c r="Y16" s="3710"/>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10"/>
      <c r="Q17" s="1348"/>
      <c r="R17" s="704"/>
      <c r="S17" s="705"/>
      <c r="T17" s="704"/>
      <c r="U17" s="705"/>
      <c r="V17" s="704"/>
      <c r="W17" s="705"/>
      <c r="X17" s="1351"/>
      <c r="Y17" s="3710"/>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0"/>
      <c r="Q18" s="1348" t="str">
        <f>B18</f>
        <v>基础设施水平</v>
      </c>
      <c r="R18" s="704" t="s">
        <v>14</v>
      </c>
      <c r="S18" s="705">
        <f>F18</f>
        <v>100</v>
      </c>
      <c r="T18" s="704" t="s">
        <v>14</v>
      </c>
      <c r="U18" s="705">
        <f>H18</f>
        <v>100</v>
      </c>
      <c r="V18" s="704" t="s">
        <v>14</v>
      </c>
      <c r="W18" s="705">
        <f>J18</f>
        <v>100</v>
      </c>
      <c r="X18" s="1351"/>
      <c r="Y18" s="3710"/>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10"/>
      <c r="Q19" s="1348"/>
      <c r="R19" s="704"/>
      <c r="S19" s="705"/>
      <c r="T19" s="704"/>
      <c r="U19" s="705"/>
      <c r="V19" s="704"/>
      <c r="W19" s="705"/>
      <c r="X19" s="1351"/>
      <c r="Y19" s="3710"/>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0"/>
      <c r="Q20" s="1348" t="str">
        <f>B20</f>
        <v>自然及人文环境</v>
      </c>
      <c r="R20" s="704" t="s">
        <v>14</v>
      </c>
      <c r="S20" s="705">
        <f>F20</f>
        <v>100</v>
      </c>
      <c r="T20" s="704" t="s">
        <v>14</v>
      </c>
      <c r="U20" s="705">
        <f>H20</f>
        <v>100</v>
      </c>
      <c r="V20" s="704" t="s">
        <v>14</v>
      </c>
      <c r="W20" s="705">
        <f>J20</f>
        <v>100</v>
      </c>
      <c r="X20" s="1351"/>
      <c r="Y20" s="3710"/>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10"/>
      <c r="Q21" s="1348"/>
      <c r="R21" s="704"/>
      <c r="S21" s="705"/>
      <c r="T21" s="704"/>
      <c r="U21" s="705"/>
      <c r="V21" s="704"/>
      <c r="W21" s="705"/>
      <c r="X21" s="1351"/>
      <c r="Y21" s="3710"/>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0"/>
      <c r="Q22" s="1348" t="str">
        <f>B22</f>
        <v>楼层</v>
      </c>
      <c r="R22" s="704" t="s">
        <v>14</v>
      </c>
      <c r="S22" s="705">
        <f>F22</f>
        <v>100</v>
      </c>
      <c r="T22" s="704" t="s">
        <v>14</v>
      </c>
      <c r="U22" s="705">
        <f>H22</f>
        <v>100</v>
      </c>
      <c r="V22" s="704" t="s">
        <v>14</v>
      </c>
      <c r="W22" s="705">
        <f>J22</f>
        <v>100</v>
      </c>
      <c r="X22" s="1351"/>
      <c r="Y22" s="3710"/>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0"/>
      <c r="Q23" s="1348">
        <f>B23</f>
        <v>111</v>
      </c>
      <c r="R23" s="704" t="s">
        <v>14</v>
      </c>
      <c r="S23" s="705">
        <f>F23</f>
        <v>100</v>
      </c>
      <c r="T23" s="704" t="s">
        <v>14</v>
      </c>
      <c r="U23" s="705">
        <f>H23</f>
        <v>100</v>
      </c>
      <c r="V23" s="704" t="s">
        <v>14</v>
      </c>
      <c r="W23" s="705">
        <f>J23</f>
        <v>100</v>
      </c>
      <c r="X23" s="1351"/>
      <c r="Y23" s="3710"/>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0"/>
      <c r="Q24" s="1348">
        <f t="shared" ref="Q24:Q36" si="11">B24</f>
        <v>111</v>
      </c>
      <c r="R24" s="704" t="s">
        <v>14</v>
      </c>
      <c r="S24" s="705">
        <f>F24</f>
        <v>100</v>
      </c>
      <c r="T24" s="704" t="s">
        <v>14</v>
      </c>
      <c r="U24" s="705">
        <f>H24</f>
        <v>100</v>
      </c>
      <c r="V24" s="704" t="s">
        <v>14</v>
      </c>
      <c r="W24" s="705">
        <f>J24</f>
        <v>100</v>
      </c>
      <c r="X24" s="1351"/>
      <c r="Y24" s="3710"/>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10"/>
      <c r="Q25" s="1339">
        <f t="shared" si="11"/>
        <v>111</v>
      </c>
      <c r="R25" s="700" t="s">
        <v>14</v>
      </c>
      <c r="S25" s="701">
        <f>F25</f>
        <v>100</v>
      </c>
      <c r="T25" s="700" t="s">
        <v>14</v>
      </c>
      <c r="U25" s="701">
        <f>H25</f>
        <v>100</v>
      </c>
      <c r="V25" s="700" t="s">
        <v>14</v>
      </c>
      <c r="W25" s="701">
        <f>J25</f>
        <v>100</v>
      </c>
      <c r="X25" s="702"/>
      <c r="Y25" s="3710"/>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2"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14"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14"/>
      <c r="Q27" s="706" t="str">
        <f t="shared" si="11"/>
        <v>项目停车位配比</v>
      </c>
      <c r="R27" s="707" t="s">
        <v>14</v>
      </c>
      <c r="S27" s="708">
        <f t="shared" si="12"/>
        <v>100</v>
      </c>
      <c r="T27" s="707" t="s">
        <v>14</v>
      </c>
      <c r="U27" s="708">
        <f t="shared" si="13"/>
        <v>100</v>
      </c>
      <c r="V27" s="707" t="s">
        <v>14</v>
      </c>
      <c r="W27" s="708">
        <f t="shared" si="14"/>
        <v>100</v>
      </c>
      <c r="X27" s="709"/>
      <c r="Y27" s="3714"/>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4"/>
      <c r="Q28" s="1348" t="str">
        <f t="shared" si="11"/>
        <v>公共部分装修</v>
      </c>
      <c r="R28" s="704" t="s">
        <v>14</v>
      </c>
      <c r="S28" s="705">
        <f t="shared" si="12"/>
        <v>100</v>
      </c>
      <c r="T28" s="704" t="s">
        <v>14</v>
      </c>
      <c r="U28" s="705">
        <f t="shared" si="13"/>
        <v>100</v>
      </c>
      <c r="V28" s="704" t="s">
        <v>14</v>
      </c>
      <c r="W28" s="705">
        <f t="shared" si="14"/>
        <v>100</v>
      </c>
      <c r="X28" s="1351"/>
      <c r="Y28" s="3714"/>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4"/>
      <c r="Q29" s="1348" t="str">
        <f t="shared" si="11"/>
        <v>成新率</v>
      </c>
      <c r="R29" s="704" t="s">
        <v>14</v>
      </c>
      <c r="S29" s="705" t="e">
        <f t="shared" si="12"/>
        <v>#N/A</v>
      </c>
      <c r="T29" s="704" t="s">
        <v>14</v>
      </c>
      <c r="U29" s="705" t="e">
        <f t="shared" si="13"/>
        <v>#N/A</v>
      </c>
      <c r="V29" s="704" t="s">
        <v>14</v>
      </c>
      <c r="W29" s="705" t="e">
        <f t="shared" si="14"/>
        <v>#N/A</v>
      </c>
      <c r="X29" s="1351"/>
      <c r="Y29" s="3714"/>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14"/>
      <c r="Q30" s="1348" t="str">
        <f t="shared" si="11"/>
        <v>物业等级</v>
      </c>
      <c r="R30" s="704" t="s">
        <v>14</v>
      </c>
      <c r="S30" s="705">
        <f t="shared" si="12"/>
        <v>100</v>
      </c>
      <c r="T30" s="704" t="s">
        <v>14</v>
      </c>
      <c r="U30" s="705">
        <f t="shared" si="13"/>
        <v>100</v>
      </c>
      <c r="V30" s="704" t="s">
        <v>14</v>
      </c>
      <c r="W30" s="705">
        <f t="shared" si="14"/>
        <v>100</v>
      </c>
      <c r="X30" s="1351"/>
      <c r="Y30" s="3714"/>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4"/>
      <c r="Q31" s="1339" t="str">
        <f t="shared" si="11"/>
        <v>停车位面积</v>
      </c>
      <c r="R31" s="700" t="s">
        <v>14</v>
      </c>
      <c r="S31" s="701" t="e">
        <f t="shared" si="12"/>
        <v>#N/A</v>
      </c>
      <c r="T31" s="700" t="s">
        <v>14</v>
      </c>
      <c r="U31" s="701" t="e">
        <f t="shared" si="13"/>
        <v>#N/A</v>
      </c>
      <c r="V31" s="700" t="s">
        <v>14</v>
      </c>
      <c r="W31" s="701" t="e">
        <f t="shared" si="14"/>
        <v>#N/A</v>
      </c>
      <c r="X31" s="702"/>
      <c r="Y31" s="3714"/>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4" t="s">
        <v>1693</v>
      </c>
      <c r="Q32" s="1348" t="str">
        <f t="shared" si="11"/>
        <v>车位类型</v>
      </c>
      <c r="R32" s="704" t="s">
        <v>14</v>
      </c>
      <c r="S32" s="705">
        <f t="shared" si="12"/>
        <v>100</v>
      </c>
      <c r="T32" s="704" t="s">
        <v>14</v>
      </c>
      <c r="U32" s="705">
        <f t="shared" si="13"/>
        <v>100</v>
      </c>
      <c r="V32" s="704" t="s">
        <v>14</v>
      </c>
      <c r="W32" s="705">
        <f t="shared" si="14"/>
        <v>100</v>
      </c>
      <c r="X32" s="1351"/>
      <c r="Y32" s="3714"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4"/>
      <c r="Q33" s="1348" t="str">
        <f t="shared" si="11"/>
        <v>是否直接入户</v>
      </c>
      <c r="R33" s="704" t="s">
        <v>14</v>
      </c>
      <c r="S33" s="705">
        <f t="shared" si="12"/>
        <v>100</v>
      </c>
      <c r="T33" s="704" t="s">
        <v>14</v>
      </c>
      <c r="U33" s="705">
        <f t="shared" si="13"/>
        <v>100</v>
      </c>
      <c r="V33" s="704" t="s">
        <v>14</v>
      </c>
      <c r="W33" s="705">
        <f t="shared" si="14"/>
        <v>100</v>
      </c>
      <c r="X33" s="1351"/>
      <c r="Y33" s="3714"/>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4"/>
      <c r="Q34" s="1348">
        <f t="shared" si="11"/>
        <v>111</v>
      </c>
      <c r="R34" s="704" t="s">
        <v>14</v>
      </c>
      <c r="S34" s="705">
        <f t="shared" si="12"/>
        <v>100</v>
      </c>
      <c r="T34" s="704" t="s">
        <v>14</v>
      </c>
      <c r="U34" s="705">
        <f t="shared" si="13"/>
        <v>100</v>
      </c>
      <c r="V34" s="704" t="s">
        <v>14</v>
      </c>
      <c r="W34" s="705">
        <f t="shared" si="14"/>
        <v>100</v>
      </c>
      <c r="X34" s="1351"/>
      <c r="Y34" s="3714"/>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4"/>
      <c r="Q35" s="706">
        <f t="shared" si="11"/>
        <v>111</v>
      </c>
      <c r="R35" s="707" t="s">
        <v>14</v>
      </c>
      <c r="S35" s="708">
        <f t="shared" si="12"/>
        <v>100</v>
      </c>
      <c r="T35" s="707" t="s">
        <v>14</v>
      </c>
      <c r="U35" s="708">
        <f t="shared" si="13"/>
        <v>100</v>
      </c>
      <c r="V35" s="707" t="s">
        <v>14</v>
      </c>
      <c r="W35" s="708">
        <f t="shared" si="14"/>
        <v>100</v>
      </c>
      <c r="X35" s="709"/>
      <c r="Y35" s="3714"/>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4"/>
      <c r="Q36" s="1348">
        <f t="shared" si="11"/>
        <v>111</v>
      </c>
      <c r="R36" s="704" t="s">
        <v>14</v>
      </c>
      <c r="S36" s="705">
        <f t="shared" si="12"/>
        <v>100</v>
      </c>
      <c r="T36" s="704" t="s">
        <v>14</v>
      </c>
      <c r="U36" s="705">
        <f t="shared" si="13"/>
        <v>100</v>
      </c>
      <c r="V36" s="704" t="s">
        <v>14</v>
      </c>
      <c r="W36" s="705">
        <f t="shared" si="14"/>
        <v>100</v>
      </c>
      <c r="X36" s="1351"/>
      <c r="Y36" s="3714"/>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02" t="str">
        <f>A37</f>
        <v>成交单价</v>
      </c>
      <c r="Q37" s="3702"/>
      <c r="R37" s="3703">
        <f>E37</f>
        <v>0</v>
      </c>
      <c r="S37" s="3703"/>
      <c r="T37" s="3703">
        <f>G37</f>
        <v>0</v>
      </c>
      <c r="U37" s="3703"/>
      <c r="V37" s="3703">
        <f>I37</f>
        <v>0</v>
      </c>
      <c r="W37" s="3703"/>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04" t="str">
        <f>A39</f>
        <v>估价对象XX用房的比较价值（楼面单价，元/平方米）</v>
      </c>
      <c r="Q39" s="3705"/>
      <c r="R39" s="3783" t="e">
        <f>IF(F1="售价",ROUND(IF(D38="简单平均",AVERAGE(R38:W38),R38*F38+T38*H38+V38*J38),0),ROUND(IF(D38="简单平均",AVERAGE(R38:V38),R38*F38+T38*H38+V38*J38),1))</f>
        <v>#DIV/0!</v>
      </c>
      <c r="S39" s="3783"/>
      <c r="T39" s="3783"/>
      <c r="U39" s="3783"/>
      <c r="V39" s="3783"/>
      <c r="W39" s="3783"/>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1" t="s">
        <v>1767</v>
      </c>
      <c r="D4" s="3722"/>
      <c r="E4" s="3723" t="s">
        <v>1768</v>
      </c>
      <c r="F4" s="3724"/>
      <c r="G4" s="3721" t="s">
        <v>1769</v>
      </c>
      <c r="H4" s="3722"/>
      <c r="I4" s="3721" t="s">
        <v>1770</v>
      </c>
      <c r="J4" s="3722"/>
      <c r="K4" s="559" t="s">
        <v>1771</v>
      </c>
      <c r="L4" s="2711"/>
      <c r="M4" s="2712"/>
      <c r="N4" s="2712"/>
      <c r="O4" s="2712"/>
      <c r="P4" s="3725" t="s">
        <v>1772</v>
      </c>
      <c r="Q4" s="3726"/>
      <c r="R4" s="3731" t="s">
        <v>1768</v>
      </c>
      <c r="S4" s="3732"/>
      <c r="T4" s="3731" t="s">
        <v>1769</v>
      </c>
      <c r="U4" s="3732"/>
      <c r="V4" s="3716" t="s">
        <v>1770</v>
      </c>
      <c r="W4" s="3716"/>
      <c r="X4" s="1351"/>
      <c r="Y4" s="3731" t="s">
        <v>1772</v>
      </c>
      <c r="Z4" s="3732"/>
      <c r="AA4" s="3718" t="s">
        <v>1768</v>
      </c>
      <c r="AB4" s="3719" t="s">
        <v>1769</v>
      </c>
      <c r="AC4" s="3718" t="s">
        <v>1770</v>
      </c>
    </row>
    <row r="5" spans="1:29" ht="15">
      <c r="A5" s="358"/>
      <c r="B5" s="359"/>
      <c r="C5" s="3739" t="s">
        <v>1670</v>
      </c>
      <c r="D5" s="3740"/>
      <c r="E5" s="3746" t="s">
        <v>1671</v>
      </c>
      <c r="F5" s="3747"/>
      <c r="G5" s="3739" t="s">
        <v>1672</v>
      </c>
      <c r="H5" s="3740"/>
      <c r="I5" s="3739" t="s">
        <v>1673</v>
      </c>
      <c r="J5" s="3740"/>
      <c r="K5" s="559"/>
      <c r="L5" s="2711"/>
      <c r="M5" s="2712"/>
      <c r="N5" s="2712"/>
      <c r="O5" s="2712"/>
      <c r="P5" s="3727"/>
      <c r="Q5" s="3728"/>
      <c r="R5" s="3733"/>
      <c r="S5" s="3734"/>
      <c r="T5" s="3733"/>
      <c r="U5" s="3734"/>
      <c r="V5" s="3716"/>
      <c r="W5" s="3716"/>
      <c r="X5" s="1351"/>
      <c r="Y5" s="3733"/>
      <c r="Z5" s="3734"/>
      <c r="AA5" s="3719"/>
      <c r="AB5" s="3719"/>
      <c r="AC5" s="3719"/>
    </row>
    <row r="6" spans="1:29" ht="15.75" thickBot="1">
      <c r="A6" s="360"/>
      <c r="B6" s="361"/>
      <c r="C6" s="3737" t="s">
        <v>1674</v>
      </c>
      <c r="D6" s="3738"/>
      <c r="E6" s="3744" t="s">
        <v>1674</v>
      </c>
      <c r="F6" s="3745"/>
      <c r="G6" s="3737" t="s">
        <v>1674</v>
      </c>
      <c r="H6" s="3738"/>
      <c r="I6" s="3737" t="s">
        <v>1674</v>
      </c>
      <c r="J6" s="3738"/>
      <c r="K6" s="559" t="s">
        <v>1675</v>
      </c>
      <c r="L6" s="2711"/>
      <c r="M6" s="2712"/>
      <c r="N6" s="2712"/>
      <c r="O6" s="2712"/>
      <c r="P6" s="3729"/>
      <c r="Q6" s="3730"/>
      <c r="R6" s="3733"/>
      <c r="S6" s="3734"/>
      <c r="T6" s="3735"/>
      <c r="U6" s="3736"/>
      <c r="V6" s="3716"/>
      <c r="W6" s="3716"/>
      <c r="X6" s="1351"/>
      <c r="Y6" s="3735"/>
      <c r="Z6" s="3736"/>
      <c r="AA6" s="3720"/>
      <c r="AB6" s="3720"/>
      <c r="AC6" s="3720"/>
    </row>
    <row r="7" spans="1:29" s="108" customFormat="1" ht="15.75" thickBot="1">
      <c r="A7" s="362" t="s">
        <v>1676</v>
      </c>
      <c r="B7" s="363"/>
      <c r="C7" s="364">
        <f>'数据-取费表'!B2</f>
        <v>45457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41" t="s">
        <v>1677</v>
      </c>
      <c r="Q7" s="3743"/>
      <c r="R7" s="700" t="s">
        <v>14</v>
      </c>
      <c r="S7" s="701">
        <f t="shared" ref="S7:S14" si="0">F7</f>
        <v>0</v>
      </c>
      <c r="T7" s="700" t="s">
        <v>14</v>
      </c>
      <c r="U7" s="701">
        <f t="shared" ref="U7:U14" si="1">H7</f>
        <v>0</v>
      </c>
      <c r="V7" s="700" t="s">
        <v>14</v>
      </c>
      <c r="W7" s="701">
        <f t="shared" ref="W7:W14" si="2">J7</f>
        <v>0</v>
      </c>
      <c r="X7" s="702"/>
      <c r="Y7" s="3741" t="s">
        <v>1677</v>
      </c>
      <c r="Z7" s="3742"/>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1" t="s">
        <v>1680</v>
      </c>
      <c r="Q8" s="3742"/>
      <c r="R8" s="700" t="s">
        <v>14</v>
      </c>
      <c r="S8" s="701">
        <f t="shared" si="0"/>
        <v>100</v>
      </c>
      <c r="T8" s="700" t="s">
        <v>14</v>
      </c>
      <c r="U8" s="701">
        <f t="shared" si="1"/>
        <v>100</v>
      </c>
      <c r="V8" s="700" t="s">
        <v>14</v>
      </c>
      <c r="W8" s="701">
        <f t="shared" si="2"/>
        <v>100</v>
      </c>
      <c r="X8" s="702"/>
      <c r="Y8" s="3741" t="s">
        <v>1680</v>
      </c>
      <c r="Z8" s="3742"/>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2" t="s">
        <v>1683</v>
      </c>
      <c r="Q9" s="1339" t="str">
        <f t="shared" ref="Q9:Q14" si="6">B9</f>
        <v>用途</v>
      </c>
      <c r="R9" s="700" t="s">
        <v>14</v>
      </c>
      <c r="S9" s="701">
        <f t="shared" si="0"/>
        <v>100</v>
      </c>
      <c r="T9" s="700" t="s">
        <v>14</v>
      </c>
      <c r="U9" s="701">
        <f t="shared" si="1"/>
        <v>100</v>
      </c>
      <c r="V9" s="700" t="s">
        <v>14</v>
      </c>
      <c r="W9" s="701">
        <f t="shared" si="2"/>
        <v>100</v>
      </c>
      <c r="X9" s="702"/>
      <c r="Y9" s="3599"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02"/>
      <c r="Q10" s="1339" t="str">
        <f t="shared" si="6"/>
        <v>土地使用年限（年）</v>
      </c>
      <c r="R10" s="700" t="s">
        <v>14</v>
      </c>
      <c r="S10" s="701">
        <f t="shared" si="0"/>
        <v>100</v>
      </c>
      <c r="T10" s="700" t="s">
        <v>14</v>
      </c>
      <c r="U10" s="701">
        <f t="shared" si="1"/>
        <v>100</v>
      </c>
      <c r="V10" s="700" t="s">
        <v>14</v>
      </c>
      <c r="W10" s="701">
        <f t="shared" si="2"/>
        <v>100</v>
      </c>
      <c r="X10" s="702"/>
      <c r="Y10" s="3599"/>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2"/>
      <c r="Q11" s="1339">
        <f t="shared" si="6"/>
        <v>111</v>
      </c>
      <c r="R11" s="700" t="s">
        <v>14</v>
      </c>
      <c r="S11" s="701">
        <f t="shared" si="0"/>
        <v>100</v>
      </c>
      <c r="T11" s="700" t="s">
        <v>14</v>
      </c>
      <c r="U11" s="701">
        <f t="shared" si="1"/>
        <v>100</v>
      </c>
      <c r="V11" s="700" t="s">
        <v>14</v>
      </c>
      <c r="W11" s="701">
        <f t="shared" si="2"/>
        <v>100</v>
      </c>
      <c r="X11" s="702"/>
      <c r="Y11" s="3599"/>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2"/>
      <c r="Q12" s="1339">
        <f t="shared" si="6"/>
        <v>111</v>
      </c>
      <c r="R12" s="700" t="s">
        <v>14</v>
      </c>
      <c r="S12" s="701">
        <f t="shared" si="0"/>
        <v>100</v>
      </c>
      <c r="T12" s="700" t="s">
        <v>14</v>
      </c>
      <c r="U12" s="701">
        <f t="shared" si="1"/>
        <v>100</v>
      </c>
      <c r="V12" s="700" t="s">
        <v>14</v>
      </c>
      <c r="W12" s="701">
        <f t="shared" si="2"/>
        <v>100</v>
      </c>
      <c r="X12" s="702"/>
      <c r="Y12" s="3599"/>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02"/>
      <c r="Q13" s="1339">
        <f t="shared" si="6"/>
        <v>111</v>
      </c>
      <c r="R13" s="700" t="s">
        <v>14</v>
      </c>
      <c r="S13" s="701">
        <f t="shared" si="0"/>
        <v>100</v>
      </c>
      <c r="T13" s="700" t="s">
        <v>14</v>
      </c>
      <c r="U13" s="701">
        <f t="shared" si="1"/>
        <v>100</v>
      </c>
      <c r="V13" s="700" t="s">
        <v>14</v>
      </c>
      <c r="W13" s="701">
        <f t="shared" si="2"/>
        <v>100</v>
      </c>
      <c r="X13" s="702"/>
      <c r="Y13" s="3599"/>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9" t="s">
        <v>1688</v>
      </c>
      <c r="Q14" s="1348" t="str">
        <f t="shared" si="6"/>
        <v>交通便捷度</v>
      </c>
      <c r="R14" s="704" t="s">
        <v>14</v>
      </c>
      <c r="S14" s="705">
        <f t="shared" si="0"/>
        <v>100</v>
      </c>
      <c r="T14" s="704" t="s">
        <v>14</v>
      </c>
      <c r="U14" s="705">
        <f t="shared" si="1"/>
        <v>100</v>
      </c>
      <c r="V14" s="704" t="s">
        <v>14</v>
      </c>
      <c r="W14" s="705">
        <f t="shared" si="2"/>
        <v>100</v>
      </c>
      <c r="X14" s="1351"/>
      <c r="Y14" s="3709"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10"/>
      <c r="Q15" s="1348"/>
      <c r="R15" s="704"/>
      <c r="S15" s="705"/>
      <c r="T15" s="704"/>
      <c r="U15" s="705"/>
      <c r="V15" s="704"/>
      <c r="W15" s="705"/>
      <c r="X15" s="1351"/>
      <c r="Y15" s="3710"/>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0"/>
      <c r="Q16" s="1348" t="str">
        <f>B16</f>
        <v>公共配套设施</v>
      </c>
      <c r="R16" s="704" t="s">
        <v>14</v>
      </c>
      <c r="S16" s="705">
        <f>F16</f>
        <v>100</v>
      </c>
      <c r="T16" s="704" t="s">
        <v>14</v>
      </c>
      <c r="U16" s="705">
        <f>H16</f>
        <v>100</v>
      </c>
      <c r="V16" s="704" t="s">
        <v>14</v>
      </c>
      <c r="W16" s="705">
        <f>J16</f>
        <v>100</v>
      </c>
      <c r="X16" s="1351"/>
      <c r="Y16" s="371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10"/>
      <c r="Q17" s="1348"/>
      <c r="R17" s="704"/>
      <c r="S17" s="705"/>
      <c r="T17" s="704"/>
      <c r="U17" s="705"/>
      <c r="V17" s="704"/>
      <c r="W17" s="705"/>
      <c r="X17" s="1351"/>
      <c r="Y17" s="3710"/>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0"/>
      <c r="Q18" s="1348" t="str">
        <f>B18</f>
        <v>基础设施水平</v>
      </c>
      <c r="R18" s="704" t="s">
        <v>14</v>
      </c>
      <c r="S18" s="705">
        <f>F18</f>
        <v>100</v>
      </c>
      <c r="T18" s="704" t="s">
        <v>14</v>
      </c>
      <c r="U18" s="705">
        <f>H18</f>
        <v>100</v>
      </c>
      <c r="V18" s="704" t="s">
        <v>14</v>
      </c>
      <c r="W18" s="705">
        <f>J18</f>
        <v>100</v>
      </c>
      <c r="X18" s="1351"/>
      <c r="Y18" s="371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10"/>
      <c r="Q19" s="1348"/>
      <c r="R19" s="704"/>
      <c r="S19" s="705"/>
      <c r="T19" s="704"/>
      <c r="U19" s="705"/>
      <c r="V19" s="704"/>
      <c r="W19" s="705"/>
      <c r="X19" s="1351"/>
      <c r="Y19" s="3710"/>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0"/>
      <c r="Q20" s="1348" t="str">
        <f>B20</f>
        <v>自然及人文环境</v>
      </c>
      <c r="R20" s="704" t="s">
        <v>14</v>
      </c>
      <c r="S20" s="705">
        <f>F20</f>
        <v>100</v>
      </c>
      <c r="T20" s="704" t="s">
        <v>14</v>
      </c>
      <c r="U20" s="705">
        <f>H20</f>
        <v>100</v>
      </c>
      <c r="V20" s="704" t="s">
        <v>14</v>
      </c>
      <c r="W20" s="705">
        <f>J20</f>
        <v>100</v>
      </c>
      <c r="X20" s="1351"/>
      <c r="Y20" s="371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10"/>
      <c r="Q21" s="1348"/>
      <c r="R21" s="704"/>
      <c r="S21" s="705"/>
      <c r="T21" s="704"/>
      <c r="U21" s="705"/>
      <c r="V21" s="704"/>
      <c r="W21" s="705"/>
      <c r="X21" s="1351"/>
      <c r="Y21" s="3710"/>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0"/>
      <c r="Q22" s="1348" t="str">
        <f>B22</f>
        <v>楼层</v>
      </c>
      <c r="R22" s="704" t="s">
        <v>14</v>
      </c>
      <c r="S22" s="705">
        <f>F22</f>
        <v>100</v>
      </c>
      <c r="T22" s="704" t="s">
        <v>14</v>
      </c>
      <c r="U22" s="705">
        <f>H22</f>
        <v>100</v>
      </c>
      <c r="V22" s="704" t="s">
        <v>14</v>
      </c>
      <c r="W22" s="705">
        <f>J22</f>
        <v>100</v>
      </c>
      <c r="X22" s="1351"/>
      <c r="Y22" s="371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0"/>
      <c r="Q23" s="1348">
        <f>B23</f>
        <v>111</v>
      </c>
      <c r="R23" s="704" t="s">
        <v>14</v>
      </c>
      <c r="S23" s="705">
        <f>F23</f>
        <v>100</v>
      </c>
      <c r="T23" s="704" t="s">
        <v>14</v>
      </c>
      <c r="U23" s="705">
        <f>H23</f>
        <v>100</v>
      </c>
      <c r="V23" s="704" t="s">
        <v>14</v>
      </c>
      <c r="W23" s="705">
        <f>J23</f>
        <v>100</v>
      </c>
      <c r="X23" s="1351"/>
      <c r="Y23" s="371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0"/>
      <c r="Q24" s="1348">
        <f t="shared" ref="Q24:Q34" si="11">B24</f>
        <v>111</v>
      </c>
      <c r="R24" s="704" t="s">
        <v>14</v>
      </c>
      <c r="S24" s="705">
        <f>F24</f>
        <v>100</v>
      </c>
      <c r="T24" s="704" t="s">
        <v>14</v>
      </c>
      <c r="U24" s="705">
        <f>H24</f>
        <v>100</v>
      </c>
      <c r="V24" s="704" t="s">
        <v>14</v>
      </c>
      <c r="W24" s="705">
        <f>J24</f>
        <v>100</v>
      </c>
      <c r="X24" s="1351"/>
      <c r="Y24" s="3710"/>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10"/>
      <c r="Q25" s="1339">
        <f t="shared" si="11"/>
        <v>111</v>
      </c>
      <c r="R25" s="700" t="s">
        <v>14</v>
      </c>
      <c r="S25" s="701">
        <f>F25</f>
        <v>100</v>
      </c>
      <c r="T25" s="700" t="s">
        <v>14</v>
      </c>
      <c r="U25" s="701">
        <f>H25</f>
        <v>100</v>
      </c>
      <c r="V25" s="700" t="s">
        <v>14</v>
      </c>
      <c r="W25" s="701">
        <f>J25</f>
        <v>100</v>
      </c>
      <c r="X25" s="702"/>
      <c r="Y25" s="3710"/>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82"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14"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4"/>
      <c r="Q27" s="706" t="str">
        <f t="shared" si="11"/>
        <v>成新率</v>
      </c>
      <c r="R27" s="707" t="s">
        <v>14</v>
      </c>
      <c r="S27" s="708" t="e">
        <f t="shared" si="12"/>
        <v>#N/A</v>
      </c>
      <c r="T27" s="707" t="s">
        <v>14</v>
      </c>
      <c r="U27" s="708" t="e">
        <f t="shared" si="13"/>
        <v>#N/A</v>
      </c>
      <c r="V27" s="707" t="s">
        <v>14</v>
      </c>
      <c r="W27" s="708" t="e">
        <f t="shared" si="14"/>
        <v>#N/A</v>
      </c>
      <c r="X27" s="709"/>
      <c r="Y27" s="3714"/>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4"/>
      <c r="Q28" s="1348" t="str">
        <f t="shared" si="11"/>
        <v>物业等级</v>
      </c>
      <c r="R28" s="704" t="s">
        <v>14</v>
      </c>
      <c r="S28" s="705">
        <f t="shared" si="12"/>
        <v>100</v>
      </c>
      <c r="T28" s="704" t="s">
        <v>14</v>
      </c>
      <c r="U28" s="705">
        <f t="shared" si="13"/>
        <v>100</v>
      </c>
      <c r="V28" s="704" t="s">
        <v>14</v>
      </c>
      <c r="W28" s="705">
        <f t="shared" si="14"/>
        <v>100</v>
      </c>
      <c r="X28" s="1351"/>
      <c r="Y28" s="3714"/>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14"/>
      <c r="Q29" s="1348" t="str">
        <f t="shared" si="11"/>
        <v>有无电梯</v>
      </c>
      <c r="R29" s="704" t="s">
        <v>14</v>
      </c>
      <c r="S29" s="705">
        <f t="shared" si="12"/>
        <v>100</v>
      </c>
      <c r="T29" s="704" t="s">
        <v>14</v>
      </c>
      <c r="U29" s="705">
        <f t="shared" si="13"/>
        <v>100</v>
      </c>
      <c r="V29" s="704" t="s">
        <v>14</v>
      </c>
      <c r="W29" s="705">
        <f t="shared" si="14"/>
        <v>100</v>
      </c>
      <c r="X29" s="1351"/>
      <c r="Y29" s="3714"/>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4"/>
      <c r="Q30" s="1348" t="str">
        <f t="shared" si="11"/>
        <v>建筑面积</v>
      </c>
      <c r="R30" s="704" t="s">
        <v>14</v>
      </c>
      <c r="S30" s="705" t="e">
        <f t="shared" si="12"/>
        <v>#N/A</v>
      </c>
      <c r="T30" s="704" t="s">
        <v>14</v>
      </c>
      <c r="U30" s="705" t="e">
        <f t="shared" si="13"/>
        <v>#N/A</v>
      </c>
      <c r="V30" s="704" t="s">
        <v>14</v>
      </c>
      <c r="W30" s="705" t="e">
        <f t="shared" si="14"/>
        <v>#N/A</v>
      </c>
      <c r="X30" s="1351"/>
      <c r="Y30" s="3714"/>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14"/>
      <c r="Q31" s="1339" t="str">
        <f t="shared" si="11"/>
        <v>是否封闭</v>
      </c>
      <c r="R31" s="700" t="s">
        <v>14</v>
      </c>
      <c r="S31" s="701">
        <f t="shared" si="12"/>
        <v>100</v>
      </c>
      <c r="T31" s="700" t="s">
        <v>14</v>
      </c>
      <c r="U31" s="701">
        <f t="shared" si="13"/>
        <v>100</v>
      </c>
      <c r="V31" s="700" t="s">
        <v>14</v>
      </c>
      <c r="W31" s="701">
        <f t="shared" si="14"/>
        <v>100</v>
      </c>
      <c r="X31" s="702"/>
      <c r="Y31" s="3714"/>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4" t="s">
        <v>1693</v>
      </c>
      <c r="Q32" s="1348">
        <f t="shared" si="11"/>
        <v>111</v>
      </c>
      <c r="R32" s="704" t="s">
        <v>14</v>
      </c>
      <c r="S32" s="705">
        <f t="shared" si="12"/>
        <v>100</v>
      </c>
      <c r="T32" s="704" t="s">
        <v>14</v>
      </c>
      <c r="U32" s="705">
        <f t="shared" si="13"/>
        <v>100</v>
      </c>
      <c r="V32" s="704" t="s">
        <v>14</v>
      </c>
      <c r="W32" s="705">
        <f t="shared" si="14"/>
        <v>100</v>
      </c>
      <c r="X32" s="1351"/>
      <c r="Y32" s="3714"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4"/>
      <c r="Q33" s="1348">
        <f t="shared" si="11"/>
        <v>111</v>
      </c>
      <c r="R33" s="704" t="s">
        <v>14</v>
      </c>
      <c r="S33" s="705">
        <f t="shared" si="12"/>
        <v>100</v>
      </c>
      <c r="T33" s="704" t="s">
        <v>14</v>
      </c>
      <c r="U33" s="705">
        <f t="shared" si="13"/>
        <v>100</v>
      </c>
      <c r="V33" s="704" t="s">
        <v>14</v>
      </c>
      <c r="W33" s="705">
        <f t="shared" si="14"/>
        <v>100</v>
      </c>
      <c r="X33" s="1351"/>
      <c r="Y33" s="3714"/>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4"/>
      <c r="Q34" s="1348">
        <f t="shared" si="11"/>
        <v>111</v>
      </c>
      <c r="R34" s="704" t="s">
        <v>14</v>
      </c>
      <c r="S34" s="705">
        <f t="shared" si="12"/>
        <v>100</v>
      </c>
      <c r="T34" s="704" t="s">
        <v>14</v>
      </c>
      <c r="U34" s="705">
        <f t="shared" si="13"/>
        <v>100</v>
      </c>
      <c r="V34" s="704" t="s">
        <v>14</v>
      </c>
      <c r="W34" s="705">
        <f t="shared" si="14"/>
        <v>100</v>
      </c>
      <c r="X34" s="1351"/>
      <c r="Y34" s="3714"/>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02" t="str">
        <f>A35</f>
        <v>成交单价（元/平方米）</v>
      </c>
      <c r="Q35" s="3702"/>
      <c r="R35" s="3703">
        <f>E35</f>
        <v>0</v>
      </c>
      <c r="S35" s="3703"/>
      <c r="T35" s="3703">
        <f>G35</f>
        <v>0</v>
      </c>
      <c r="U35" s="3703"/>
      <c r="V35" s="3703">
        <f>I35</f>
        <v>0</v>
      </c>
      <c r="W35" s="3703"/>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04" t="str">
        <f>A37</f>
        <v>估价对象XX用房的比较价值（楼面单价，元/平方米）</v>
      </c>
      <c r="Q37" s="3705"/>
      <c r="R37" s="3783" t="e">
        <f>IF(F1="售价",ROUND(IF(D36="简单平均",AVERAGE(R36:W36),R36*F36+T36*H36+V36*J36),0),ROUND(IF(D36="简单平均",AVERAGE(R36:V36),R36*F36+T36*H36+V36*J36),1))</f>
        <v>#DIV/0!</v>
      </c>
      <c r="S37" s="3783"/>
      <c r="T37" s="3783"/>
      <c r="U37" s="3783"/>
      <c r="V37" s="3783"/>
      <c r="W37" s="3783"/>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21" t="s">
        <v>1767</v>
      </c>
      <c r="D4" s="3722"/>
      <c r="E4" s="3723" t="s">
        <v>1768</v>
      </c>
      <c r="F4" s="3724"/>
      <c r="G4" s="3721" t="s">
        <v>1769</v>
      </c>
      <c r="H4" s="3722"/>
      <c r="I4" s="3721" t="s">
        <v>1770</v>
      </c>
      <c r="J4" s="3722"/>
      <c r="K4" s="559" t="s">
        <v>1771</v>
      </c>
      <c r="L4" s="2711"/>
      <c r="M4" s="2712"/>
      <c r="N4" s="2712"/>
      <c r="O4" s="2712"/>
      <c r="P4" s="3725" t="s">
        <v>1772</v>
      </c>
      <c r="Q4" s="3726"/>
      <c r="R4" s="3731" t="s">
        <v>1768</v>
      </c>
      <c r="S4" s="3732"/>
      <c r="T4" s="3731" t="s">
        <v>1769</v>
      </c>
      <c r="U4" s="3732"/>
      <c r="V4" s="3716" t="s">
        <v>1770</v>
      </c>
      <c r="W4" s="3716"/>
      <c r="X4" s="1351"/>
      <c r="Y4" s="3731" t="s">
        <v>1772</v>
      </c>
      <c r="Z4" s="3732"/>
      <c r="AA4" s="3718" t="s">
        <v>1768</v>
      </c>
      <c r="AB4" s="3719" t="s">
        <v>1769</v>
      </c>
      <c r="AC4" s="3718" t="s">
        <v>1770</v>
      </c>
    </row>
    <row r="5" spans="1:30" ht="15">
      <c r="A5" s="358"/>
      <c r="B5" s="359"/>
      <c r="C5" s="3739" t="s">
        <v>1670</v>
      </c>
      <c r="D5" s="3740"/>
      <c r="E5" s="3746" t="s">
        <v>1671</v>
      </c>
      <c r="F5" s="3747"/>
      <c r="G5" s="3739" t="s">
        <v>1672</v>
      </c>
      <c r="H5" s="3740"/>
      <c r="I5" s="3739" t="s">
        <v>1673</v>
      </c>
      <c r="J5" s="3740"/>
      <c r="K5" s="559"/>
      <c r="L5" s="2711"/>
      <c r="M5" s="2712"/>
      <c r="N5" s="2712"/>
      <c r="O5" s="2712"/>
      <c r="P5" s="3727"/>
      <c r="Q5" s="3728"/>
      <c r="R5" s="3733"/>
      <c r="S5" s="3734"/>
      <c r="T5" s="3733"/>
      <c r="U5" s="3734"/>
      <c r="V5" s="3716"/>
      <c r="W5" s="3716"/>
      <c r="X5" s="1351"/>
      <c r="Y5" s="3733"/>
      <c r="Z5" s="3734"/>
      <c r="AA5" s="3719"/>
      <c r="AB5" s="3719"/>
      <c r="AC5" s="3719"/>
    </row>
    <row r="6" spans="1:30" ht="15.75" thickBot="1">
      <c r="A6" s="360"/>
      <c r="B6" s="361"/>
      <c r="C6" s="3737" t="s">
        <v>1674</v>
      </c>
      <c r="D6" s="3738"/>
      <c r="E6" s="3744" t="s">
        <v>1674</v>
      </c>
      <c r="F6" s="3745"/>
      <c r="G6" s="3737" t="s">
        <v>1674</v>
      </c>
      <c r="H6" s="3738"/>
      <c r="I6" s="3737" t="s">
        <v>1674</v>
      </c>
      <c r="J6" s="3738"/>
      <c r="K6" s="559" t="s">
        <v>1675</v>
      </c>
      <c r="L6" s="2711"/>
      <c r="M6" s="2712"/>
      <c r="N6" s="2712"/>
      <c r="O6" s="2712"/>
      <c r="P6" s="3729"/>
      <c r="Q6" s="3730"/>
      <c r="R6" s="3733"/>
      <c r="S6" s="3734"/>
      <c r="T6" s="3735"/>
      <c r="U6" s="3736"/>
      <c r="V6" s="3716"/>
      <c r="W6" s="3716"/>
      <c r="X6" s="1351"/>
      <c r="Y6" s="3735"/>
      <c r="Z6" s="3736"/>
      <c r="AA6" s="3720"/>
      <c r="AB6" s="3720"/>
      <c r="AC6" s="3720"/>
    </row>
    <row r="7" spans="1:30" s="108" customFormat="1" ht="15.75" thickBot="1">
      <c r="A7" s="362" t="s">
        <v>1676</v>
      </c>
      <c r="B7" s="363"/>
      <c r="C7" s="364">
        <f>'数据-取费表'!B2</f>
        <v>45457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41" t="s">
        <v>1677</v>
      </c>
      <c r="Q7" s="3743"/>
      <c r="R7" s="700" t="s">
        <v>14</v>
      </c>
      <c r="S7" s="701">
        <f t="shared" ref="S7:S15" si="0">F7</f>
        <v>0</v>
      </c>
      <c r="T7" s="700" t="s">
        <v>14</v>
      </c>
      <c r="U7" s="701">
        <f t="shared" ref="U7:U15" si="1">H7</f>
        <v>0</v>
      </c>
      <c r="V7" s="700" t="s">
        <v>14</v>
      </c>
      <c r="W7" s="701">
        <f t="shared" ref="W7:W15" si="2">J7</f>
        <v>0</v>
      </c>
      <c r="X7" s="702"/>
      <c r="Y7" s="3741" t="s">
        <v>1677</v>
      </c>
      <c r="Z7" s="3742"/>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1" t="s">
        <v>1680</v>
      </c>
      <c r="Q8" s="3742"/>
      <c r="R8" s="700" t="s">
        <v>14</v>
      </c>
      <c r="S8" s="701">
        <f t="shared" si="0"/>
        <v>0</v>
      </c>
      <c r="T8" s="700" t="s">
        <v>14</v>
      </c>
      <c r="U8" s="701">
        <f t="shared" si="1"/>
        <v>0</v>
      </c>
      <c r="V8" s="700" t="s">
        <v>14</v>
      </c>
      <c r="W8" s="701">
        <f t="shared" si="2"/>
        <v>0</v>
      </c>
      <c r="X8" s="702"/>
      <c r="Y8" s="3741" t="s">
        <v>1680</v>
      </c>
      <c r="Z8" s="3742"/>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02" t="s">
        <v>1683</v>
      </c>
      <c r="Q9" s="1339" t="str">
        <f t="shared" ref="Q9:Q15" si="6">B9</f>
        <v>用途</v>
      </c>
      <c r="R9" s="700" t="s">
        <v>14</v>
      </c>
      <c r="S9" s="701">
        <f t="shared" si="0"/>
        <v>100</v>
      </c>
      <c r="T9" s="700" t="s">
        <v>14</v>
      </c>
      <c r="U9" s="701">
        <f t="shared" si="1"/>
        <v>100</v>
      </c>
      <c r="V9" s="700" t="s">
        <v>14</v>
      </c>
      <c r="W9" s="701">
        <f t="shared" si="2"/>
        <v>100</v>
      </c>
      <c r="X9" s="702"/>
      <c r="Y9" s="3599"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02"/>
      <c r="Q10" s="1339" t="str">
        <f t="shared" si="6"/>
        <v>土地使用年限（年）</v>
      </c>
      <c r="R10" s="700" t="s">
        <v>14</v>
      </c>
      <c r="S10" s="701">
        <f t="shared" si="0"/>
        <v>105</v>
      </c>
      <c r="T10" s="700" t="s">
        <v>14</v>
      </c>
      <c r="U10" s="701">
        <f t="shared" si="1"/>
        <v>105</v>
      </c>
      <c r="V10" s="700" t="s">
        <v>14</v>
      </c>
      <c r="W10" s="701">
        <f t="shared" si="2"/>
        <v>105</v>
      </c>
      <c r="X10" s="702"/>
      <c r="Y10" s="3599"/>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02"/>
      <c r="Q11" s="1339" t="str">
        <f t="shared" si="6"/>
        <v>容积率</v>
      </c>
      <c r="R11" s="700" t="s">
        <v>14</v>
      </c>
      <c r="S11" s="701" t="e">
        <f t="shared" si="0"/>
        <v>#N/A</v>
      </c>
      <c r="T11" s="700" t="s">
        <v>14</v>
      </c>
      <c r="U11" s="701" t="e">
        <f t="shared" si="1"/>
        <v>#N/A</v>
      </c>
      <c r="V11" s="700" t="s">
        <v>14</v>
      </c>
      <c r="W11" s="701" t="e">
        <f t="shared" si="2"/>
        <v>#N/A</v>
      </c>
      <c r="X11" s="702"/>
      <c r="Y11" s="3599"/>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02"/>
      <c r="Q12" s="1339" t="str">
        <f t="shared" si="6"/>
        <v>配建</v>
      </c>
      <c r="R12" s="700" t="s">
        <v>14</v>
      </c>
      <c r="S12" s="701">
        <f t="shared" si="0"/>
        <v>100</v>
      </c>
      <c r="T12" s="700" t="s">
        <v>14</v>
      </c>
      <c r="U12" s="701">
        <f t="shared" si="1"/>
        <v>100</v>
      </c>
      <c r="V12" s="700" t="s">
        <v>14</v>
      </c>
      <c r="W12" s="701">
        <f t="shared" si="2"/>
        <v>100</v>
      </c>
      <c r="X12" s="702"/>
      <c r="Y12" s="3599"/>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02"/>
      <c r="Q13" s="1339">
        <f t="shared" si="6"/>
        <v>111</v>
      </c>
      <c r="R13" s="700" t="s">
        <v>14</v>
      </c>
      <c r="S13" s="701">
        <f t="shared" si="0"/>
        <v>100</v>
      </c>
      <c r="T13" s="700" t="s">
        <v>14</v>
      </c>
      <c r="U13" s="701">
        <f t="shared" si="1"/>
        <v>100</v>
      </c>
      <c r="V13" s="700" t="s">
        <v>14</v>
      </c>
      <c r="W13" s="701">
        <f t="shared" si="2"/>
        <v>100</v>
      </c>
      <c r="X13" s="702"/>
      <c r="Y13" s="3599"/>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02"/>
      <c r="Q14" s="1339">
        <f t="shared" si="6"/>
        <v>111</v>
      </c>
      <c r="R14" s="700" t="s">
        <v>14</v>
      </c>
      <c r="S14" s="701">
        <f t="shared" si="0"/>
        <v>100</v>
      </c>
      <c r="T14" s="700" t="s">
        <v>14</v>
      </c>
      <c r="U14" s="701">
        <f t="shared" si="1"/>
        <v>100</v>
      </c>
      <c r="V14" s="700" t="s">
        <v>14</v>
      </c>
      <c r="W14" s="701">
        <f t="shared" si="2"/>
        <v>100</v>
      </c>
      <c r="X14" s="702"/>
      <c r="Y14" s="3599"/>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09" t="s">
        <v>1688</v>
      </c>
      <c r="Q15" s="1348" t="str">
        <f t="shared" si="6"/>
        <v>居住社区成熟度</v>
      </c>
      <c r="R15" s="704" t="s">
        <v>14</v>
      </c>
      <c r="S15" s="705">
        <f t="shared" si="0"/>
        <v>100</v>
      </c>
      <c r="T15" s="704" t="s">
        <v>14</v>
      </c>
      <c r="U15" s="705">
        <f t="shared" si="1"/>
        <v>100</v>
      </c>
      <c r="V15" s="704" t="s">
        <v>14</v>
      </c>
      <c r="W15" s="705">
        <f t="shared" si="2"/>
        <v>100</v>
      </c>
      <c r="X15" s="1351"/>
      <c r="Y15" s="3709"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10"/>
      <c r="Q16" s="1348"/>
      <c r="R16" s="704"/>
      <c r="S16" s="705"/>
      <c r="T16" s="704"/>
      <c r="U16" s="705"/>
      <c r="V16" s="704"/>
      <c r="W16" s="705"/>
      <c r="X16" s="1351"/>
      <c r="Y16" s="3710"/>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10"/>
      <c r="Q17" s="1348" t="str">
        <f>B17</f>
        <v>商业繁华度</v>
      </c>
      <c r="R17" s="704" t="s">
        <v>14</v>
      </c>
      <c r="S17" s="705">
        <f>F17</f>
        <v>100</v>
      </c>
      <c r="T17" s="704" t="s">
        <v>14</v>
      </c>
      <c r="U17" s="705">
        <f>H17</f>
        <v>100</v>
      </c>
      <c r="V17" s="704" t="s">
        <v>14</v>
      </c>
      <c r="W17" s="705">
        <f>J17</f>
        <v>100</v>
      </c>
      <c r="X17" s="1351"/>
      <c r="Y17" s="371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10"/>
      <c r="Q18" s="1348"/>
      <c r="R18" s="704"/>
      <c r="S18" s="705"/>
      <c r="T18" s="704"/>
      <c r="U18" s="705"/>
      <c r="V18" s="704"/>
      <c r="W18" s="705"/>
      <c r="X18" s="1351"/>
      <c r="Y18" s="3710"/>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10"/>
      <c r="Q19" s="1348" t="str">
        <f>B19</f>
        <v>办公集聚程度</v>
      </c>
      <c r="R19" s="704" t="s">
        <v>14</v>
      </c>
      <c r="S19" s="705">
        <f>F19</f>
        <v>100</v>
      </c>
      <c r="T19" s="704" t="s">
        <v>14</v>
      </c>
      <c r="U19" s="705">
        <f>H19</f>
        <v>100</v>
      </c>
      <c r="V19" s="704" t="s">
        <v>14</v>
      </c>
      <c r="W19" s="705">
        <f>J19</f>
        <v>100</v>
      </c>
      <c r="X19" s="1351"/>
      <c r="Y19" s="371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10"/>
      <c r="Q20" s="1348"/>
      <c r="R20" s="704"/>
      <c r="S20" s="705"/>
      <c r="T20" s="704"/>
      <c r="U20" s="705"/>
      <c r="V20" s="704"/>
      <c r="W20" s="705"/>
      <c r="X20" s="1351"/>
      <c r="Y20" s="3710"/>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10"/>
      <c r="Q21" s="1348" t="str">
        <f>B21</f>
        <v>交通便捷度</v>
      </c>
      <c r="R21" s="704" t="s">
        <v>14</v>
      </c>
      <c r="S21" s="705">
        <f>F21</f>
        <v>100</v>
      </c>
      <c r="T21" s="704" t="s">
        <v>14</v>
      </c>
      <c r="U21" s="705">
        <f>H21</f>
        <v>100</v>
      </c>
      <c r="V21" s="704" t="s">
        <v>14</v>
      </c>
      <c r="W21" s="705">
        <f>J21</f>
        <v>100</v>
      </c>
      <c r="X21" s="1351"/>
      <c r="Y21" s="371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10"/>
      <c r="Q22" s="1348"/>
      <c r="R22" s="704"/>
      <c r="S22" s="705"/>
      <c r="T22" s="704"/>
      <c r="U22" s="705"/>
      <c r="V22" s="704"/>
      <c r="W22" s="705"/>
      <c r="X22" s="1351"/>
      <c r="Y22" s="3710"/>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10"/>
      <c r="Q23" s="1348" t="str">
        <f t="shared" ref="Q23:Q37" si="8">B23</f>
        <v>区域土地利用方向</v>
      </c>
      <c r="R23" s="704" t="s">
        <v>14</v>
      </c>
      <c r="S23" s="705">
        <f>F23</f>
        <v>100</v>
      </c>
      <c r="T23" s="704" t="s">
        <v>14</v>
      </c>
      <c r="U23" s="705">
        <f>H23</f>
        <v>100</v>
      </c>
      <c r="V23" s="704" t="s">
        <v>14</v>
      </c>
      <c r="W23" s="705">
        <f>J23</f>
        <v>100</v>
      </c>
      <c r="X23" s="1351"/>
      <c r="Y23" s="371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10"/>
      <c r="Q24" s="1348"/>
      <c r="R24" s="704"/>
      <c r="S24" s="705"/>
      <c r="T24" s="704"/>
      <c r="U24" s="705"/>
      <c r="V24" s="704"/>
      <c r="W24" s="705"/>
      <c r="X24" s="1351"/>
      <c r="Y24" s="3710"/>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10"/>
      <c r="Q25" s="1348" t="str">
        <f t="shared" si="8"/>
        <v>自然及人文环境状况</v>
      </c>
      <c r="R25" s="704" t="s">
        <v>14</v>
      </c>
      <c r="S25" s="705">
        <f>F25</f>
        <v>100</v>
      </c>
      <c r="T25" s="704" t="s">
        <v>14</v>
      </c>
      <c r="U25" s="705">
        <f>H25</f>
        <v>100</v>
      </c>
      <c r="V25" s="704" t="s">
        <v>14</v>
      </c>
      <c r="W25" s="705">
        <f>J25</f>
        <v>100</v>
      </c>
      <c r="X25" s="1351"/>
      <c r="Y25" s="371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10"/>
      <c r="Q26" s="1348"/>
      <c r="R26" s="704"/>
      <c r="S26" s="705"/>
      <c r="T26" s="704"/>
      <c r="U26" s="705"/>
      <c r="V26" s="704"/>
      <c r="W26" s="705"/>
      <c r="X26" s="1351"/>
      <c r="Y26" s="3710"/>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10"/>
      <c r="Q27" s="1339" t="str">
        <f t="shared" si="8"/>
        <v>公共配套设施</v>
      </c>
      <c r="R27" s="700" t="s">
        <v>14</v>
      </c>
      <c r="S27" s="701">
        <f>F27</f>
        <v>100</v>
      </c>
      <c r="T27" s="700" t="s">
        <v>14</v>
      </c>
      <c r="U27" s="701">
        <f>H27</f>
        <v>100</v>
      </c>
      <c r="V27" s="700" t="s">
        <v>14</v>
      </c>
      <c r="W27" s="701">
        <f>J27</f>
        <v>100</v>
      </c>
      <c r="X27" s="702"/>
      <c r="Y27" s="3710"/>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10"/>
      <c r="Q28" s="1339"/>
      <c r="R28" s="700"/>
      <c r="S28" s="701"/>
      <c r="T28" s="700"/>
      <c r="U28" s="701"/>
      <c r="V28" s="700"/>
      <c r="W28" s="701"/>
      <c r="X28" s="702"/>
      <c r="Y28" s="3710"/>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10"/>
      <c r="Q29" s="1339" t="str">
        <f t="shared" ref="Q29" si="9">B29</f>
        <v>基础设施水平</v>
      </c>
      <c r="R29" s="700" t="s">
        <v>14</v>
      </c>
      <c r="S29" s="701">
        <f>F29</f>
        <v>100</v>
      </c>
      <c r="T29" s="700" t="s">
        <v>14</v>
      </c>
      <c r="U29" s="701">
        <f>H29</f>
        <v>100</v>
      </c>
      <c r="V29" s="700" t="s">
        <v>14</v>
      </c>
      <c r="W29" s="701">
        <f>J29</f>
        <v>100</v>
      </c>
      <c r="X29" s="702"/>
      <c r="Y29" s="3710"/>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10"/>
      <c r="Q30" s="1339"/>
      <c r="R30" s="700"/>
      <c r="S30" s="701"/>
      <c r="T30" s="700"/>
      <c r="U30" s="701"/>
      <c r="V30" s="700"/>
      <c r="W30" s="701"/>
      <c r="X30" s="702"/>
      <c r="Y30" s="3710"/>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10"/>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10"/>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10"/>
      <c r="Q32" s="1348" t="str">
        <f t="shared" si="8"/>
        <v>毗邻道路的类型与等级</v>
      </c>
      <c r="R32" s="704" t="s">
        <v>14</v>
      </c>
      <c r="S32" s="705">
        <f t="shared" si="10"/>
        <v>100</v>
      </c>
      <c r="T32" s="704" t="s">
        <v>14</v>
      </c>
      <c r="U32" s="705">
        <f t="shared" si="11"/>
        <v>100</v>
      </c>
      <c r="V32" s="704" t="s">
        <v>14</v>
      </c>
      <c r="W32" s="705">
        <f t="shared" si="12"/>
        <v>100</v>
      </c>
      <c r="X32" s="1351"/>
      <c r="Y32" s="371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10"/>
      <c r="Q33" s="1348"/>
      <c r="R33" s="704"/>
      <c r="S33" s="705"/>
      <c r="T33" s="704"/>
      <c r="U33" s="705"/>
      <c r="V33" s="704"/>
      <c r="W33" s="705"/>
      <c r="X33" s="1351"/>
      <c r="Y33" s="3710"/>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10"/>
      <c r="Q34" s="1348" t="str">
        <f t="shared" si="8"/>
        <v>土地级别</v>
      </c>
      <c r="R34" s="704" t="s">
        <v>14</v>
      </c>
      <c r="S34" s="705">
        <f t="shared" si="10"/>
        <v>100</v>
      </c>
      <c r="T34" s="704" t="s">
        <v>14</v>
      </c>
      <c r="U34" s="705">
        <f t="shared" si="11"/>
        <v>100</v>
      </c>
      <c r="V34" s="704" t="s">
        <v>14</v>
      </c>
      <c r="W34" s="705">
        <f t="shared" si="12"/>
        <v>100</v>
      </c>
      <c r="X34" s="1351"/>
      <c r="Y34" s="3710"/>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10"/>
      <c r="Q35" s="1348">
        <f t="shared" si="8"/>
        <v>111</v>
      </c>
      <c r="R35" s="704" t="s">
        <v>14</v>
      </c>
      <c r="S35" s="705">
        <f t="shared" si="10"/>
        <v>100</v>
      </c>
      <c r="T35" s="704" t="s">
        <v>14</v>
      </c>
      <c r="U35" s="705">
        <f t="shared" si="11"/>
        <v>100</v>
      </c>
      <c r="V35" s="704" t="s">
        <v>14</v>
      </c>
      <c r="W35" s="705">
        <f t="shared" si="12"/>
        <v>100</v>
      </c>
      <c r="X35" s="1351"/>
      <c r="Y35" s="3710"/>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82" t="s">
        <v>1693</v>
      </c>
      <c r="Q36" s="1348">
        <f t="shared" si="8"/>
        <v>111</v>
      </c>
      <c r="R36" s="704" t="s">
        <v>14</v>
      </c>
      <c r="S36" s="705">
        <f t="shared" si="10"/>
        <v>100</v>
      </c>
      <c r="T36" s="704" t="s">
        <v>14</v>
      </c>
      <c r="U36" s="705">
        <f t="shared" si="11"/>
        <v>100</v>
      </c>
      <c r="V36" s="704" t="s">
        <v>14</v>
      </c>
      <c r="W36" s="705">
        <f t="shared" si="12"/>
        <v>100</v>
      </c>
      <c r="X36" s="1351"/>
      <c r="Y36" s="3714"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14"/>
      <c r="Q37" s="1348">
        <f t="shared" si="8"/>
        <v>111</v>
      </c>
      <c r="R37" s="707" t="s">
        <v>14</v>
      </c>
      <c r="S37" s="708">
        <f t="shared" si="10"/>
        <v>100</v>
      </c>
      <c r="T37" s="707" t="s">
        <v>14</v>
      </c>
      <c r="U37" s="708">
        <f t="shared" si="11"/>
        <v>100</v>
      </c>
      <c r="V37" s="707" t="s">
        <v>14</v>
      </c>
      <c r="W37" s="708">
        <f t="shared" si="12"/>
        <v>100</v>
      </c>
      <c r="X37" s="709"/>
      <c r="Y37" s="3714"/>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14"/>
      <c r="Q38" s="1348" t="str">
        <f>B38</f>
        <v>宗地面积</v>
      </c>
      <c r="R38" s="704" t="s">
        <v>14</v>
      </c>
      <c r="S38" s="705" t="e">
        <f t="shared" si="10"/>
        <v>#N/A</v>
      </c>
      <c r="T38" s="704" t="s">
        <v>14</v>
      </c>
      <c r="U38" s="705" t="e">
        <f t="shared" si="11"/>
        <v>#N/A</v>
      </c>
      <c r="V38" s="704" t="s">
        <v>14</v>
      </c>
      <c r="W38" s="705" t="e">
        <f t="shared" si="12"/>
        <v>#N/A</v>
      </c>
      <c r="X38" s="1351"/>
      <c r="Y38" s="3714"/>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14"/>
      <c r="Q39" s="1348" t="str">
        <f t="shared" ref="Q39:Q45" si="14">B39</f>
        <v>宗地形状</v>
      </c>
      <c r="R39" s="704" t="s">
        <v>14</v>
      </c>
      <c r="S39" s="705">
        <f t="shared" si="10"/>
        <v>100</v>
      </c>
      <c r="T39" s="704" t="s">
        <v>14</v>
      </c>
      <c r="U39" s="705">
        <f t="shared" si="11"/>
        <v>100</v>
      </c>
      <c r="V39" s="704" t="s">
        <v>14</v>
      </c>
      <c r="W39" s="705">
        <f t="shared" si="12"/>
        <v>100</v>
      </c>
      <c r="X39" s="1351"/>
      <c r="Y39" s="3714"/>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14"/>
      <c r="Q40" s="1348" t="str">
        <f t="shared" si="14"/>
        <v>临街宽度及深度</v>
      </c>
      <c r="R40" s="704" t="s">
        <v>14</v>
      </c>
      <c r="S40" s="705">
        <f t="shared" si="10"/>
        <v>100</v>
      </c>
      <c r="T40" s="704" t="s">
        <v>14</v>
      </c>
      <c r="U40" s="705">
        <f t="shared" si="11"/>
        <v>100</v>
      </c>
      <c r="V40" s="704" t="s">
        <v>14</v>
      </c>
      <c r="W40" s="705">
        <f t="shared" si="12"/>
        <v>100</v>
      </c>
      <c r="X40" s="1351"/>
      <c r="Y40" s="3714"/>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4"/>
      <c r="Q41" s="1348" t="str">
        <f t="shared" si="14"/>
        <v>宗地开发程度</v>
      </c>
      <c r="R41" s="700" t="s">
        <v>14</v>
      </c>
      <c r="S41" s="701">
        <f t="shared" si="10"/>
        <v>100</v>
      </c>
      <c r="T41" s="700" t="s">
        <v>14</v>
      </c>
      <c r="U41" s="701">
        <f t="shared" si="11"/>
        <v>100</v>
      </c>
      <c r="V41" s="700" t="s">
        <v>14</v>
      </c>
      <c r="W41" s="701">
        <f t="shared" si="12"/>
        <v>100</v>
      </c>
      <c r="X41" s="702"/>
      <c r="Y41" s="3714"/>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14" t="s">
        <v>1693</v>
      </c>
      <c r="Q42" s="1348" t="str">
        <f t="shared" si="14"/>
        <v>工程地质条件</v>
      </c>
      <c r="R42" s="704" t="s">
        <v>14</v>
      </c>
      <c r="S42" s="705">
        <f t="shared" si="10"/>
        <v>100</v>
      </c>
      <c r="T42" s="704" t="s">
        <v>14</v>
      </c>
      <c r="U42" s="705">
        <f t="shared" si="11"/>
        <v>100</v>
      </c>
      <c r="V42" s="704" t="s">
        <v>14</v>
      </c>
      <c r="W42" s="705">
        <f t="shared" si="12"/>
        <v>100</v>
      </c>
      <c r="X42" s="1351"/>
      <c r="Y42" s="3714"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14"/>
      <c r="Q43" s="1348">
        <f t="shared" si="14"/>
        <v>111</v>
      </c>
      <c r="R43" s="704" t="s">
        <v>14</v>
      </c>
      <c r="S43" s="705">
        <f t="shared" si="10"/>
        <v>100</v>
      </c>
      <c r="T43" s="704" t="s">
        <v>14</v>
      </c>
      <c r="U43" s="705">
        <f t="shared" si="11"/>
        <v>100</v>
      </c>
      <c r="V43" s="704" t="s">
        <v>14</v>
      </c>
      <c r="W43" s="705">
        <f t="shared" si="12"/>
        <v>100</v>
      </c>
      <c r="X43" s="1351"/>
      <c r="Y43" s="3714"/>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14"/>
      <c r="Q44" s="1348">
        <f t="shared" si="14"/>
        <v>111</v>
      </c>
      <c r="R44" s="704" t="s">
        <v>14</v>
      </c>
      <c r="S44" s="705">
        <f t="shared" si="10"/>
        <v>100</v>
      </c>
      <c r="T44" s="704" t="s">
        <v>14</v>
      </c>
      <c r="U44" s="705">
        <f t="shared" si="11"/>
        <v>100</v>
      </c>
      <c r="V44" s="704" t="s">
        <v>14</v>
      </c>
      <c r="W44" s="705">
        <f t="shared" si="12"/>
        <v>100</v>
      </c>
      <c r="X44" s="1351"/>
      <c r="Y44" s="3714"/>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14"/>
      <c r="Q45" s="1348">
        <f t="shared" si="14"/>
        <v>111</v>
      </c>
      <c r="R45" s="707" t="s">
        <v>14</v>
      </c>
      <c r="S45" s="708">
        <f t="shared" si="10"/>
        <v>100</v>
      </c>
      <c r="T45" s="707" t="s">
        <v>14</v>
      </c>
      <c r="U45" s="708">
        <f t="shared" si="11"/>
        <v>100</v>
      </c>
      <c r="V45" s="707" t="s">
        <v>14</v>
      </c>
      <c r="W45" s="708">
        <f t="shared" si="12"/>
        <v>100</v>
      </c>
      <c r="X45" s="709"/>
      <c r="Y45" s="3714"/>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02" t="str">
        <f>A46</f>
        <v>成交单价</v>
      </c>
      <c r="Q46" s="3702"/>
      <c r="R46" s="3716">
        <f>E46</f>
        <v>0</v>
      </c>
      <c r="S46" s="3716"/>
      <c r="T46" s="3716">
        <f>G46</f>
        <v>0</v>
      </c>
      <c r="U46" s="3716"/>
      <c r="V46" s="3716">
        <f>I46</f>
        <v>0</v>
      </c>
      <c r="W46" s="3716"/>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02" t="str">
        <f>A47</f>
        <v>比较价值（元/平方米）</v>
      </c>
      <c r="Q47" s="3702"/>
      <c r="R47" s="3784" t="e">
        <f>ROUND(PRODUCT(R46,AA7:AA45),0)</f>
        <v>#DIV/0!</v>
      </c>
      <c r="S47" s="3784"/>
      <c r="T47" s="3784" t="e">
        <f>ROUND(PRODUCT(T46,AB7:AB45),0)</f>
        <v>#DIV/0!</v>
      </c>
      <c r="U47" s="3784"/>
      <c r="V47" s="3784" t="e">
        <f>ROUND(PRODUCT(V46,AC7:AC45),0)</f>
        <v>#DIV/0!</v>
      </c>
      <c r="W47" s="3784"/>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04" t="str">
        <f>A48</f>
        <v>估价对象XX用房的比较价值（楼面单价，元/平方米）</v>
      </c>
      <c r="Q48" s="3705"/>
      <c r="R48" s="3785" t="e">
        <f>ROUND(IF(D47="简单平均",AVERAGE(R47:W47),R47*F47+T47*H47+V47*J47),0)</f>
        <v>#DIV/0!</v>
      </c>
      <c r="S48" s="3785"/>
      <c r="T48" s="3785"/>
      <c r="U48" s="3785"/>
      <c r="V48" s="3785"/>
      <c r="W48" s="3785"/>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21" t="s">
        <v>1884</v>
      </c>
      <c r="H55" s="3786"/>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17"/>
      <c r="H56" s="3702"/>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43.65</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3898</v>
      </c>
      <c r="C2" s="1383" t="s">
        <v>804</v>
      </c>
      <c r="D2" s="1383"/>
      <c r="E2" s="1384"/>
      <c r="F2" s="1385"/>
      <c r="G2" s="2702"/>
      <c r="H2" s="2691"/>
      <c r="I2" s="2691"/>
      <c r="J2" s="2691"/>
      <c r="K2" s="2692"/>
      <c r="L2" s="2691"/>
      <c r="M2" s="2691"/>
    </row>
    <row r="3" spans="1:37" ht="18" customHeight="1" thickBot="1">
      <c r="A3" s="1386" t="s">
        <v>805</v>
      </c>
      <c r="B3" s="1387">
        <f ca="1">IF(ISERROR(B2*10000/F43),0,ROUND(B2*10000/F43,0))</f>
        <v>5087</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697" t="s">
        <v>693</v>
      </c>
      <c r="C6" s="1070">
        <f ca="1">ROUND(F6*F8*F7*(1-F9)/10000,0)</f>
        <v>238</v>
      </c>
      <c r="D6" s="155" t="s">
        <v>2104</v>
      </c>
      <c r="E6" s="302" t="s">
        <v>695</v>
      </c>
      <c r="F6" s="303">
        <f ca="1">INDIRECT("'数据-取费表'!u"&amp;$G$1)</f>
        <v>800</v>
      </c>
      <c r="G6" s="1380"/>
      <c r="H6" s="1065" t="s">
        <v>397</v>
      </c>
      <c r="I6" s="3697" t="s">
        <v>693</v>
      </c>
      <c r="J6" s="301">
        <f ca="1">ROUND(M6*M8*M7*(1-M9)/10000,0)</f>
        <v>0</v>
      </c>
      <c r="K6" s="155" t="s">
        <v>2103</v>
      </c>
      <c r="L6" s="302" t="s">
        <v>695</v>
      </c>
      <c r="M6" s="303">
        <f ca="1">INDIRECT("'数据-取费表'!z"&amp;$G$1)</f>
        <v>0</v>
      </c>
    </row>
    <row r="7" spans="1:37" ht="18" customHeight="1">
      <c r="A7" s="1069"/>
      <c r="B7" s="3698"/>
      <c r="C7" s="1071"/>
      <c r="D7" s="307"/>
      <c r="E7" s="3489" t="s">
        <v>696</v>
      </c>
      <c r="F7" s="303">
        <f ca="1">IF(INDIRECT("'数据-取费表'!ah"&amp;$G$1)="",INDIRECT("'数据-取费表'!k"&amp;$G$1),INDIRECT("'数据-取费表'!ah"&amp;$G$1))</f>
        <v>275</v>
      </c>
      <c r="G7" s="1380"/>
      <c r="H7" s="304"/>
      <c r="I7" s="3698"/>
      <c r="J7" s="306"/>
      <c r="K7" s="307"/>
      <c r="L7" s="302" t="s">
        <v>696</v>
      </c>
      <c r="M7" s="303">
        <f ca="1">F7</f>
        <v>275</v>
      </c>
    </row>
    <row r="8" spans="1:37" ht="18" customHeight="1">
      <c r="A8" s="304"/>
      <c r="B8" s="3698"/>
      <c r="C8" s="306"/>
      <c r="D8" s="307"/>
      <c r="E8" s="302" t="s">
        <v>697</v>
      </c>
      <c r="F8" s="303">
        <f ca="1">INDIRECT("'数据-取费表'!ai"&amp;$G$1)</f>
        <v>12</v>
      </c>
      <c r="G8" s="1380"/>
      <c r="H8" s="304"/>
      <c r="I8" s="3698"/>
      <c r="J8" s="306"/>
      <c r="K8" s="307"/>
      <c r="L8" s="302" t="s">
        <v>697</v>
      </c>
      <c r="M8" s="303">
        <f ca="1">INDIRECT("'数据-取费表'!ai"&amp;$G$1)</f>
        <v>12</v>
      </c>
    </row>
    <row r="9" spans="1:37" ht="18" customHeight="1">
      <c r="A9" s="304"/>
      <c r="B9" s="3699"/>
      <c r="C9" s="306"/>
      <c r="D9" s="307"/>
      <c r="E9" s="302" t="s">
        <v>698</v>
      </c>
      <c r="F9" s="312">
        <f ca="1">INDIRECT("'数据-取费表'!w"&amp;$G$1)</f>
        <v>0.1</v>
      </c>
      <c r="G9" s="1380"/>
      <c r="H9" s="304"/>
      <c r="I9" s="3699"/>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5195</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5468</v>
      </c>
      <c r="K14" s="3488"/>
      <c r="L14" s="803"/>
      <c r="M14" s="804"/>
    </row>
    <row r="15" spans="1:37" s="1393" customFormat="1" ht="18" customHeight="1" thickBot="1">
      <c r="A15" s="978" t="s">
        <v>398</v>
      </c>
      <c r="B15" s="302" t="s">
        <v>709</v>
      </c>
      <c r="C15" s="21">
        <f ca="1">ROUND(C14*F15,0)</f>
        <v>126</v>
      </c>
      <c r="D15" s="3487" t="s">
        <v>710</v>
      </c>
      <c r="E15" s="3487"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30</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91</v>
      </c>
      <c r="D20" s="2424" t="s">
        <v>728</v>
      </c>
      <c r="E20" s="302" t="s">
        <v>711</v>
      </c>
      <c r="F20" s="322">
        <f>'数据-取费表'!B37</f>
        <v>0.02</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27.34</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161</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-30</v>
      </c>
      <c r="K25" s="1091" t="s">
        <v>752</v>
      </c>
      <c r="L25" s="1092"/>
      <c r="M25" s="1093"/>
    </row>
    <row r="26" spans="1:37">
      <c r="A26" s="978" t="s">
        <v>396</v>
      </c>
      <c r="B26" s="302" t="s">
        <v>753</v>
      </c>
      <c r="C26" s="21">
        <f ca="1">ROUND((C19+C20)*F26,0)</f>
        <v>233</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0.05</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5468</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79</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27.34</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7.79</v>
      </c>
      <c r="D37" s="3497"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159</v>
      </c>
      <c r="D39" s="1091" t="s">
        <v>772</v>
      </c>
      <c r="E39" s="1092"/>
      <c r="F39" s="1093"/>
      <c r="G39" s="1380"/>
      <c r="H39" s="2696"/>
      <c r="I39" s="1394"/>
      <c r="J39" s="1395"/>
      <c r="K39" s="2700"/>
      <c r="L39" s="2696"/>
      <c r="M39" s="2696"/>
    </row>
    <row r="40" spans="1:18" ht="18" customHeight="1">
      <c r="A40" s="299" t="s">
        <v>394</v>
      </c>
      <c r="B40" s="300" t="s">
        <v>773</v>
      </c>
      <c r="C40" s="301">
        <f ca="1">ROUND(C39*(1-((1+F42)/(1+F40))^F41)/(F40-F42),0)</f>
        <v>3805</v>
      </c>
      <c r="D40" s="324" t="s">
        <v>757</v>
      </c>
      <c r="E40" s="302" t="s">
        <v>758</v>
      </c>
      <c r="F40" s="312">
        <f ca="1">INDIRECT("'数据-取费表'!I"&amp;$G$1)</f>
        <v>0.05</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4966</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-4475</v>
      </c>
      <c r="D46" s="1402" t="str">
        <f>C2</f>
        <v>万元</v>
      </c>
      <c r="E46" s="1396"/>
      <c r="F46" s="1396"/>
      <c r="I46" s="1403" t="s">
        <v>809</v>
      </c>
      <c r="J46" s="1404"/>
      <c r="K46" s="1405"/>
      <c r="L46" s="1406">
        <f ca="1">IF(M47="住宅",0,IF(L48&gt;J51,L60,J60))</f>
        <v>93</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3805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93</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5468</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-4178</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0" t="s">
        <v>836</v>
      </c>
      <c r="L53" s="3701"/>
      <c r="O53" s="1414" t="s">
        <v>408</v>
      </c>
      <c r="P53" s="1415" t="s">
        <v>837</v>
      </c>
      <c r="Q53" s="1416">
        <f ca="1">Q47+Q48</f>
        <v>3898</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5195</v>
      </c>
      <c r="D56" s="1443"/>
      <c r="E56" s="1444"/>
      <c r="F56" s="1436"/>
      <c r="I56" s="1445" t="s">
        <v>841</v>
      </c>
      <c r="J56" s="1446" t="s">
        <v>3380</v>
      </c>
      <c r="K56" s="1417" t="s">
        <v>842</v>
      </c>
      <c r="L56" s="1420" t="str">
        <f ca="1">IF(L48&lt;J51,"——",L48-J53)</f>
        <v>——</v>
      </c>
      <c r="O56" s="1414" t="s">
        <v>402</v>
      </c>
      <c r="P56" s="1415" t="s">
        <v>816</v>
      </c>
      <c r="Q56" s="1416">
        <f ca="1">C40+J29</f>
        <v>3805</v>
      </c>
      <c r="R56" s="1416" t="s">
        <v>817</v>
      </c>
    </row>
    <row r="57" spans="1:18" s="1380" customFormat="1" ht="24.75" thickBot="1">
      <c r="A57" s="1447"/>
      <c r="B57" s="946" t="s">
        <v>766</v>
      </c>
      <c r="C57" s="238">
        <f ca="1">C29</f>
        <v>5468</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38</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2187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93</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3805</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27.34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7.79</v>
      </c>
      <c r="D65" s="960" t="s">
        <v>742</v>
      </c>
      <c r="E65" s="946" t="s">
        <v>743</v>
      </c>
      <c r="F65" s="330">
        <f t="shared" ca="1" si="0"/>
        <v>1.5E-3</v>
      </c>
      <c r="I65" s="1458" t="s">
        <v>866</v>
      </c>
      <c r="J65" s="1459">
        <v>40</v>
      </c>
      <c r="K65" s="1459">
        <v>30</v>
      </c>
      <c r="L65" s="1459">
        <v>50</v>
      </c>
      <c r="M65" s="1461">
        <v>0.02</v>
      </c>
      <c r="O65" s="1414" t="s">
        <v>402</v>
      </c>
      <c r="P65" s="1415" t="s">
        <v>867</v>
      </c>
      <c r="Q65" s="1416">
        <f ca="1">C40+J29</f>
        <v>3805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-38</v>
      </c>
      <c r="D67" s="959" t="s">
        <v>752</v>
      </c>
      <c r="E67" s="964"/>
      <c r="F67" s="965"/>
      <c r="O67" s="1424" t="s">
        <v>404</v>
      </c>
      <c r="P67" s="1415" t="s">
        <v>849</v>
      </c>
      <c r="Q67" s="1462">
        <f ca="1">L51</f>
        <v>-4178</v>
      </c>
      <c r="R67" s="1416" t="s">
        <v>869</v>
      </c>
    </row>
    <row r="68" spans="1:18" s="1380" customFormat="1" ht="16.5" thickBot="1">
      <c r="A68" s="943" t="s">
        <v>394</v>
      </c>
      <c r="B68" s="944" t="s">
        <v>773</v>
      </c>
      <c r="C68" s="301">
        <f ca="1">ROUND(C67*(1-((1+F70)/(1+F68))^F69)/(F68-F70),0)</f>
        <v>-670</v>
      </c>
      <c r="D68" s="961" t="s">
        <v>757</v>
      </c>
      <c r="E68" s="946" t="s">
        <v>758</v>
      </c>
      <c r="F68" s="312">
        <f ca="1">F40</f>
        <v>0.05</v>
      </c>
      <c r="O68" s="1424" t="s">
        <v>405</v>
      </c>
      <c r="P68" s="1463" t="s">
        <v>870</v>
      </c>
      <c r="Q68" s="1416">
        <f ca="1">ROUND(Q69-Q70*Q71,0)</f>
        <v>-205</v>
      </c>
      <c r="R68" s="1416" t="s">
        <v>413</v>
      </c>
    </row>
    <row r="69" spans="1:18" s="1380" customFormat="1" ht="13.5" thickBot="1">
      <c r="A69" s="947"/>
      <c r="B69" s="948"/>
      <c r="C69" s="306"/>
      <c r="D69" s="966" t="s">
        <v>761</v>
      </c>
      <c r="E69" s="946" t="s">
        <v>762</v>
      </c>
      <c r="F69" s="333">
        <f ca="1">F41</f>
        <v>43.65</v>
      </c>
      <c r="O69" s="1424" t="s">
        <v>410</v>
      </c>
      <c r="P69" s="1463" t="s">
        <v>871</v>
      </c>
      <c r="Q69" s="1416">
        <f ca="1">C39</f>
        <v>159</v>
      </c>
      <c r="R69" s="1416" t="s">
        <v>817</v>
      </c>
    </row>
    <row r="70" spans="1:18" s="1380" customFormat="1" ht="13.5" thickBot="1">
      <c r="A70" s="950"/>
      <c r="B70" s="951"/>
      <c r="C70" s="310"/>
      <c r="D70" s="962"/>
      <c r="E70" s="946" t="s">
        <v>765</v>
      </c>
      <c r="F70" s="1050"/>
      <c r="O70" s="1424" t="s">
        <v>411</v>
      </c>
      <c r="P70" s="1463" t="s">
        <v>872</v>
      </c>
      <c r="Q70" s="1416">
        <f ca="1">C13</f>
        <v>5195</v>
      </c>
      <c r="R70" s="1416" t="s">
        <v>817</v>
      </c>
    </row>
    <row r="71" spans="1:18" s="1380" customFormat="1" ht="13.5" thickBot="1">
      <c r="A71" s="967" t="s">
        <v>395</v>
      </c>
      <c r="B71" s="968" t="s">
        <v>775</v>
      </c>
      <c r="C71" s="336">
        <f ca="1">ROUND(C68*10000/F71,0)</f>
        <v>-874</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364</v>
      </c>
      <c r="D75" s="1380"/>
      <c r="E75" s="1380"/>
      <c r="F75" s="1380"/>
      <c r="K75" s="1398"/>
      <c r="L75" s="1380"/>
      <c r="O75" s="1414" t="s">
        <v>408</v>
      </c>
      <c r="P75" s="1415" t="s">
        <v>837</v>
      </c>
      <c r="Q75" s="1416">
        <f ca="1">Q65+Q66</f>
        <v>3805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-1.2890000000000001</v>
      </c>
    </row>
    <row r="80" spans="1:18">
      <c r="B80" s="340" t="s">
        <v>799</v>
      </c>
      <c r="C80" s="274">
        <f ca="1">ROUND(C75/C39,3)</f>
        <v>2.2890000000000001</v>
      </c>
    </row>
    <row r="81" spans="2:3">
      <c r="B81" s="270" t="s">
        <v>800</v>
      </c>
      <c r="C81" s="238"/>
    </row>
    <row r="82" spans="2:3">
      <c r="B82" s="273" t="s">
        <v>801</v>
      </c>
      <c r="C82" s="275">
        <f ca="1">1-C83</f>
        <v>-0.36499999999999999</v>
      </c>
    </row>
    <row r="83" spans="2:3">
      <c r="B83" s="273" t="s">
        <v>802</v>
      </c>
      <c r="C83" s="274">
        <f ca="1">ROUND(C13/C40,3)</f>
        <v>1.365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84222</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18343</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47434</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36788</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O13" sqref="O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47434</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34520</v>
      </c>
      <c r="U2" s="1209">
        <f>'数据-汇总表'!F19</f>
        <v>20688.28</v>
      </c>
      <c r="V2" s="3357">
        <f>ROUND(T2*U2/10000,0)</f>
        <v>71416</v>
      </c>
      <c r="W2" s="1212"/>
      <c r="X2" s="1212"/>
      <c r="Y2" s="1212"/>
      <c r="Z2" s="1212"/>
      <c r="AA2" s="1212"/>
      <c r="AB2" s="1212"/>
      <c r="AC2" s="1213"/>
      <c r="AD2" s="1214"/>
      <c r="AE2" s="1214"/>
      <c r="AF2" s="1214"/>
      <c r="AG2" s="1214"/>
      <c r="AH2" s="1214"/>
      <c r="AI2" s="1214"/>
      <c r="AJ2" s="1215"/>
    </row>
    <row r="3" spans="1:36" ht="15.75">
      <c r="A3" s="203" t="s">
        <v>1936</v>
      </c>
      <c r="B3" s="204">
        <f>ROUND(B2*10000/D1,0)</f>
        <v>16731</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27209</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94"/>
      <c r="B4" s="3795"/>
      <c r="C4" s="3795"/>
      <c r="D4" s="3796"/>
      <c r="E4" s="3796"/>
      <c r="F4" s="3796"/>
      <c r="G4" s="3796"/>
      <c r="H4" s="3796"/>
      <c r="I4" s="3796"/>
      <c r="J4" s="3797"/>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22996</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22204</v>
      </c>
      <c r="D5" s="1335">
        <f>ROUND(C6*C17+C20,0)</f>
        <v>22204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20281</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19491</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1" t="s">
        <v>1956</v>
      </c>
      <c r="X8" s="3792"/>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3"/>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98" t="s">
        <v>3253</v>
      </c>
      <c r="B20" s="167" t="s">
        <v>1990</v>
      </c>
      <c r="C20" s="3321">
        <f>ROUND(IF(F21="与级别开发程度一致",0,(G21-E21)/C21),0)</f>
        <v>-36</v>
      </c>
      <c r="D20" s="3337" t="s">
        <v>1994</v>
      </c>
      <c r="E20" s="3338"/>
      <c r="F20" s="3804" t="s">
        <v>1991</v>
      </c>
      <c r="G20" s="3805"/>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99"/>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0.97009999999999996</v>
      </c>
      <c r="D24" s="2056" t="s">
        <v>2003</v>
      </c>
      <c r="E24" s="1331">
        <f>存贷款利率!E24/100</f>
        <v>4.3499999999999997E-2</v>
      </c>
      <c r="F24" s="2056" t="s">
        <v>1995</v>
      </c>
      <c r="G24" s="764">
        <f>SUMIF(M30:Q30,E2,M33:Q33)</f>
        <v>5.5E-2</v>
      </c>
      <c r="H24" s="2056" t="s">
        <v>2004</v>
      </c>
      <c r="I24" s="765">
        <f>SUMIF('数据-取费表'!C6:C15,E2,'数据-取费表'!F6:F15)/COUNTIF('数据-取费表'!C6:C15,E2)</f>
        <v>43.65</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47434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21651</v>
      </c>
      <c r="D33" s="2094">
        <f>'数据-汇总表'!F19</f>
        <v>20688.28</v>
      </c>
      <c r="E33" s="769">
        <f>ROUND(C33*D33/10000,0)</f>
        <v>44792</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5413</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2"/>
      <c r="B37" s="2109" t="s">
        <v>2032</v>
      </c>
      <c r="C37" s="175">
        <f>ROUND(D5*C22*C23*C24*C28*F37,0)</f>
        <v>13791</v>
      </c>
      <c r="D37" s="2094"/>
      <c r="E37" s="171">
        <f>ROUND(C37*D37/10000,0)</f>
        <v>0</v>
      </c>
      <c r="F37" s="171">
        <f>SUMIF(修正!A57:A68,G2,修正!B57:B68)</f>
        <v>0.6</v>
      </c>
      <c r="G37" s="171">
        <f>ROUND(IF(E2="工业",C37*$M$42,C37*$M$41),0)</f>
        <v>3448</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3"/>
      <c r="B38" s="2037" t="s">
        <v>2033</v>
      </c>
      <c r="C38" s="175">
        <f>ROUND(D5*C22*C23*C24*C28*F38,0)</f>
        <v>6895</v>
      </c>
      <c r="D38" s="2094"/>
      <c r="E38" s="171">
        <f t="shared" ref="E38:E42" si="4">ROUND(C38*D38/10000,0)</f>
        <v>0</v>
      </c>
      <c r="F38" s="171">
        <f>SUMIF(修正!A57:A68,G2,修正!C57:C68)</f>
        <v>0.3</v>
      </c>
      <c r="G38" s="171">
        <f>ROUND(IF(E2="工业",C38*$M$42,C38*$M$41),0)</f>
        <v>1724</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3"/>
      <c r="B39" s="2037" t="s">
        <v>3257</v>
      </c>
      <c r="C39" s="175">
        <f>ROUND(D5*C22*C23*C24*C28*F39,0)</f>
        <v>5746</v>
      </c>
      <c r="D39" s="2094"/>
      <c r="E39" s="171">
        <f t="shared" si="4"/>
        <v>0</v>
      </c>
      <c r="F39" s="171">
        <f>SUMIF(修正!A57:A68,G2,修正!D57:D68)</f>
        <v>0.25</v>
      </c>
      <c r="G39" s="171">
        <f>ROUND(IF(E2="工业",C39*$M$42,C39*$M$41),0)</f>
        <v>1437</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5746</v>
      </c>
      <c r="D40" s="2094"/>
      <c r="E40" s="171">
        <f t="shared" si="4"/>
        <v>0</v>
      </c>
      <c r="F40" s="175">
        <f>SUMIF(修正!A57:A68,G2,修正!E57:E68)</f>
        <v>0.25</v>
      </c>
      <c r="G40" s="171">
        <f>ROUND(IF(E2="工业",C40*$M$42,C40*$M$41),0)</f>
        <v>1437</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5746</v>
      </c>
      <c r="D41" s="2094"/>
      <c r="E41" s="171">
        <f t="shared" si="4"/>
        <v>0</v>
      </c>
      <c r="F41" s="175">
        <f>SUMIF(修正!A57:A68,G2,修正!F57:F68)</f>
        <v>0.25</v>
      </c>
      <c r="G41" s="171">
        <f>ROUND(IF(E2="工业",C41*$M$42,C41*$M$41),0)</f>
        <v>1437</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3448</v>
      </c>
      <c r="D42" s="2099">
        <f>'数据-汇总表'!G21</f>
        <v>7662.36</v>
      </c>
      <c r="E42" s="187">
        <f t="shared" si="4"/>
        <v>2642</v>
      </c>
      <c r="F42" s="763">
        <f>SUMIF(修正!A57:A68,G2,修正!G57:G68)</f>
        <v>0.15</v>
      </c>
      <c r="G42" s="187">
        <f>ROUND(IF(E2="工业",C42*$M$42,C42*$M$41),0)</f>
        <v>862</v>
      </c>
      <c r="H42" s="187">
        <f t="shared" si="5"/>
        <v>7662.36</v>
      </c>
      <c r="I42" s="187">
        <f t="shared" si="6"/>
        <v>660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0" t="s">
        <v>3292</v>
      </c>
      <c r="B103" s="3800"/>
      <c r="C103" s="3800"/>
      <c r="D103" s="3800"/>
      <c r="E103" s="3800"/>
      <c r="F103" s="3800"/>
      <c r="G103" s="3800"/>
      <c r="H103" s="3800"/>
      <c r="I103" s="3800"/>
      <c r="J103" s="3800"/>
      <c r="K103" s="3386"/>
      <c r="L103" s="3386"/>
      <c r="M103" s="3386"/>
      <c r="N103" s="3386"/>
    </row>
    <row r="104" spans="1:14">
      <c r="A104" s="3801" t="s">
        <v>3293</v>
      </c>
      <c r="B104" s="3801" t="s">
        <v>3294</v>
      </c>
      <c r="C104" s="3387" t="s">
        <v>3295</v>
      </c>
      <c r="D104" s="3388"/>
      <c r="E104" s="3388"/>
      <c r="F104" s="3388"/>
      <c r="G104" s="3388"/>
      <c r="H104" s="3388"/>
      <c r="I104" s="3388"/>
      <c r="J104" s="3389"/>
      <c r="K104" s="3390"/>
      <c r="L104" s="3390"/>
      <c r="M104" s="3390"/>
      <c r="N104" s="3390"/>
    </row>
    <row r="105" spans="1:14">
      <c r="A105" s="3801"/>
      <c r="B105" s="3801"/>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87"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8"/>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89"/>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0" t="s">
        <v>3309</v>
      </c>
      <c r="B113" s="3790"/>
      <c r="C113" s="3790"/>
      <c r="D113" s="3790"/>
      <c r="E113" s="3790"/>
      <c r="F113" s="3790"/>
      <c r="G113" s="3790"/>
      <c r="H113" s="3790"/>
      <c r="I113" s="3790"/>
      <c r="J113" s="379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topLeftCell="A10" zoomScaleNormal="80" zoomScaleSheetLayoutView="100" workbookViewId="0">
      <selection activeCell="D38" sqref="D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36788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35630</v>
      </c>
      <c r="U2" s="1209">
        <f>'数据-汇总表'!F20/2</f>
        <v>6973.7899999999991</v>
      </c>
      <c r="V2" s="3357">
        <f>ROUND(T2*U2/10000,0)</f>
        <v>24848</v>
      </c>
      <c r="W2" s="1212"/>
      <c r="X2" s="1212"/>
      <c r="Y2" s="1212"/>
      <c r="Z2" s="1212"/>
      <c r="AA2" s="1212"/>
      <c r="AB2" s="1212"/>
      <c r="AC2" s="1213"/>
      <c r="AD2" s="1214"/>
      <c r="AE2" s="1214"/>
      <c r="AF2" s="1214"/>
      <c r="AG2" s="1214"/>
      <c r="AH2" s="1214"/>
      <c r="AI2" s="1214"/>
      <c r="AJ2" s="1215"/>
    </row>
    <row r="3" spans="1:36" ht="15.75">
      <c r="A3" s="203" t="s">
        <v>1936</v>
      </c>
      <c r="B3" s="204">
        <f>ROUND(B2*10000/D1,0)</f>
        <v>20944</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28084</v>
      </c>
      <c r="U3" s="1209">
        <f>U2</f>
        <v>6973.7899999999991</v>
      </c>
      <c r="V3" s="3357">
        <f t="shared" ref="V3:V16" si="1">ROUND(T3*U3/10000,0)</f>
        <v>19585</v>
      </c>
      <c r="W3" s="1212"/>
      <c r="X3" s="1212"/>
      <c r="Y3" s="1212"/>
      <c r="Z3" s="1212"/>
      <c r="AA3" s="1212"/>
      <c r="AB3" s="1212"/>
      <c r="AC3" s="1213"/>
      <c r="AD3" s="1214"/>
      <c r="AE3" s="1214"/>
      <c r="AF3" s="1214"/>
      <c r="AG3" s="1214"/>
      <c r="AH3" s="1214"/>
      <c r="AI3" s="1214"/>
      <c r="AJ3" s="1215"/>
    </row>
    <row r="4" spans="1:36" ht="15.75">
      <c r="A4" s="3794"/>
      <c r="B4" s="3795"/>
      <c r="C4" s="3795"/>
      <c r="D4" s="3796"/>
      <c r="E4" s="3796"/>
      <c r="F4" s="3796"/>
      <c r="G4" s="3796"/>
      <c r="H4" s="3796"/>
      <c r="I4" s="3796"/>
      <c r="J4" s="3797"/>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23735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23084</v>
      </c>
      <c r="D5" s="1335">
        <f>ROUND(C6*C17+C20,0)</f>
        <v>23084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20934</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20117</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1" t="s">
        <v>1956</v>
      </c>
      <c r="X8" s="3792"/>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3"/>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98" t="s">
        <v>3253</v>
      </c>
      <c r="B20" s="167" t="s">
        <v>1990</v>
      </c>
      <c r="C20" s="3321">
        <f>ROUND(IF(F21="与级别开发程度一致",0,(G21-E21)/C21),0)</f>
        <v>-36</v>
      </c>
      <c r="D20" s="3337" t="s">
        <v>1994</v>
      </c>
      <c r="E20" s="3338"/>
      <c r="F20" s="3804" t="s">
        <v>1991</v>
      </c>
      <c r="G20" s="3805"/>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99"/>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36788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1287</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22684</v>
      </c>
      <c r="D33" s="2094">
        <f>'数据-汇总表'!F20</f>
        <v>13947.579999999998</v>
      </c>
      <c r="E33" s="769">
        <f>ROUND(C33*D33/10000,0)</f>
        <v>31639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2"/>
      <c r="B37" s="2109" t="s">
        <v>2032</v>
      </c>
      <c r="C37" s="175">
        <f>ROUND(D5*C22*C23*C24*C28*F37,0)</f>
        <v>14234</v>
      </c>
      <c r="D37" s="2094">
        <f>'数据-基础表'!O15</f>
        <v>3617.18</v>
      </c>
      <c r="E37" s="171">
        <f>ROUND(C37*D37/10000,0)</f>
        <v>5149</v>
      </c>
      <c r="F37" s="171">
        <f>SUMIF(修正!A57:A68,G2,修正!B57:B68)</f>
        <v>0.6</v>
      </c>
      <c r="G37" s="171">
        <f>ROUND(IF(E2="工业",C37*$M$42,C37*$M$41),0)</f>
        <v>3559</v>
      </c>
      <c r="H37" s="171">
        <f>D37</f>
        <v>3617.18</v>
      </c>
      <c r="I37" s="171">
        <f>ROUND(G37*H37/10000,0)</f>
        <v>1287</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3"/>
      <c r="B38" s="2037" t="s">
        <v>2033</v>
      </c>
      <c r="C38" s="175">
        <f>ROUND(D5*C22*C23*C24*C28*F38,0)</f>
        <v>7117</v>
      </c>
      <c r="D38" s="2094"/>
      <c r="E38" s="171">
        <f t="shared" ref="E38:E42" si="4">ROUND(C38*D38/10000,0)</f>
        <v>0</v>
      </c>
      <c r="F38" s="171">
        <f>SUMIF(修正!A57:A68,G2,修正!C57:C68)</f>
        <v>0.3</v>
      </c>
      <c r="G38" s="171">
        <f>ROUND(IF(E2="工业",C38*$M$42,C38*$M$41),0)</f>
        <v>1779</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3"/>
      <c r="B39" s="2037" t="s">
        <v>3257</v>
      </c>
      <c r="C39" s="175">
        <f>ROUND(D5*C22*C23*C24*C28*F39,0)</f>
        <v>5931</v>
      </c>
      <c r="D39" s="2094"/>
      <c r="E39" s="171">
        <f t="shared" si="4"/>
        <v>0</v>
      </c>
      <c r="F39" s="171">
        <f>SUMIF(修正!A57:A68,G2,修正!D57:D68)</f>
        <v>0.25</v>
      </c>
      <c r="G39" s="171">
        <f>ROUND(IF(E2="工业",C39*$M$42,C39*$M$41),0)</f>
        <v>1483</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5931</v>
      </c>
      <c r="D40" s="2094"/>
      <c r="E40" s="171">
        <f t="shared" si="4"/>
        <v>0</v>
      </c>
      <c r="F40" s="175">
        <f>SUMIF(修正!A57:A68,G2,修正!E57:E68)</f>
        <v>0.25</v>
      </c>
      <c r="G40" s="171">
        <f>ROUND(IF(E2="工业",C40*$M$42,C40*$M$41),0)</f>
        <v>1483</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6082</v>
      </c>
      <c r="D41" s="2094"/>
      <c r="E41" s="171">
        <f t="shared" si="4"/>
        <v>0</v>
      </c>
      <c r="F41" s="175">
        <f>SUMIF(修正!A57:A68,G2,修正!F57:F68)</f>
        <v>0.25</v>
      </c>
      <c r="G41" s="171">
        <f>ROUND(IF(E2="工业",C41*$M$42,C41*$M$41),0)</f>
        <v>1521</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3649</v>
      </c>
      <c r="D42" s="2099"/>
      <c r="E42" s="187">
        <f t="shared" si="4"/>
        <v>0</v>
      </c>
      <c r="F42" s="763">
        <f>SUMIF(修正!A57:A68,G2,修正!G57:G68)</f>
        <v>0.15</v>
      </c>
      <c r="G42" s="187">
        <f>ROUND(IF(E2="工业",C42*$M$42,C42*$M$41),0)</f>
        <v>912</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0" t="s">
        <v>3292</v>
      </c>
      <c r="B103" s="3800"/>
      <c r="C103" s="3800"/>
      <c r="D103" s="3800"/>
      <c r="E103" s="3800"/>
      <c r="F103" s="3800"/>
      <c r="G103" s="3800"/>
      <c r="H103" s="3800"/>
      <c r="I103" s="3800"/>
      <c r="J103" s="3800"/>
      <c r="K103" s="3503"/>
      <c r="L103" s="3503"/>
      <c r="M103" s="3503"/>
      <c r="N103" s="3503"/>
    </row>
    <row r="104" spans="1:14">
      <c r="A104" s="3801" t="s">
        <v>3293</v>
      </c>
      <c r="B104" s="3801" t="s">
        <v>3294</v>
      </c>
      <c r="C104" s="3387" t="s">
        <v>3295</v>
      </c>
      <c r="D104" s="3388"/>
      <c r="E104" s="3388"/>
      <c r="F104" s="3388"/>
      <c r="G104" s="3388"/>
      <c r="H104" s="3388"/>
      <c r="I104" s="3388"/>
      <c r="J104" s="3389"/>
      <c r="K104" s="3390"/>
      <c r="L104" s="3390"/>
      <c r="M104" s="3390"/>
      <c r="N104" s="3390"/>
    </row>
    <row r="105" spans="1:14">
      <c r="A105" s="3801"/>
      <c r="B105" s="3801"/>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87"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88"/>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88"/>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88"/>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88"/>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88"/>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89"/>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0" t="s">
        <v>3309</v>
      </c>
      <c r="B113" s="3790"/>
      <c r="C113" s="3790"/>
      <c r="D113" s="3790"/>
      <c r="E113" s="3790"/>
      <c r="F113" s="3790"/>
      <c r="G113" s="3790"/>
      <c r="H113" s="3790"/>
      <c r="I113" s="3790"/>
      <c r="J113" s="3790"/>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1" t="s">
        <v>1767</v>
      </c>
      <c r="D4" s="3722"/>
      <c r="E4" s="3723" t="s">
        <v>1768</v>
      </c>
      <c r="F4" s="3724"/>
      <c r="G4" s="3721" t="s">
        <v>1769</v>
      </c>
      <c r="H4" s="3722"/>
      <c r="I4" s="3721" t="s">
        <v>1770</v>
      </c>
      <c r="J4" s="3722"/>
      <c r="K4" s="559" t="s">
        <v>1771</v>
      </c>
      <c r="L4" s="2711"/>
      <c r="M4" s="2712"/>
      <c r="N4" s="2712"/>
      <c r="O4" s="2712"/>
      <c r="P4" s="3725" t="s">
        <v>1772</v>
      </c>
      <c r="Q4" s="3726"/>
      <c r="R4" s="3731" t="s">
        <v>1768</v>
      </c>
      <c r="S4" s="3732"/>
      <c r="T4" s="3731" t="s">
        <v>1769</v>
      </c>
      <c r="U4" s="3732"/>
      <c r="V4" s="3716" t="s">
        <v>1770</v>
      </c>
      <c r="W4" s="3716"/>
      <c r="X4" s="1351"/>
      <c r="Y4" s="3731" t="s">
        <v>1772</v>
      </c>
      <c r="Z4" s="3732"/>
      <c r="AA4" s="3718" t="s">
        <v>1768</v>
      </c>
      <c r="AB4" s="3719" t="s">
        <v>1769</v>
      </c>
      <c r="AC4" s="3718" t="s">
        <v>1770</v>
      </c>
    </row>
    <row r="5" spans="1:29" ht="15">
      <c r="A5" s="358"/>
      <c r="B5" s="359"/>
      <c r="C5" s="3739" t="s">
        <v>1670</v>
      </c>
      <c r="D5" s="3740"/>
      <c r="E5" s="3746">
        <f>案例信息!A3</f>
        <v>0</v>
      </c>
      <c r="F5" s="3747"/>
      <c r="G5" s="3739">
        <f>案例信息!A4</f>
        <v>0</v>
      </c>
      <c r="H5" s="3740"/>
      <c r="I5" s="3739">
        <f>案例信息!A5</f>
        <v>0</v>
      </c>
      <c r="J5" s="3740"/>
      <c r="K5" s="559"/>
      <c r="L5" s="2711"/>
      <c r="M5" s="2712"/>
      <c r="N5" s="2712"/>
      <c r="O5" s="2712"/>
      <c r="P5" s="3727"/>
      <c r="Q5" s="3728"/>
      <c r="R5" s="3733"/>
      <c r="S5" s="3734"/>
      <c r="T5" s="3733"/>
      <c r="U5" s="3734"/>
      <c r="V5" s="3716"/>
      <c r="W5" s="3716"/>
      <c r="X5" s="1351"/>
      <c r="Y5" s="3733"/>
      <c r="Z5" s="3734"/>
      <c r="AA5" s="3719"/>
      <c r="AB5" s="3719"/>
      <c r="AC5" s="3719"/>
    </row>
    <row r="6" spans="1:29" ht="15.75" thickBot="1">
      <c r="A6" s="360"/>
      <c r="B6" s="361"/>
      <c r="C6" s="3806" t="s">
        <v>1916</v>
      </c>
      <c r="D6" s="3807"/>
      <c r="E6" s="3808" t="s">
        <v>1916</v>
      </c>
      <c r="F6" s="3809"/>
      <c r="G6" s="3806" t="s">
        <v>1916</v>
      </c>
      <c r="H6" s="3807"/>
      <c r="I6" s="3806" t="s">
        <v>1916</v>
      </c>
      <c r="J6" s="3807"/>
      <c r="K6" s="559" t="s">
        <v>1675</v>
      </c>
      <c r="L6" s="2711"/>
      <c r="M6" s="2712"/>
      <c r="N6" s="2712"/>
      <c r="O6" s="2712"/>
      <c r="P6" s="3729"/>
      <c r="Q6" s="3730"/>
      <c r="R6" s="3733"/>
      <c r="S6" s="3734"/>
      <c r="T6" s="3735"/>
      <c r="U6" s="3736"/>
      <c r="V6" s="3716"/>
      <c r="W6" s="3716"/>
      <c r="X6" s="1351"/>
      <c r="Y6" s="3735"/>
      <c r="Z6" s="3736"/>
      <c r="AA6" s="3720"/>
      <c r="AB6" s="3720"/>
      <c r="AC6" s="3720"/>
    </row>
    <row r="7" spans="1:29" s="108" customFormat="1" ht="15.75" thickBot="1">
      <c r="A7" s="362" t="s">
        <v>1676</v>
      </c>
      <c r="B7" s="363"/>
      <c r="C7" s="364">
        <f>'数据-取费表'!B2</f>
        <v>45457</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41" t="s">
        <v>1677</v>
      </c>
      <c r="Q7" s="3743"/>
      <c r="R7" s="700" t="s">
        <v>14</v>
      </c>
      <c r="S7" s="701">
        <f t="shared" ref="S7:S15" si="0">F7</f>
        <v>0</v>
      </c>
      <c r="T7" s="700" t="s">
        <v>14</v>
      </c>
      <c r="U7" s="701">
        <f t="shared" ref="U7:U15" si="1">H7</f>
        <v>0</v>
      </c>
      <c r="V7" s="700" t="s">
        <v>14</v>
      </c>
      <c r="W7" s="701">
        <f t="shared" ref="W7:W15" si="2">J7</f>
        <v>0</v>
      </c>
      <c r="X7" s="702"/>
      <c r="Y7" s="3741" t="s">
        <v>1677</v>
      </c>
      <c r="Z7" s="3742"/>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41" t="s">
        <v>1680</v>
      </c>
      <c r="Q8" s="3742"/>
      <c r="R8" s="700" t="s">
        <v>14</v>
      </c>
      <c r="S8" s="701">
        <f t="shared" si="0"/>
        <v>100</v>
      </c>
      <c r="T8" s="700" t="s">
        <v>14</v>
      </c>
      <c r="U8" s="701">
        <f t="shared" si="1"/>
        <v>100</v>
      </c>
      <c r="V8" s="700" t="s">
        <v>14</v>
      </c>
      <c r="W8" s="701">
        <f t="shared" si="2"/>
        <v>100</v>
      </c>
      <c r="X8" s="702"/>
      <c r="Y8" s="3741" t="s">
        <v>1680</v>
      </c>
      <c r="Z8" s="3742"/>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02" t="s">
        <v>1683</v>
      </c>
      <c r="Q9" s="1339" t="str">
        <f t="shared" ref="Q9:Q15" si="6">B9</f>
        <v>用途</v>
      </c>
      <c r="R9" s="700" t="s">
        <v>14</v>
      </c>
      <c r="S9" s="701">
        <f t="shared" si="0"/>
        <v>100</v>
      </c>
      <c r="T9" s="700" t="s">
        <v>14</v>
      </c>
      <c r="U9" s="701">
        <f t="shared" si="1"/>
        <v>100</v>
      </c>
      <c r="V9" s="700" t="s">
        <v>14</v>
      </c>
      <c r="W9" s="701">
        <f t="shared" si="2"/>
        <v>100</v>
      </c>
      <c r="X9" s="702"/>
      <c r="Y9" s="3599"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02"/>
      <c r="Q10" s="1339" t="str">
        <f t="shared" si="6"/>
        <v>土地使用年限（年）</v>
      </c>
      <c r="R10" s="700" t="s">
        <v>14</v>
      </c>
      <c r="S10" s="701">
        <f t="shared" si="0"/>
        <v>105</v>
      </c>
      <c r="T10" s="700" t="s">
        <v>14</v>
      </c>
      <c r="U10" s="701">
        <f t="shared" si="1"/>
        <v>105</v>
      </c>
      <c r="V10" s="700" t="s">
        <v>14</v>
      </c>
      <c r="W10" s="701">
        <f t="shared" si="2"/>
        <v>105</v>
      </c>
      <c r="X10" s="702"/>
      <c r="Y10" s="3599"/>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02"/>
      <c r="Q11" s="1339" t="str">
        <f t="shared" si="6"/>
        <v>容积率</v>
      </c>
      <c r="R11" s="700" t="s">
        <v>14</v>
      </c>
      <c r="S11" s="701">
        <f t="shared" si="0"/>
        <v>97</v>
      </c>
      <c r="T11" s="700" t="s">
        <v>14</v>
      </c>
      <c r="U11" s="701">
        <f t="shared" si="1"/>
        <v>97</v>
      </c>
      <c r="V11" s="700" t="s">
        <v>14</v>
      </c>
      <c r="W11" s="701">
        <f t="shared" si="2"/>
        <v>97</v>
      </c>
      <c r="X11" s="702"/>
      <c r="Y11" s="3599"/>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02"/>
      <c r="Q12" s="1339">
        <f t="shared" si="6"/>
        <v>111</v>
      </c>
      <c r="R12" s="700" t="s">
        <v>14</v>
      </c>
      <c r="S12" s="701">
        <f t="shared" si="0"/>
        <v>100</v>
      </c>
      <c r="T12" s="700" t="s">
        <v>14</v>
      </c>
      <c r="U12" s="701">
        <f t="shared" si="1"/>
        <v>100</v>
      </c>
      <c r="V12" s="700" t="s">
        <v>14</v>
      </c>
      <c r="W12" s="701">
        <f t="shared" si="2"/>
        <v>100</v>
      </c>
      <c r="X12" s="702"/>
      <c r="Y12" s="3599"/>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02"/>
      <c r="Q13" s="1339">
        <f t="shared" si="6"/>
        <v>111</v>
      </c>
      <c r="R13" s="700" t="s">
        <v>14</v>
      </c>
      <c r="S13" s="701">
        <f t="shared" si="0"/>
        <v>100</v>
      </c>
      <c r="T13" s="700" t="s">
        <v>14</v>
      </c>
      <c r="U13" s="701">
        <f t="shared" si="1"/>
        <v>100</v>
      </c>
      <c r="V13" s="700" t="s">
        <v>14</v>
      </c>
      <c r="W13" s="701">
        <f t="shared" si="2"/>
        <v>100</v>
      </c>
      <c r="X13" s="702"/>
      <c r="Y13" s="3599"/>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02"/>
      <c r="Q14" s="1339">
        <f t="shared" si="6"/>
        <v>111</v>
      </c>
      <c r="R14" s="700" t="s">
        <v>14</v>
      </c>
      <c r="S14" s="701">
        <f t="shared" si="0"/>
        <v>100</v>
      </c>
      <c r="T14" s="700" t="s">
        <v>14</v>
      </c>
      <c r="U14" s="701">
        <f t="shared" si="1"/>
        <v>100</v>
      </c>
      <c r="V14" s="700" t="s">
        <v>14</v>
      </c>
      <c r="W14" s="701">
        <f t="shared" si="2"/>
        <v>100</v>
      </c>
      <c r="X14" s="702"/>
      <c r="Y14" s="3599"/>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09" t="s">
        <v>1688</v>
      </c>
      <c r="Q15" s="1348" t="str">
        <f t="shared" si="6"/>
        <v>产业集聚程度</v>
      </c>
      <c r="R15" s="704" t="s">
        <v>14</v>
      </c>
      <c r="S15" s="705">
        <f t="shared" si="0"/>
        <v>100</v>
      </c>
      <c r="T15" s="704" t="s">
        <v>14</v>
      </c>
      <c r="U15" s="705">
        <f t="shared" si="1"/>
        <v>100</v>
      </c>
      <c r="V15" s="704" t="s">
        <v>14</v>
      </c>
      <c r="W15" s="705">
        <f t="shared" si="2"/>
        <v>100</v>
      </c>
      <c r="X15" s="1351"/>
      <c r="Y15" s="3709"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10"/>
      <c r="Q16" s="1348"/>
      <c r="R16" s="704"/>
      <c r="S16" s="705"/>
      <c r="T16" s="704"/>
      <c r="U16" s="705"/>
      <c r="V16" s="704"/>
      <c r="W16" s="705"/>
      <c r="X16" s="1351"/>
      <c r="Y16" s="3710"/>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10"/>
      <c r="Q17" s="1348" t="str">
        <f>B17</f>
        <v>交通便捷度</v>
      </c>
      <c r="R17" s="704" t="s">
        <v>14</v>
      </c>
      <c r="S17" s="705">
        <f>F17</f>
        <v>100</v>
      </c>
      <c r="T17" s="704" t="s">
        <v>14</v>
      </c>
      <c r="U17" s="705">
        <f>H17</f>
        <v>100</v>
      </c>
      <c r="V17" s="704" t="s">
        <v>14</v>
      </c>
      <c r="W17" s="705">
        <f>J17</f>
        <v>100</v>
      </c>
      <c r="X17" s="1351"/>
      <c r="Y17" s="3710"/>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10"/>
      <c r="Q18" s="1348"/>
      <c r="R18" s="704"/>
      <c r="S18" s="705"/>
      <c r="T18" s="704"/>
      <c r="U18" s="705"/>
      <c r="V18" s="704"/>
      <c r="W18" s="705"/>
      <c r="X18" s="1351"/>
      <c r="Y18" s="3710"/>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10"/>
      <c r="Q19" s="1348" t="str">
        <f t="shared" ref="Q19:Q33" si="8">B19</f>
        <v>区域土地利用方向</v>
      </c>
      <c r="R19" s="704" t="s">
        <v>14</v>
      </c>
      <c r="S19" s="705">
        <f>F19</f>
        <v>100</v>
      </c>
      <c r="T19" s="704" t="s">
        <v>14</v>
      </c>
      <c r="U19" s="705">
        <f>H19</f>
        <v>100</v>
      </c>
      <c r="V19" s="704" t="s">
        <v>14</v>
      </c>
      <c r="W19" s="705">
        <f>J19</f>
        <v>100</v>
      </c>
      <c r="X19" s="1351"/>
      <c r="Y19" s="3710"/>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10"/>
      <c r="Q20" s="1348"/>
      <c r="R20" s="704"/>
      <c r="S20" s="705"/>
      <c r="T20" s="704"/>
      <c r="U20" s="705"/>
      <c r="V20" s="704"/>
      <c r="W20" s="705"/>
      <c r="X20" s="1351"/>
      <c r="Y20" s="3710"/>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10"/>
      <c r="Q21" s="1348" t="str">
        <f t="shared" si="8"/>
        <v>环境状况</v>
      </c>
      <c r="R21" s="704" t="s">
        <v>14</v>
      </c>
      <c r="S21" s="705">
        <f>F21</f>
        <v>100</v>
      </c>
      <c r="T21" s="704" t="s">
        <v>14</v>
      </c>
      <c r="U21" s="705">
        <f>H21</f>
        <v>100</v>
      </c>
      <c r="V21" s="704" t="s">
        <v>14</v>
      </c>
      <c r="W21" s="705">
        <f>J21</f>
        <v>100</v>
      </c>
      <c r="X21" s="1351"/>
      <c r="Y21" s="3710"/>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10"/>
      <c r="Q22" s="1348"/>
      <c r="R22" s="704"/>
      <c r="S22" s="705"/>
      <c r="T22" s="704"/>
      <c r="U22" s="705"/>
      <c r="V22" s="704"/>
      <c r="W22" s="705"/>
      <c r="X22" s="1351"/>
      <c r="Y22" s="3710"/>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10"/>
      <c r="Q23" s="1339" t="str">
        <f t="shared" si="8"/>
        <v>公共配套设施</v>
      </c>
      <c r="R23" s="700" t="s">
        <v>14</v>
      </c>
      <c r="S23" s="701">
        <f>F23</f>
        <v>100</v>
      </c>
      <c r="T23" s="700" t="s">
        <v>14</v>
      </c>
      <c r="U23" s="701">
        <f>H23</f>
        <v>100</v>
      </c>
      <c r="V23" s="700" t="s">
        <v>14</v>
      </c>
      <c r="W23" s="701">
        <f>J23</f>
        <v>100</v>
      </c>
      <c r="X23" s="702"/>
      <c r="Y23" s="3710"/>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10"/>
      <c r="Q24" s="1339"/>
      <c r="R24" s="700"/>
      <c r="S24" s="701"/>
      <c r="T24" s="700"/>
      <c r="U24" s="701"/>
      <c r="V24" s="700"/>
      <c r="W24" s="701"/>
      <c r="X24" s="702"/>
      <c r="Y24" s="3710"/>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10"/>
      <c r="Q25" s="1339" t="str">
        <f t="shared" ref="Q25" si="9">B25</f>
        <v>基础设施水平</v>
      </c>
      <c r="R25" s="700" t="s">
        <v>14</v>
      </c>
      <c r="S25" s="701">
        <f>F25</f>
        <v>100</v>
      </c>
      <c r="T25" s="700" t="s">
        <v>14</v>
      </c>
      <c r="U25" s="701">
        <f>H25</f>
        <v>100</v>
      </c>
      <c r="V25" s="700" t="s">
        <v>14</v>
      </c>
      <c r="W25" s="701">
        <f>J25</f>
        <v>100</v>
      </c>
      <c r="X25" s="702"/>
      <c r="Y25" s="3710"/>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10"/>
      <c r="Q26" s="1339"/>
      <c r="R26" s="700"/>
      <c r="S26" s="701"/>
      <c r="T26" s="700"/>
      <c r="U26" s="701"/>
      <c r="V26" s="700"/>
      <c r="W26" s="701"/>
      <c r="X26" s="702"/>
      <c r="Y26" s="3710"/>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10"/>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10"/>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10"/>
      <c r="Q28" s="1348" t="str">
        <f t="shared" si="8"/>
        <v>毗邻道路的类型与等级</v>
      </c>
      <c r="R28" s="704" t="s">
        <v>14</v>
      </c>
      <c r="S28" s="705">
        <f t="shared" si="10"/>
        <v>100</v>
      </c>
      <c r="T28" s="704" t="s">
        <v>14</v>
      </c>
      <c r="U28" s="705">
        <f t="shared" si="11"/>
        <v>100</v>
      </c>
      <c r="V28" s="704" t="s">
        <v>14</v>
      </c>
      <c r="W28" s="705">
        <f t="shared" si="12"/>
        <v>100</v>
      </c>
      <c r="X28" s="1351"/>
      <c r="Y28" s="3710"/>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10"/>
      <c r="Q29" s="1348"/>
      <c r="R29" s="704"/>
      <c r="S29" s="705"/>
      <c r="T29" s="704"/>
      <c r="U29" s="705"/>
      <c r="V29" s="704"/>
      <c r="W29" s="705"/>
      <c r="X29" s="1351"/>
      <c r="Y29" s="3710"/>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10"/>
      <c r="Q30" s="1348" t="str">
        <f t="shared" si="8"/>
        <v>土地级别</v>
      </c>
      <c r="R30" s="704" t="s">
        <v>14</v>
      </c>
      <c r="S30" s="705">
        <f t="shared" si="10"/>
        <v>100</v>
      </c>
      <c r="T30" s="704" t="s">
        <v>14</v>
      </c>
      <c r="U30" s="705">
        <f t="shared" si="11"/>
        <v>100</v>
      </c>
      <c r="V30" s="704" t="s">
        <v>14</v>
      </c>
      <c r="W30" s="705">
        <f t="shared" si="12"/>
        <v>100</v>
      </c>
      <c r="X30" s="1351"/>
      <c r="Y30" s="3710"/>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0"/>
      <c r="Q31" s="1348">
        <f t="shared" si="8"/>
        <v>111</v>
      </c>
      <c r="R31" s="704" t="s">
        <v>14</v>
      </c>
      <c r="S31" s="705">
        <f t="shared" si="10"/>
        <v>100</v>
      </c>
      <c r="T31" s="704" t="s">
        <v>14</v>
      </c>
      <c r="U31" s="705">
        <f t="shared" si="11"/>
        <v>100</v>
      </c>
      <c r="V31" s="704" t="s">
        <v>14</v>
      </c>
      <c r="W31" s="705">
        <f t="shared" si="12"/>
        <v>100</v>
      </c>
      <c r="X31" s="1351"/>
      <c r="Y31" s="3710"/>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82" t="s">
        <v>1693</v>
      </c>
      <c r="Q32" s="1348">
        <f t="shared" si="8"/>
        <v>111</v>
      </c>
      <c r="R32" s="704" t="s">
        <v>14</v>
      </c>
      <c r="S32" s="705">
        <f t="shared" si="10"/>
        <v>100</v>
      </c>
      <c r="T32" s="704" t="s">
        <v>14</v>
      </c>
      <c r="U32" s="705">
        <f t="shared" si="11"/>
        <v>100</v>
      </c>
      <c r="V32" s="704" t="s">
        <v>14</v>
      </c>
      <c r="W32" s="705">
        <f t="shared" si="12"/>
        <v>100</v>
      </c>
      <c r="X32" s="1351"/>
      <c r="Y32" s="3714"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14"/>
      <c r="Q33" s="1348">
        <f t="shared" si="8"/>
        <v>111</v>
      </c>
      <c r="R33" s="707" t="s">
        <v>14</v>
      </c>
      <c r="S33" s="708">
        <f t="shared" si="10"/>
        <v>100</v>
      </c>
      <c r="T33" s="707" t="s">
        <v>14</v>
      </c>
      <c r="U33" s="708">
        <f t="shared" si="11"/>
        <v>100</v>
      </c>
      <c r="V33" s="707" t="s">
        <v>14</v>
      </c>
      <c r="W33" s="708">
        <f t="shared" si="12"/>
        <v>100</v>
      </c>
      <c r="X33" s="709"/>
      <c r="Y33" s="3714"/>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14"/>
      <c r="Q34" s="1348" t="str">
        <f>B34</f>
        <v>宗地面积</v>
      </c>
      <c r="R34" s="704" t="s">
        <v>14</v>
      </c>
      <c r="S34" s="705">
        <f t="shared" si="10"/>
        <v>100</v>
      </c>
      <c r="T34" s="704" t="s">
        <v>14</v>
      </c>
      <c r="U34" s="705">
        <f t="shared" si="11"/>
        <v>100</v>
      </c>
      <c r="V34" s="704" t="s">
        <v>14</v>
      </c>
      <c r="W34" s="705">
        <f t="shared" si="12"/>
        <v>100</v>
      </c>
      <c r="X34" s="1351"/>
      <c r="Y34" s="3714"/>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4"/>
      <c r="Q35" s="1348" t="str">
        <f t="shared" ref="Q35:Q40" si="14">B35</f>
        <v>宗地形状</v>
      </c>
      <c r="R35" s="704" t="s">
        <v>14</v>
      </c>
      <c r="S35" s="705">
        <f t="shared" si="10"/>
        <v>100</v>
      </c>
      <c r="T35" s="704" t="s">
        <v>14</v>
      </c>
      <c r="U35" s="705">
        <f t="shared" si="11"/>
        <v>100</v>
      </c>
      <c r="V35" s="704" t="s">
        <v>14</v>
      </c>
      <c r="W35" s="705">
        <f t="shared" si="12"/>
        <v>100</v>
      </c>
      <c r="X35" s="1351"/>
      <c r="Y35" s="3714"/>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4"/>
      <c r="Q36" s="1348" t="str">
        <f t="shared" si="14"/>
        <v>宗地开发程度</v>
      </c>
      <c r="R36" s="700" t="s">
        <v>14</v>
      </c>
      <c r="S36" s="701">
        <f t="shared" si="10"/>
        <v>100</v>
      </c>
      <c r="T36" s="700" t="s">
        <v>14</v>
      </c>
      <c r="U36" s="701">
        <f t="shared" si="11"/>
        <v>100</v>
      </c>
      <c r="V36" s="700" t="s">
        <v>14</v>
      </c>
      <c r="W36" s="701">
        <f t="shared" si="12"/>
        <v>100</v>
      </c>
      <c r="X36" s="702"/>
      <c r="Y36" s="3714"/>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4" t="s">
        <v>1693</v>
      </c>
      <c r="Q37" s="1348" t="str">
        <f t="shared" si="14"/>
        <v>工程地质条件</v>
      </c>
      <c r="R37" s="704" t="s">
        <v>14</v>
      </c>
      <c r="S37" s="705">
        <f t="shared" si="10"/>
        <v>100</v>
      </c>
      <c r="T37" s="704" t="s">
        <v>14</v>
      </c>
      <c r="U37" s="705">
        <f t="shared" si="11"/>
        <v>100</v>
      </c>
      <c r="V37" s="704" t="s">
        <v>14</v>
      </c>
      <c r="W37" s="705">
        <f t="shared" si="12"/>
        <v>100</v>
      </c>
      <c r="X37" s="1351"/>
      <c r="Y37" s="3714"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14"/>
      <c r="Q38" s="1348">
        <f t="shared" si="14"/>
        <v>111</v>
      </c>
      <c r="R38" s="704" t="s">
        <v>14</v>
      </c>
      <c r="S38" s="705">
        <f t="shared" si="10"/>
        <v>100</v>
      </c>
      <c r="T38" s="704" t="s">
        <v>14</v>
      </c>
      <c r="U38" s="705">
        <f t="shared" si="11"/>
        <v>100</v>
      </c>
      <c r="V38" s="704" t="s">
        <v>14</v>
      </c>
      <c r="W38" s="705">
        <f t="shared" si="12"/>
        <v>100</v>
      </c>
      <c r="X38" s="1351"/>
      <c r="Y38" s="3714"/>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14"/>
      <c r="Q39" s="1348">
        <f t="shared" si="14"/>
        <v>111</v>
      </c>
      <c r="R39" s="704" t="s">
        <v>14</v>
      </c>
      <c r="S39" s="705">
        <f t="shared" si="10"/>
        <v>100</v>
      </c>
      <c r="T39" s="704" t="s">
        <v>14</v>
      </c>
      <c r="U39" s="705">
        <f t="shared" si="11"/>
        <v>100</v>
      </c>
      <c r="V39" s="704" t="s">
        <v>14</v>
      </c>
      <c r="W39" s="705">
        <f t="shared" si="12"/>
        <v>100</v>
      </c>
      <c r="X39" s="1351"/>
      <c r="Y39" s="3714"/>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14"/>
      <c r="Q40" s="1348">
        <f t="shared" si="14"/>
        <v>111</v>
      </c>
      <c r="R40" s="707" t="s">
        <v>14</v>
      </c>
      <c r="S40" s="708">
        <f t="shared" si="10"/>
        <v>100</v>
      </c>
      <c r="T40" s="707" t="s">
        <v>14</v>
      </c>
      <c r="U40" s="708">
        <f t="shared" si="11"/>
        <v>100</v>
      </c>
      <c r="V40" s="707" t="s">
        <v>14</v>
      </c>
      <c r="W40" s="708">
        <f t="shared" si="12"/>
        <v>100</v>
      </c>
      <c r="X40" s="709"/>
      <c r="Y40" s="3714"/>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02" t="str">
        <f>A41</f>
        <v>成交单价</v>
      </c>
      <c r="Q41" s="3702"/>
      <c r="R41" s="3716">
        <f>E41</f>
        <v>0</v>
      </c>
      <c r="S41" s="3716"/>
      <c r="T41" s="3716">
        <f>G41</f>
        <v>0</v>
      </c>
      <c r="U41" s="3716"/>
      <c r="V41" s="3716">
        <f>I41</f>
        <v>0</v>
      </c>
      <c r="W41" s="3716"/>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02" t="str">
        <f>A42</f>
        <v>比较价值（元/平方米）</v>
      </c>
      <c r="Q42" s="3702"/>
      <c r="R42" s="3784" t="e">
        <f>ROUND(PRODUCT(R41,AA7:AA40),0)</f>
        <v>#DIV/0!</v>
      </c>
      <c r="S42" s="3784"/>
      <c r="T42" s="3784" t="e">
        <f>ROUND(PRODUCT(T41,AB7:AB40),0)</f>
        <v>#DIV/0!</v>
      </c>
      <c r="U42" s="3784"/>
      <c r="V42" s="3784" t="e">
        <f>ROUND(PRODUCT(V41,AC7:AC40),0)</f>
        <v>#DIV/0!</v>
      </c>
      <c r="W42" s="3784"/>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04" t="str">
        <f>A43</f>
        <v>估价对象XX用房的比较价值（楼面单价，元/平方米）</v>
      </c>
      <c r="Q43" s="3705"/>
      <c r="R43" s="3785" t="e">
        <f>ROUND(IF(D42="简单平均",AVERAGE(R42:W42),R42*F42+T42*H42+V42*J42),0)</f>
        <v>#DIV/0!</v>
      </c>
      <c r="S43" s="3785"/>
      <c r="T43" s="3785"/>
      <c r="U43" s="3785"/>
      <c r="V43" s="3785"/>
      <c r="W43" s="3785"/>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21" t="s">
        <v>1884</v>
      </c>
      <c r="H50" s="3786"/>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17"/>
      <c r="H51" s="3702"/>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89"/>
      <c r="B4" s="3513" t="s">
        <v>916</v>
      </c>
      <c r="C4" s="3513"/>
      <c r="D4" s="3513"/>
      <c r="E4" s="1489"/>
    </row>
    <row r="5" spans="1:5" ht="16.5" thickTop="1">
      <c r="A5" s="1487"/>
      <c r="B5" s="3511" t="s">
        <v>908</v>
      </c>
      <c r="C5" s="1490" t="s">
        <v>909</v>
      </c>
      <c r="D5" s="846">
        <f ca="1">结果表!H101</f>
        <v>132017</v>
      </c>
      <c r="E5" s="1487"/>
    </row>
    <row r="6" spans="1:5" ht="15.75">
      <c r="A6" s="1487"/>
      <c r="B6" s="3511"/>
      <c r="C6" s="1490" t="s">
        <v>910</v>
      </c>
      <c r="D6" s="846" t="str">
        <f ca="1">NUMBERSTRING(INT(D5*10000),2)&amp;"元整"</f>
        <v>壹拾叁亿贰仟零壹拾柒万元整</v>
      </c>
      <c r="E6" s="1487"/>
    </row>
    <row r="7" spans="1:5" ht="15.75">
      <c r="A7" s="1487"/>
      <c r="B7" s="3516"/>
      <c r="C7" s="1491" t="s">
        <v>911</v>
      </c>
      <c r="D7" s="847">
        <f ca="1">结果表!H102</f>
        <v>26257</v>
      </c>
      <c r="E7" s="1487"/>
    </row>
    <row r="8" spans="1:5" ht="15.75">
      <c r="A8" s="1487"/>
      <c r="B8" s="3517" t="str">
        <f>结果表!E103</f>
        <v>2.估价师知悉的法定优先受偿款</v>
      </c>
      <c r="C8" s="1492" t="s">
        <v>912</v>
      </c>
      <c r="D8" s="847">
        <f>结果表!H103</f>
        <v>0</v>
      </c>
      <c r="E8" s="1487"/>
    </row>
    <row r="9" spans="1:5" ht="15.75">
      <c r="A9" s="1487"/>
      <c r="B9" s="3519"/>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0" t="str">
        <f>结果表!E107</f>
        <v>3.房地产抵押价值</v>
      </c>
      <c r="C13" s="1495" t="s">
        <v>909</v>
      </c>
      <c r="D13" s="849">
        <f ca="1">结果表!H107</f>
        <v>132017</v>
      </c>
      <c r="E13" s="1487"/>
    </row>
    <row r="14" spans="1:5" ht="15.75">
      <c r="A14" s="1487"/>
      <c r="B14" s="3511"/>
      <c r="C14" s="1490" t="s">
        <v>910</v>
      </c>
      <c r="D14" s="846" t="str">
        <f ca="1">NUMBERSTRING(INT(D13*10000),2)&amp;"元整"</f>
        <v>壹拾叁亿贰仟零壹拾柒万元整</v>
      </c>
      <c r="E14" s="1487"/>
    </row>
    <row r="15" spans="1:5" ht="15">
      <c r="A15" s="1487"/>
      <c r="B15" s="3516"/>
      <c r="C15" s="1491" t="s">
        <v>920</v>
      </c>
      <c r="D15" s="855">
        <f ca="1">结果表!H108</f>
        <v>26257</v>
      </c>
      <c r="E15" s="1487"/>
    </row>
    <row r="16" spans="1:5" ht="15">
      <c r="A16" s="1487"/>
      <c r="B16" s="3517" t="str">
        <f>结果表!E109</f>
        <v>——</v>
      </c>
      <c r="C16" s="1495" t="s">
        <v>921</v>
      </c>
      <c r="D16" s="1496" t="str">
        <f>结果表!H109</f>
        <v>——</v>
      </c>
      <c r="E16" s="1487"/>
    </row>
    <row r="17" spans="1:5" ht="15.75">
      <c r="A17" s="1487"/>
      <c r="B17" s="3518"/>
      <c r="C17" s="1490" t="s">
        <v>922</v>
      </c>
      <c r="D17" s="846" t="e">
        <f>NUMBERSTRING(INT(D16*10000),2)&amp;"元整"</f>
        <v>#VALUE!</v>
      </c>
      <c r="E17" s="1487"/>
    </row>
    <row r="18" spans="1:5" ht="15">
      <c r="A18" s="1487"/>
      <c r="B18" s="3519"/>
      <c r="C18" s="1491" t="s">
        <v>911</v>
      </c>
      <c r="D18" s="855" t="str">
        <f>结果表!H110</f>
        <v>——</v>
      </c>
      <c r="E18" s="1487"/>
    </row>
    <row r="19" spans="1:5" ht="15.75">
      <c r="A19" s="1487"/>
      <c r="B19" s="3510" t="str">
        <f>结果表!E111</f>
        <v>4.抵押净值</v>
      </c>
      <c r="C19" s="1495" t="s">
        <v>909</v>
      </c>
      <c r="D19" s="847">
        <f ca="1">结果表!H111</f>
        <v>100909</v>
      </c>
      <c r="E19" s="1487"/>
    </row>
    <row r="20" spans="1:5" ht="15.75">
      <c r="A20" s="1487"/>
      <c r="B20" s="3511"/>
      <c r="C20" s="1490" t="s">
        <v>922</v>
      </c>
      <c r="D20" s="846" t="str">
        <f ca="1">NUMBERSTRING(INT(D19*10000),2)&amp;"元整"</f>
        <v>壹拾亿零玖佰零玖万元整</v>
      </c>
      <c r="E20" s="1487"/>
    </row>
    <row r="21" spans="1:5" ht="15.75" thickBot="1">
      <c r="A21" s="1487"/>
      <c r="B21" s="3512"/>
      <c r="C21" s="1497" t="s">
        <v>920</v>
      </c>
      <c r="D21" s="856">
        <f ca="1">结果表!H112</f>
        <v>20070</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13" t="s">
        <v>2079</v>
      </c>
      <c r="D1" s="3814"/>
      <c r="E1" s="3814"/>
      <c r="F1" s="3814"/>
      <c r="G1" s="3814"/>
      <c r="H1" s="3814"/>
      <c r="I1" s="3814"/>
      <c r="J1" s="3814"/>
      <c r="K1" s="3814"/>
      <c r="L1" s="3814"/>
      <c r="M1" s="3814"/>
      <c r="N1" s="3814"/>
      <c r="O1" s="3814"/>
      <c r="P1" s="3814"/>
      <c r="Q1" s="3814"/>
      <c r="R1" s="3814"/>
      <c r="S1" s="3815"/>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0" t="s">
        <v>27</v>
      </c>
      <c r="D22" s="3811"/>
      <c r="E22" s="3811"/>
      <c r="F22" s="3811"/>
      <c r="G22" s="3811"/>
      <c r="H22" s="3811"/>
      <c r="I22" s="3811"/>
      <c r="J22" s="3811"/>
      <c r="K22" s="3811"/>
      <c r="L22" s="3811"/>
      <c r="M22" s="3811"/>
      <c r="N22" s="3811"/>
      <c r="O22" s="3811"/>
      <c r="P22" s="3811"/>
      <c r="Q22" s="3812"/>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25" t="s">
        <v>2606</v>
      </c>
      <c r="B20" s="3820" t="s">
        <v>2627</v>
      </c>
      <c r="C20" s="3099" t="s">
        <v>2438</v>
      </c>
      <c r="D20" s="3100"/>
      <c r="E20" s="3101">
        <v>1</v>
      </c>
      <c r="F20" s="3102" t="s">
        <v>2439</v>
      </c>
      <c r="G20" s="3102"/>
    </row>
    <row r="21" spans="1:13" ht="19.5" customHeight="1">
      <c r="A21" s="3826"/>
      <c r="B21" s="3819"/>
      <c r="C21" s="3103" t="s">
        <v>2440</v>
      </c>
      <c r="D21" s="3104"/>
      <c r="E21" s="3105">
        <v>1</v>
      </c>
      <c r="F21" s="3102" t="s">
        <v>2441</v>
      </c>
      <c r="G21" s="3102"/>
    </row>
    <row r="22" spans="1:13" ht="19.5" customHeight="1">
      <c r="A22" s="3826"/>
      <c r="B22" s="3819"/>
      <c r="C22" s="3103" t="s">
        <v>2442</v>
      </c>
      <c r="D22" s="3104"/>
      <c r="E22" s="3105">
        <v>0.9</v>
      </c>
      <c r="F22" s="3102" t="s">
        <v>2443</v>
      </c>
      <c r="G22" s="3102"/>
    </row>
    <row r="23" spans="1:13" ht="19.5" customHeight="1">
      <c r="A23" s="3826"/>
      <c r="B23" s="3819"/>
      <c r="C23" s="3103" t="s">
        <v>2444</v>
      </c>
      <c r="D23" s="3104"/>
      <c r="E23" s="3105">
        <v>0.9</v>
      </c>
      <c r="F23" s="3102" t="s">
        <v>2445</v>
      </c>
      <c r="G23" s="3102"/>
    </row>
    <row r="24" spans="1:13" ht="19.5" customHeight="1">
      <c r="A24" s="3826"/>
      <c r="B24" s="3819"/>
      <c r="C24" s="3103" t="s">
        <v>2446</v>
      </c>
      <c r="D24" s="3104"/>
      <c r="E24" s="3105">
        <v>0.8</v>
      </c>
      <c r="F24" s="3102" t="s">
        <v>2447</v>
      </c>
      <c r="G24" s="3102"/>
    </row>
    <row r="25" spans="1:13" ht="19.5" customHeight="1" thickBot="1">
      <c r="A25" s="3827"/>
      <c r="B25" s="3821"/>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2" t="s">
        <v>2630</v>
      </c>
      <c r="B27" s="3820" t="s">
        <v>2611</v>
      </c>
      <c r="C27" s="3099" t="s">
        <v>2451</v>
      </c>
      <c r="D27" s="3100"/>
      <c r="E27" s="3101">
        <v>1</v>
      </c>
      <c r="F27" s="3102" t="s">
        <v>2452</v>
      </c>
      <c r="G27" s="3102"/>
    </row>
    <row r="28" spans="1:13" ht="19.5" customHeight="1">
      <c r="A28" s="3823"/>
      <c r="B28" s="3819"/>
      <c r="C28" s="3103" t="s">
        <v>2453</v>
      </c>
      <c r="D28" s="3104"/>
      <c r="E28" s="3105">
        <v>1</v>
      </c>
      <c r="F28" s="3102" t="s">
        <v>2454</v>
      </c>
      <c r="G28" s="3102"/>
    </row>
    <row r="29" spans="1:13" ht="19.5" customHeight="1">
      <c r="A29" s="3823"/>
      <c r="B29" s="3819"/>
      <c r="C29" s="3103" t="s">
        <v>2455</v>
      </c>
      <c r="D29" s="3104"/>
      <c r="E29" s="3105">
        <v>0.8</v>
      </c>
      <c r="F29" s="3102" t="s">
        <v>2456</v>
      </c>
      <c r="G29" s="3102"/>
    </row>
    <row r="30" spans="1:13" ht="19.5" customHeight="1">
      <c r="A30" s="3823"/>
      <c r="B30" s="3819"/>
      <c r="C30" s="3103" t="s">
        <v>2457</v>
      </c>
      <c r="D30" s="3104"/>
      <c r="E30" s="3105">
        <v>0.8</v>
      </c>
      <c r="F30" s="3102" t="s">
        <v>2458</v>
      </c>
      <c r="G30" s="3102"/>
    </row>
    <row r="31" spans="1:13" ht="19.5" customHeight="1">
      <c r="A31" s="3823"/>
      <c r="B31" s="3819"/>
      <c r="C31" s="3103" t="s">
        <v>2459</v>
      </c>
      <c r="D31" s="3104"/>
      <c r="E31" s="3105">
        <v>0.8</v>
      </c>
      <c r="F31" s="3102" t="s">
        <v>2460</v>
      </c>
      <c r="G31" s="3102"/>
    </row>
    <row r="32" spans="1:13" ht="19.5" customHeight="1">
      <c r="A32" s="3823"/>
      <c r="B32" s="3819"/>
      <c r="C32" s="3103" t="s">
        <v>2461</v>
      </c>
      <c r="D32" s="3104"/>
      <c r="E32" s="3105">
        <v>0.7</v>
      </c>
      <c r="F32" s="3102" t="s">
        <v>2462</v>
      </c>
      <c r="G32" s="3102"/>
    </row>
    <row r="33" spans="1:7" ht="19.5" customHeight="1">
      <c r="A33" s="3823"/>
      <c r="B33" s="3819"/>
      <c r="C33" s="3103" t="s">
        <v>2463</v>
      </c>
      <c r="D33" s="3104"/>
      <c r="E33" s="3105">
        <v>0.8</v>
      </c>
      <c r="F33" s="3102" t="s">
        <v>2464</v>
      </c>
      <c r="G33" s="3102"/>
    </row>
    <row r="34" spans="1:7" ht="19.5" customHeight="1">
      <c r="A34" s="3823"/>
      <c r="B34" s="3819"/>
      <c r="C34" s="3103" t="s">
        <v>2465</v>
      </c>
      <c r="D34" s="3104"/>
      <c r="E34" s="3105">
        <v>0.6</v>
      </c>
      <c r="F34" s="3102" t="s">
        <v>2466</v>
      </c>
      <c r="G34" s="3102"/>
    </row>
    <row r="35" spans="1:7" ht="19.5" customHeight="1">
      <c r="A35" s="3823"/>
      <c r="B35" s="3819"/>
      <c r="C35" s="3103" t="s">
        <v>2467</v>
      </c>
      <c r="D35" s="3104"/>
      <c r="E35" s="3105">
        <v>0.2</v>
      </c>
      <c r="F35" s="3102" t="s">
        <v>2468</v>
      </c>
      <c r="G35" s="3102"/>
    </row>
    <row r="36" spans="1:7" ht="19.5" customHeight="1">
      <c r="A36" s="3823"/>
      <c r="B36" s="3819"/>
      <c r="C36" s="3103" t="s">
        <v>2469</v>
      </c>
      <c r="D36" s="3104"/>
      <c r="E36" s="3105">
        <v>0.2</v>
      </c>
      <c r="F36" s="3102" t="s">
        <v>2470</v>
      </c>
      <c r="G36" s="3102"/>
    </row>
    <row r="37" spans="1:7" ht="19.5" customHeight="1">
      <c r="A37" s="3823"/>
      <c r="B37" s="3817" t="s">
        <v>2631</v>
      </c>
      <c r="C37" s="3103" t="s">
        <v>2471</v>
      </c>
      <c r="D37" s="3104"/>
      <c r="E37" s="3105">
        <v>0.6</v>
      </c>
      <c r="F37" s="3102" t="s">
        <v>2472</v>
      </c>
      <c r="G37" s="3102"/>
    </row>
    <row r="38" spans="1:7" ht="19.5" customHeight="1">
      <c r="A38" s="3823"/>
      <c r="B38" s="3819"/>
      <c r="C38" s="3103" t="s">
        <v>2473</v>
      </c>
      <c r="D38" s="3104"/>
      <c r="E38" s="3105">
        <v>0.6</v>
      </c>
      <c r="F38" s="3102" t="s">
        <v>2474</v>
      </c>
      <c r="G38" s="3102"/>
    </row>
    <row r="39" spans="1:7" ht="19.5" customHeight="1" thickBot="1">
      <c r="A39" s="3824"/>
      <c r="B39" s="3821"/>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25" t="s">
        <v>2609</v>
      </c>
      <c r="B41" s="3820" t="s">
        <v>2633</v>
      </c>
      <c r="C41" s="3099" t="s">
        <v>2478</v>
      </c>
      <c r="D41" s="3100"/>
      <c r="E41" s="3101">
        <v>1</v>
      </c>
      <c r="F41" s="3102" t="s">
        <v>2479</v>
      </c>
      <c r="G41" s="3102"/>
    </row>
    <row r="42" spans="1:7" ht="19.5" customHeight="1">
      <c r="A42" s="3826"/>
      <c r="B42" s="3819"/>
      <c r="C42" s="3103" t="s">
        <v>2480</v>
      </c>
      <c r="D42" s="3104"/>
      <c r="E42" s="3105">
        <v>1</v>
      </c>
      <c r="F42" s="3102" t="s">
        <v>2481</v>
      </c>
      <c r="G42" s="3102"/>
    </row>
    <row r="43" spans="1:7" ht="19.5" customHeight="1">
      <c r="A43" s="3826"/>
      <c r="B43" s="3818"/>
      <c r="C43" s="3103" t="s">
        <v>2482</v>
      </c>
      <c r="D43" s="3104"/>
      <c r="E43" s="3105">
        <v>1.5</v>
      </c>
      <c r="F43" s="3102" t="s">
        <v>2483</v>
      </c>
      <c r="G43" s="3102"/>
    </row>
    <row r="44" spans="1:7" ht="19.5" customHeight="1">
      <c r="A44" s="3826"/>
      <c r="B44" s="3114" t="s">
        <v>2634</v>
      </c>
      <c r="C44" s="3103" t="s">
        <v>2635</v>
      </c>
      <c r="D44" s="3104"/>
      <c r="E44" s="3105">
        <v>2</v>
      </c>
      <c r="F44" s="3102" t="s">
        <v>2484</v>
      </c>
      <c r="G44" s="3102"/>
    </row>
    <row r="45" spans="1:7" ht="19.5" customHeight="1">
      <c r="A45" s="3826"/>
      <c r="B45" s="3817" t="s">
        <v>2636</v>
      </c>
      <c r="C45" s="3103" t="s">
        <v>2485</v>
      </c>
      <c r="D45" s="3104"/>
      <c r="E45" s="3105">
        <v>1</v>
      </c>
      <c r="F45" s="3102" t="s">
        <v>2486</v>
      </c>
      <c r="G45" s="3102"/>
    </row>
    <row r="46" spans="1:7" ht="19.5" customHeight="1">
      <c r="A46" s="3826"/>
      <c r="B46" s="3819"/>
      <c r="C46" s="3103" t="s">
        <v>2487</v>
      </c>
      <c r="D46" s="3104"/>
      <c r="E46" s="3105">
        <v>1</v>
      </c>
      <c r="F46" s="3102" t="s">
        <v>2488</v>
      </c>
      <c r="G46" s="3102"/>
    </row>
    <row r="47" spans="1:7" ht="19.5" customHeight="1">
      <c r="A47" s="3826"/>
      <c r="B47" s="3819"/>
      <c r="C47" s="3103" t="s">
        <v>2489</v>
      </c>
      <c r="D47" s="3104"/>
      <c r="E47" s="3105">
        <v>1</v>
      </c>
      <c r="F47" s="3102" t="s">
        <v>2490</v>
      </c>
      <c r="G47" s="3102"/>
    </row>
    <row r="48" spans="1:7" ht="19.5" customHeight="1">
      <c r="A48" s="3826"/>
      <c r="B48" s="3819"/>
      <c r="C48" s="3103" t="s">
        <v>2491</v>
      </c>
      <c r="D48" s="3104"/>
      <c r="E48" s="3105">
        <v>1</v>
      </c>
      <c r="F48" s="3102" t="s">
        <v>2492</v>
      </c>
      <c r="G48" s="3102"/>
    </row>
    <row r="49" spans="1:7" ht="19.5" customHeight="1">
      <c r="A49" s="3826"/>
      <c r="B49" s="3819"/>
      <c r="C49" s="3103" t="s">
        <v>2493</v>
      </c>
      <c r="D49" s="3104"/>
      <c r="E49" s="3105">
        <v>1</v>
      </c>
      <c r="F49" s="3102" t="s">
        <v>2494</v>
      </c>
      <c r="G49" s="3102"/>
    </row>
    <row r="50" spans="1:7" ht="19.5" customHeight="1">
      <c r="A50" s="3826"/>
      <c r="B50" s="3819"/>
      <c r="C50" s="3103" t="s">
        <v>2495</v>
      </c>
      <c r="D50" s="3104"/>
      <c r="E50" s="3105">
        <v>1</v>
      </c>
      <c r="F50" s="3102" t="s">
        <v>2496</v>
      </c>
      <c r="G50" s="3102"/>
    </row>
    <row r="51" spans="1:7" ht="19.5" customHeight="1" thickBot="1">
      <c r="A51" s="3827"/>
      <c r="B51" s="3821"/>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17" t="s">
        <v>2650</v>
      </c>
      <c r="C73" s="3088" t="s">
        <v>2651</v>
      </c>
      <c r="D73" s="3088" t="s">
        <v>2652</v>
      </c>
      <c r="E73" s="3114">
        <v>0.2</v>
      </c>
      <c r="F73" s="3114">
        <v>25</v>
      </c>
    </row>
    <row r="74" spans="1:7" ht="24">
      <c r="A74" s="3114">
        <v>2</v>
      </c>
      <c r="B74" s="3819"/>
      <c r="C74" s="3088" t="s">
        <v>2653</v>
      </c>
      <c r="D74" s="3088" t="s">
        <v>2654</v>
      </c>
      <c r="E74" s="3114">
        <v>0.2</v>
      </c>
      <c r="F74" s="3114">
        <v>25</v>
      </c>
    </row>
    <row r="75" spans="1:7" ht="24">
      <c r="A75" s="3114">
        <v>3</v>
      </c>
      <c r="B75" s="3819"/>
      <c r="C75" s="3088" t="s">
        <v>2655</v>
      </c>
      <c r="D75" s="3088" t="s">
        <v>2656</v>
      </c>
      <c r="E75" s="3114">
        <v>0.2</v>
      </c>
      <c r="F75" s="3114">
        <v>25</v>
      </c>
    </row>
    <row r="76" spans="1:7" ht="13.5">
      <c r="A76" s="3114">
        <v>4</v>
      </c>
      <c r="B76" s="3819"/>
      <c r="C76" s="3088" t="s">
        <v>2657</v>
      </c>
      <c r="D76" s="3088" t="s">
        <v>2658</v>
      </c>
      <c r="E76" s="3114">
        <v>0.15</v>
      </c>
      <c r="F76" s="3114">
        <v>20</v>
      </c>
    </row>
    <row r="77" spans="1:7" ht="24">
      <c r="A77" s="3114">
        <v>5</v>
      </c>
      <c r="B77" s="3819"/>
      <c r="C77" s="3088" t="s">
        <v>2659</v>
      </c>
      <c r="D77" s="3088" t="s">
        <v>2660</v>
      </c>
      <c r="E77" s="3114">
        <v>0.15</v>
      </c>
      <c r="F77" s="3114">
        <v>20</v>
      </c>
    </row>
    <row r="78" spans="1:7" ht="24">
      <c r="A78" s="3114">
        <v>6</v>
      </c>
      <c r="B78" s="3819"/>
      <c r="C78" s="3088" t="s">
        <v>2661</v>
      </c>
      <c r="D78" s="3088" t="s">
        <v>2662</v>
      </c>
      <c r="E78" s="3114">
        <v>0.15</v>
      </c>
      <c r="F78" s="3114">
        <v>20</v>
      </c>
    </row>
    <row r="79" spans="1:7" ht="24">
      <c r="A79" s="3114">
        <v>7</v>
      </c>
      <c r="B79" s="3819"/>
      <c r="C79" s="3088" t="s">
        <v>2663</v>
      </c>
      <c r="D79" s="3088" t="s">
        <v>2664</v>
      </c>
      <c r="E79" s="3114">
        <v>0.15</v>
      </c>
      <c r="F79" s="3114">
        <v>20</v>
      </c>
    </row>
    <row r="80" spans="1:7" ht="24">
      <c r="A80" s="3114">
        <v>8</v>
      </c>
      <c r="B80" s="3819"/>
      <c r="C80" s="3088" t="s">
        <v>2665</v>
      </c>
      <c r="D80" s="3088" t="s">
        <v>2666</v>
      </c>
      <c r="E80" s="3114">
        <v>0.1</v>
      </c>
      <c r="F80" s="3114">
        <v>15</v>
      </c>
    </row>
    <row r="81" spans="1:6" ht="24">
      <c r="A81" s="3114">
        <v>9</v>
      </c>
      <c r="B81" s="3819"/>
      <c r="C81" s="3088" t="s">
        <v>2667</v>
      </c>
      <c r="D81" s="3088" t="s">
        <v>2668</v>
      </c>
      <c r="E81" s="3114">
        <v>0.1</v>
      </c>
      <c r="F81" s="3114">
        <v>15</v>
      </c>
    </row>
    <row r="82" spans="1:6" ht="24">
      <c r="A82" s="3114">
        <v>10</v>
      </c>
      <c r="B82" s="3819"/>
      <c r="C82" s="3088" t="s">
        <v>2669</v>
      </c>
      <c r="D82" s="3088" t="s">
        <v>2670</v>
      </c>
      <c r="E82" s="3114">
        <v>0.1</v>
      </c>
      <c r="F82" s="3114">
        <v>15</v>
      </c>
    </row>
    <row r="83" spans="1:6" ht="24">
      <c r="A83" s="3114">
        <v>11</v>
      </c>
      <c r="B83" s="3819"/>
      <c r="C83" s="3088" t="s">
        <v>2671</v>
      </c>
      <c r="D83" s="3088" t="s">
        <v>2672</v>
      </c>
      <c r="E83" s="3114">
        <v>0.1</v>
      </c>
      <c r="F83" s="3114">
        <v>15</v>
      </c>
    </row>
    <row r="84" spans="1:6" ht="24">
      <c r="A84" s="3114">
        <v>12</v>
      </c>
      <c r="B84" s="3819"/>
      <c r="C84" s="3088" t="s">
        <v>2673</v>
      </c>
      <c r="D84" s="3088" t="s">
        <v>2674</v>
      </c>
      <c r="E84" s="3114">
        <v>0.1</v>
      </c>
      <c r="F84" s="3114">
        <v>15</v>
      </c>
    </row>
    <row r="85" spans="1:6" ht="13.5">
      <c r="A85" s="3114">
        <v>13</v>
      </c>
      <c r="B85" s="3819"/>
      <c r="C85" s="3088" t="s">
        <v>2675</v>
      </c>
      <c r="D85" s="3088" t="s">
        <v>2676</v>
      </c>
      <c r="E85" s="3114">
        <v>0.1</v>
      </c>
      <c r="F85" s="3114">
        <v>15</v>
      </c>
    </row>
    <row r="86" spans="1:6" ht="13.5">
      <c r="A86" s="3114">
        <v>14</v>
      </c>
      <c r="B86" s="3819"/>
      <c r="C86" s="3088" t="s">
        <v>2677</v>
      </c>
      <c r="D86" s="3088" t="s">
        <v>2678</v>
      </c>
      <c r="E86" s="3114">
        <v>0.1</v>
      </c>
      <c r="F86" s="3114">
        <v>15</v>
      </c>
    </row>
    <row r="87" spans="1:6" ht="13.5">
      <c r="A87" s="3114">
        <v>15</v>
      </c>
      <c r="B87" s="3819"/>
      <c r="C87" s="3088" t="s">
        <v>2679</v>
      </c>
      <c r="D87" s="3088" t="s">
        <v>2680</v>
      </c>
      <c r="E87" s="3114">
        <v>0.1</v>
      </c>
      <c r="F87" s="3114">
        <v>15</v>
      </c>
    </row>
    <row r="88" spans="1:6" ht="24">
      <c r="A88" s="3114">
        <v>16</v>
      </c>
      <c r="B88" s="3819"/>
      <c r="C88" s="3088" t="s">
        <v>2681</v>
      </c>
      <c r="D88" s="3088" t="s">
        <v>2682</v>
      </c>
      <c r="E88" s="3114">
        <v>0.1</v>
      </c>
      <c r="F88" s="3114">
        <v>15</v>
      </c>
    </row>
    <row r="89" spans="1:6" ht="24">
      <c r="A89" s="3114">
        <v>17</v>
      </c>
      <c r="B89" s="3818"/>
      <c r="C89" s="3088" t="s">
        <v>2683</v>
      </c>
      <c r="D89" s="3088" t="s">
        <v>2684</v>
      </c>
      <c r="E89" s="3114">
        <v>0.1</v>
      </c>
      <c r="F89" s="3114">
        <v>15</v>
      </c>
    </row>
    <row r="90" spans="1:6" ht="13.5">
      <c r="A90" s="3114">
        <v>18</v>
      </c>
      <c r="B90" s="3817" t="s">
        <v>2685</v>
      </c>
      <c r="C90" s="3088" t="s">
        <v>2686</v>
      </c>
      <c r="D90" s="3088" t="s">
        <v>2687</v>
      </c>
      <c r="E90" s="3114">
        <v>0.2</v>
      </c>
      <c r="F90" s="3114">
        <v>25</v>
      </c>
    </row>
    <row r="91" spans="1:6" ht="24">
      <c r="A91" s="3114">
        <v>19</v>
      </c>
      <c r="B91" s="3819"/>
      <c r="C91" s="3088" t="s">
        <v>2688</v>
      </c>
      <c r="D91" s="3088" t="s">
        <v>2689</v>
      </c>
      <c r="E91" s="3114">
        <v>0.2</v>
      </c>
      <c r="F91" s="3114">
        <v>25</v>
      </c>
    </row>
    <row r="92" spans="1:6" ht="13.5">
      <c r="A92" s="3114">
        <v>20</v>
      </c>
      <c r="B92" s="3819"/>
      <c r="C92" s="3088" t="s">
        <v>2690</v>
      </c>
      <c r="D92" s="3088" t="s">
        <v>2691</v>
      </c>
      <c r="E92" s="3114">
        <v>0.15</v>
      </c>
      <c r="F92" s="3114">
        <v>20</v>
      </c>
    </row>
    <row r="93" spans="1:6" ht="13.5">
      <c r="A93" s="3114">
        <v>21</v>
      </c>
      <c r="B93" s="3819"/>
      <c r="C93" s="3088" t="s">
        <v>2692</v>
      </c>
      <c r="D93" s="3088" t="s">
        <v>2693</v>
      </c>
      <c r="E93" s="3114">
        <v>0.15</v>
      </c>
      <c r="F93" s="3114">
        <v>20</v>
      </c>
    </row>
    <row r="94" spans="1:6" ht="13.5">
      <c r="A94" s="3114">
        <v>22</v>
      </c>
      <c r="B94" s="3819"/>
      <c r="C94" s="3088" t="s">
        <v>2694</v>
      </c>
      <c r="D94" s="3088" t="s">
        <v>2695</v>
      </c>
      <c r="E94" s="3114">
        <v>0.15</v>
      </c>
      <c r="F94" s="3114">
        <v>20</v>
      </c>
    </row>
    <row r="95" spans="1:6" ht="36">
      <c r="A95" s="3114">
        <v>23</v>
      </c>
      <c r="B95" s="3819"/>
      <c r="C95" s="3088" t="s">
        <v>2696</v>
      </c>
      <c r="D95" s="3088" t="s">
        <v>2697</v>
      </c>
      <c r="E95" s="3114">
        <v>0.15</v>
      </c>
      <c r="F95" s="3114">
        <v>20</v>
      </c>
    </row>
    <row r="96" spans="1:6" ht="13.5">
      <c r="A96" s="3114">
        <v>24</v>
      </c>
      <c r="B96" s="3819"/>
      <c r="C96" s="3088" t="s">
        <v>2698</v>
      </c>
      <c r="D96" s="3088" t="s">
        <v>2699</v>
      </c>
      <c r="E96" s="3114">
        <v>0.1</v>
      </c>
      <c r="F96" s="3114">
        <v>15</v>
      </c>
    </row>
    <row r="97" spans="1:6" ht="13.5">
      <c r="A97" s="3114">
        <v>25</v>
      </c>
      <c r="B97" s="3819"/>
      <c r="C97" s="3088" t="s">
        <v>2700</v>
      </c>
      <c r="D97" s="3088" t="s">
        <v>2701</v>
      </c>
      <c r="E97" s="3114">
        <v>0.1</v>
      </c>
      <c r="F97" s="3114">
        <v>15</v>
      </c>
    </row>
    <row r="98" spans="1:6" ht="24">
      <c r="A98" s="3114">
        <v>26</v>
      </c>
      <c r="B98" s="3819"/>
      <c r="C98" s="3088" t="s">
        <v>2702</v>
      </c>
      <c r="D98" s="3088" t="s">
        <v>2703</v>
      </c>
      <c r="E98" s="3114">
        <v>0.1</v>
      </c>
      <c r="F98" s="3114">
        <v>15</v>
      </c>
    </row>
    <row r="99" spans="1:6" ht="24">
      <c r="A99" s="3114">
        <v>27</v>
      </c>
      <c r="B99" s="3819"/>
      <c r="C99" s="3088" t="s">
        <v>2704</v>
      </c>
      <c r="D99" s="3088" t="s">
        <v>2705</v>
      </c>
      <c r="E99" s="3114">
        <v>0.1</v>
      </c>
      <c r="F99" s="3114">
        <v>15</v>
      </c>
    </row>
    <row r="100" spans="1:6" ht="13.5">
      <c r="A100" s="3114">
        <v>28</v>
      </c>
      <c r="B100" s="3819"/>
      <c r="C100" s="3088" t="s">
        <v>2706</v>
      </c>
      <c r="D100" s="3088" t="s">
        <v>2707</v>
      </c>
      <c r="E100" s="3114">
        <v>0.1</v>
      </c>
      <c r="F100" s="3114">
        <v>15</v>
      </c>
    </row>
    <row r="101" spans="1:6" ht="13.5">
      <c r="A101" s="3114">
        <v>29</v>
      </c>
      <c r="B101" s="3819"/>
      <c r="C101" s="3088" t="s">
        <v>2708</v>
      </c>
      <c r="D101" s="3088" t="s">
        <v>2709</v>
      </c>
      <c r="E101" s="3114">
        <v>0.1</v>
      </c>
      <c r="F101" s="3114">
        <v>15</v>
      </c>
    </row>
    <row r="102" spans="1:6" ht="13.5">
      <c r="A102" s="3114">
        <v>30</v>
      </c>
      <c r="B102" s="3819"/>
      <c r="C102" s="3088" t="s">
        <v>2710</v>
      </c>
      <c r="D102" s="3088" t="s">
        <v>2711</v>
      </c>
      <c r="E102" s="3114">
        <v>0.1</v>
      </c>
      <c r="F102" s="3114">
        <v>15</v>
      </c>
    </row>
    <row r="103" spans="1:6" ht="24">
      <c r="A103" s="3114">
        <v>31</v>
      </c>
      <c r="B103" s="3819"/>
      <c r="C103" s="3088" t="s">
        <v>2712</v>
      </c>
      <c r="D103" s="3088" t="s">
        <v>2713</v>
      </c>
      <c r="E103" s="3114">
        <v>0.1</v>
      </c>
      <c r="F103" s="3114">
        <v>15</v>
      </c>
    </row>
    <row r="104" spans="1:6" ht="24">
      <c r="A104" s="3114">
        <v>32</v>
      </c>
      <c r="B104" s="3819"/>
      <c r="C104" s="3088" t="s">
        <v>2714</v>
      </c>
      <c r="D104" s="3088" t="s">
        <v>2715</v>
      </c>
      <c r="E104" s="3114">
        <v>0.1</v>
      </c>
      <c r="F104" s="3114">
        <v>15</v>
      </c>
    </row>
    <row r="105" spans="1:6" ht="24">
      <c r="A105" s="3114">
        <v>33</v>
      </c>
      <c r="B105" s="3819"/>
      <c r="C105" s="3088" t="s">
        <v>2716</v>
      </c>
      <c r="D105" s="3088" t="s">
        <v>2717</v>
      </c>
      <c r="E105" s="3114">
        <v>0.1</v>
      </c>
      <c r="F105" s="3114">
        <v>15</v>
      </c>
    </row>
    <row r="106" spans="1:6" ht="24">
      <c r="A106" s="3114">
        <v>34</v>
      </c>
      <c r="B106" s="3818"/>
      <c r="C106" s="3088" t="s">
        <v>2718</v>
      </c>
      <c r="D106" s="3088" t="s">
        <v>2719</v>
      </c>
      <c r="E106" s="3114">
        <v>0.1</v>
      </c>
      <c r="F106" s="3114">
        <v>15</v>
      </c>
    </row>
    <row r="107" spans="1:6" ht="24">
      <c r="A107" s="3114">
        <v>35</v>
      </c>
      <c r="B107" s="3817" t="s">
        <v>2720</v>
      </c>
      <c r="C107" s="3114" t="s">
        <v>2721</v>
      </c>
      <c r="D107" s="3088" t="s">
        <v>2722</v>
      </c>
      <c r="E107" s="3114">
        <v>0.15</v>
      </c>
      <c r="F107" s="3114">
        <v>20</v>
      </c>
    </row>
    <row r="108" spans="1:6" ht="13.5">
      <c r="A108" s="3114">
        <v>36</v>
      </c>
      <c r="B108" s="3819"/>
      <c r="C108" s="3114" t="s">
        <v>2723</v>
      </c>
      <c r="D108" s="3088" t="s">
        <v>2724</v>
      </c>
      <c r="E108" s="3114">
        <v>0.15</v>
      </c>
      <c r="F108" s="3114">
        <v>20</v>
      </c>
    </row>
    <row r="109" spans="1:6" ht="13.5">
      <c r="A109" s="3114">
        <v>37</v>
      </c>
      <c r="B109" s="3819"/>
      <c r="C109" s="3114" t="s">
        <v>2725</v>
      </c>
      <c r="D109" s="3088" t="s">
        <v>2726</v>
      </c>
      <c r="E109" s="3114">
        <v>0.15</v>
      </c>
      <c r="F109" s="3114">
        <v>20</v>
      </c>
    </row>
    <row r="110" spans="1:6" ht="13.5">
      <c r="A110" s="3114">
        <v>38</v>
      </c>
      <c r="B110" s="3819"/>
      <c r="C110" s="3114" t="s">
        <v>2727</v>
      </c>
      <c r="D110" s="3088" t="s">
        <v>2728</v>
      </c>
      <c r="E110" s="3114">
        <v>0.1</v>
      </c>
      <c r="F110" s="3114">
        <v>15</v>
      </c>
    </row>
    <row r="111" spans="1:6" ht="24">
      <c r="A111" s="3114">
        <v>39</v>
      </c>
      <c r="B111" s="3819"/>
      <c r="C111" s="3114" t="s">
        <v>2729</v>
      </c>
      <c r="D111" s="3088" t="s">
        <v>2730</v>
      </c>
      <c r="E111" s="3114">
        <v>0.1</v>
      </c>
      <c r="F111" s="3114">
        <v>15</v>
      </c>
    </row>
    <row r="112" spans="1:6" ht="24">
      <c r="A112" s="3114">
        <v>40</v>
      </c>
      <c r="B112" s="3818"/>
      <c r="C112" s="3114" t="s">
        <v>2731</v>
      </c>
      <c r="D112" s="3088" t="s">
        <v>2732</v>
      </c>
      <c r="E112" s="3114">
        <v>0.1</v>
      </c>
      <c r="F112" s="3114">
        <v>15</v>
      </c>
    </row>
    <row r="113" spans="1:6" ht="13.5">
      <c r="A113" s="3114">
        <v>41</v>
      </c>
      <c r="B113" s="3816" t="s">
        <v>2733</v>
      </c>
      <c r="C113" s="3114" t="s">
        <v>2734</v>
      </c>
      <c r="D113" s="3088" t="s">
        <v>2735</v>
      </c>
      <c r="E113" s="3114">
        <v>0.1</v>
      </c>
      <c r="F113" s="3114">
        <v>15</v>
      </c>
    </row>
    <row r="114" spans="1:6" ht="13.5">
      <c r="A114" s="3114">
        <v>42</v>
      </c>
      <c r="B114" s="3816"/>
      <c r="C114" s="3114" t="s">
        <v>2736</v>
      </c>
      <c r="D114" s="3088" t="s">
        <v>2737</v>
      </c>
      <c r="E114" s="3114">
        <v>0.1</v>
      </c>
      <c r="F114" s="3114">
        <v>15</v>
      </c>
    </row>
    <row r="115" spans="1:6" ht="24">
      <c r="A115" s="3114">
        <v>43</v>
      </c>
      <c r="B115" s="3816"/>
      <c r="C115" s="3114" t="s">
        <v>2738</v>
      </c>
      <c r="D115" s="3088" t="s">
        <v>2739</v>
      </c>
      <c r="E115" s="3114">
        <v>0.1</v>
      </c>
      <c r="F115" s="3114">
        <v>15</v>
      </c>
    </row>
    <row r="116" spans="1:6" ht="13.5">
      <c r="A116" s="3114">
        <v>44</v>
      </c>
      <c r="B116" s="3817" t="s">
        <v>2740</v>
      </c>
      <c r="C116" s="3114" t="s">
        <v>2741</v>
      </c>
      <c r="D116" s="3088" t="s">
        <v>2742</v>
      </c>
      <c r="E116" s="3114">
        <v>0.1</v>
      </c>
      <c r="F116" s="3114">
        <v>15</v>
      </c>
    </row>
    <row r="117" spans="1:6" ht="24">
      <c r="A117" s="3114">
        <v>45</v>
      </c>
      <c r="B117" s="3818"/>
      <c r="C117" s="3088" t="s">
        <v>2743</v>
      </c>
      <c r="D117" s="3088" t="s">
        <v>2744</v>
      </c>
      <c r="E117" s="3114">
        <v>0.1</v>
      </c>
      <c r="F117" s="3114">
        <v>15</v>
      </c>
    </row>
    <row r="118" spans="1:6" ht="24">
      <c r="A118" s="3114">
        <v>46</v>
      </c>
      <c r="B118" s="3817" t="s">
        <v>2745</v>
      </c>
      <c r="C118" s="3114" t="s">
        <v>2746</v>
      </c>
      <c r="D118" s="3088" t="s">
        <v>2747</v>
      </c>
      <c r="E118" s="3114">
        <v>0.1</v>
      </c>
      <c r="F118" s="3114">
        <v>15</v>
      </c>
    </row>
    <row r="119" spans="1:6" ht="24">
      <c r="A119" s="3114">
        <v>47</v>
      </c>
      <c r="B119" s="3818"/>
      <c r="C119" s="3114" t="s">
        <v>2748</v>
      </c>
      <c r="D119" s="3088" t="s">
        <v>2749</v>
      </c>
      <c r="E119" s="3114">
        <v>0.1</v>
      </c>
      <c r="F119" s="3114">
        <v>15</v>
      </c>
    </row>
    <row r="120" spans="1:6" ht="13.5">
      <c r="A120" s="3114">
        <v>48</v>
      </c>
      <c r="B120" s="3817" t="s">
        <v>2750</v>
      </c>
      <c r="C120" s="3114" t="s">
        <v>2751</v>
      </c>
      <c r="D120" s="3088" t="s">
        <v>2752</v>
      </c>
      <c r="E120" s="3114">
        <v>0.1</v>
      </c>
      <c r="F120" s="3114">
        <v>15</v>
      </c>
    </row>
    <row r="121" spans="1:6" ht="13.5">
      <c r="A121" s="3114">
        <v>49</v>
      </c>
      <c r="B121" s="3818"/>
      <c r="C121" s="3114" t="s">
        <v>2753</v>
      </c>
      <c r="D121" s="3088" t="s">
        <v>2754</v>
      </c>
      <c r="E121" s="3114">
        <v>0.1</v>
      </c>
      <c r="F121" s="3114">
        <v>15</v>
      </c>
    </row>
    <row r="122" spans="1:6" ht="24">
      <c r="A122" s="3114">
        <v>50</v>
      </c>
      <c r="B122" s="3816" t="s">
        <v>2755</v>
      </c>
      <c r="C122" s="3114" t="s">
        <v>2756</v>
      </c>
      <c r="D122" s="3088" t="s">
        <v>2757</v>
      </c>
      <c r="E122" s="3114">
        <v>0.1</v>
      </c>
      <c r="F122" s="3114">
        <v>15</v>
      </c>
    </row>
    <row r="123" spans="1:6" ht="24">
      <c r="A123" s="3114">
        <v>51</v>
      </c>
      <c r="B123" s="3816"/>
      <c r="C123" s="3114" t="s">
        <v>2758</v>
      </c>
      <c r="D123" s="3088" t="s">
        <v>2759</v>
      </c>
      <c r="E123" s="3114">
        <v>0.1</v>
      </c>
      <c r="F123" s="3114">
        <v>15</v>
      </c>
    </row>
    <row r="124" spans="1:6" ht="24">
      <c r="A124" s="3114">
        <v>52</v>
      </c>
      <c r="B124" s="3816" t="s">
        <v>2760</v>
      </c>
      <c r="C124" s="3114" t="s">
        <v>2761</v>
      </c>
      <c r="D124" s="3088" t="s">
        <v>2762</v>
      </c>
      <c r="E124" s="3114">
        <v>0.1</v>
      </c>
      <c r="F124" s="3114">
        <v>15</v>
      </c>
    </row>
    <row r="125" spans="1:6" ht="24">
      <c r="A125" s="3114">
        <v>53</v>
      </c>
      <c r="B125" s="3816"/>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16" t="s">
        <v>2768</v>
      </c>
      <c r="C127" s="3114" t="s">
        <v>2769</v>
      </c>
      <c r="D127" s="3088" t="s">
        <v>2770</v>
      </c>
      <c r="E127" s="3114">
        <v>0.1</v>
      </c>
      <c r="F127" s="3114">
        <v>15</v>
      </c>
    </row>
    <row r="128" spans="1:6" ht="13.5">
      <c r="A128" s="3114">
        <v>56</v>
      </c>
      <c r="B128" s="3816"/>
      <c r="C128" s="3114" t="s">
        <v>2771</v>
      </c>
      <c r="D128" s="3088" t="s">
        <v>2772</v>
      </c>
      <c r="E128" s="3114">
        <v>0.1</v>
      </c>
      <c r="F128" s="3114">
        <v>15</v>
      </c>
    </row>
    <row r="129" spans="1:6" ht="24">
      <c r="A129" s="3114">
        <v>57</v>
      </c>
      <c r="B129" s="3816"/>
      <c r="C129" s="3114" t="s">
        <v>2773</v>
      </c>
      <c r="D129" s="3088" t="s">
        <v>2774</v>
      </c>
      <c r="E129" s="3114">
        <v>0.1</v>
      </c>
      <c r="F129" s="3114">
        <v>15</v>
      </c>
    </row>
    <row r="130" spans="1:6" ht="24">
      <c r="A130" s="3114">
        <v>58</v>
      </c>
      <c r="B130" s="3816" t="s">
        <v>2775</v>
      </c>
      <c r="C130" s="3114" t="s">
        <v>2776</v>
      </c>
      <c r="D130" s="3088" t="s">
        <v>2777</v>
      </c>
      <c r="E130" s="3114">
        <v>0.1</v>
      </c>
      <c r="F130" s="3114">
        <v>15</v>
      </c>
    </row>
    <row r="131" spans="1:6" ht="13.5">
      <c r="A131" s="3114">
        <v>59</v>
      </c>
      <c r="B131" s="3816"/>
      <c r="C131" s="3114" t="s">
        <v>2778</v>
      </c>
      <c r="D131" s="3088" t="s">
        <v>2779</v>
      </c>
      <c r="E131" s="3114">
        <v>0.1</v>
      </c>
      <c r="F131" s="3114">
        <v>15</v>
      </c>
    </row>
    <row r="132" spans="1:6" ht="13.5">
      <c r="A132" s="3114">
        <v>60</v>
      </c>
      <c r="B132" s="3817" t="s">
        <v>2780</v>
      </c>
      <c r="C132" s="3114" t="s">
        <v>2781</v>
      </c>
      <c r="D132" s="3088" t="s">
        <v>2782</v>
      </c>
      <c r="E132" s="3114">
        <v>0.1</v>
      </c>
      <c r="F132" s="3114">
        <v>15</v>
      </c>
    </row>
    <row r="133" spans="1:6" ht="13.5">
      <c r="A133" s="3114">
        <v>61</v>
      </c>
      <c r="B133" s="3818"/>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16" t="s">
        <v>2788</v>
      </c>
      <c r="C135" s="3114" t="s">
        <v>2789</v>
      </c>
      <c r="D135" s="3088" t="s">
        <v>2790</v>
      </c>
      <c r="E135" s="3114">
        <v>0.1</v>
      </c>
      <c r="F135" s="3114">
        <v>15</v>
      </c>
    </row>
    <row r="136" spans="1:6" ht="13.5">
      <c r="A136" s="3114">
        <v>64</v>
      </c>
      <c r="B136" s="3816"/>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63207</v>
      </c>
      <c r="C2" s="2" t="s">
        <v>106</v>
      </c>
      <c r="D2" s="199"/>
      <c r="E2" s="199"/>
      <c r="F2" s="199"/>
      <c r="G2" s="199"/>
    </row>
    <row r="3" spans="1:7" s="200" customFormat="1" ht="18" customHeight="1" thickBot="1">
      <c r="A3" s="203" t="s">
        <v>58</v>
      </c>
      <c r="B3" s="204">
        <f ca="1">ROUND(B2*10000/'数据-汇总表'!E3,0)</f>
        <v>12571</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432</v>
      </c>
      <c r="D20" s="232"/>
      <c r="E20" s="232"/>
      <c r="F20" s="233">
        <f>'数据-取费表'!B37</f>
        <v>0.02</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1533</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15</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3307</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3307</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29132</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27401</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754</v>
      </c>
      <c r="D35" s="220"/>
      <c r="E35" s="220"/>
      <c r="F35" s="259">
        <f>'数据-取费表'!B33</f>
        <v>0.03</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548</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964</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945</v>
      </c>
      <c r="D42" s="238"/>
      <c r="E42" s="238"/>
      <c r="F42" s="239"/>
      <c r="G42" s="3692" t="s">
        <v>94</v>
      </c>
    </row>
    <row r="43" spans="1:7" ht="13.5" customHeight="1">
      <c r="A43" s="776" t="s">
        <v>346</v>
      </c>
      <c r="B43" s="215" t="s">
        <v>425</v>
      </c>
      <c r="C43" s="238">
        <f ca="1">ROUND(IF('数据-取费表'!B22&lt;=1,C39*F22*'数据-取费表'!B21/2,C39*(POWER((1+F22),'数据-取费表'!B21/2)-1)),0)</f>
        <v>19</v>
      </c>
      <c r="D43" s="238"/>
      <c r="E43" s="238"/>
      <c r="F43" s="239"/>
      <c r="G43" s="3693"/>
    </row>
    <row r="44" spans="1:7" ht="13.5" customHeight="1">
      <c r="A44" s="776" t="s">
        <v>347</v>
      </c>
      <c r="B44" s="215" t="s">
        <v>427</v>
      </c>
      <c r="C44" s="238">
        <f ca="1">ROUND(IF('数据-取费表'!B22&lt;=1,C40*F22*'数据-取费表'!B21/2,C40*(POWER((1+F22),'数据-取费表'!B21/2)-1)),4)</f>
        <v>6.9999999999999999E-4</v>
      </c>
      <c r="D44" s="238"/>
      <c r="E44" s="238"/>
      <c r="F44" s="239"/>
      <c r="G44" s="3694"/>
    </row>
    <row r="45" spans="1:7" s="214" customFormat="1" ht="13.5" customHeight="1">
      <c r="A45" s="773" t="s">
        <v>340</v>
      </c>
      <c r="B45" s="244" t="s">
        <v>85</v>
      </c>
      <c r="C45" s="245">
        <f>C46</f>
        <v>4192</v>
      </c>
      <c r="D45" s="235">
        <f>C47</f>
        <v>3.0000000000000001E-3</v>
      </c>
      <c r="E45" s="236" t="s">
        <v>102</v>
      </c>
      <c r="F45" s="246"/>
      <c r="G45" s="247" t="s">
        <v>433</v>
      </c>
    </row>
    <row r="46" spans="1:7" s="214" customFormat="1" ht="13.5" customHeight="1">
      <c r="A46" s="776" t="s">
        <v>348</v>
      </c>
      <c r="B46" s="248" t="s">
        <v>426</v>
      </c>
      <c r="C46" s="249">
        <f>ROUND((C33+C39)*F27,0)</f>
        <v>4192</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35868</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34075</v>
      </c>
      <c r="D51" s="232"/>
      <c r="E51" s="232"/>
      <c r="F51" s="264"/>
      <c r="G51" s="234" t="s">
        <v>37</v>
      </c>
    </row>
    <row r="52" spans="1:7" s="208" customFormat="1" ht="16.5" thickBot="1">
      <c r="A52" s="265" t="s">
        <v>38</v>
      </c>
      <c r="B52" s="266"/>
      <c r="C52" s="267">
        <f ca="1">C31+C51</f>
        <v>63207</v>
      </c>
      <c r="D52" s="266"/>
      <c r="E52" s="266"/>
      <c r="F52" s="266"/>
      <c r="G52" s="268"/>
    </row>
    <row r="55" spans="1:7" ht="15">
      <c r="B55" s="270" t="s">
        <v>39</v>
      </c>
      <c r="C55" s="271"/>
    </row>
    <row r="56" spans="1:7">
      <c r="B56" s="273" t="s">
        <v>40</v>
      </c>
      <c r="C56" s="274">
        <f ca="1">ROUND(C51/C52,3)</f>
        <v>0.53900000000000003</v>
      </c>
    </row>
    <row r="57" spans="1:7">
      <c r="B57" s="273" t="s">
        <v>41</v>
      </c>
      <c r="C57" s="275">
        <f ca="1">1-C56</f>
        <v>0.46099999999999997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32" t="str">
        <f>项目基本情况!S2</f>
        <v>北京市房地产</v>
      </c>
      <c r="B2" s="3633"/>
      <c r="C2" s="3633"/>
      <c r="D2" s="3633"/>
      <c r="E2" s="3633"/>
      <c r="F2" s="3633"/>
      <c r="G2" s="3633"/>
      <c r="H2" s="3633"/>
      <c r="I2" s="3634"/>
    </row>
    <row r="3" spans="1:12" ht="12.75">
      <c r="A3" s="3636" t="s">
        <v>1261</v>
      </c>
      <c r="B3" s="3637"/>
      <c r="C3" s="3637"/>
      <c r="D3" s="3637"/>
      <c r="E3" s="3637"/>
      <c r="F3" s="3637"/>
      <c r="G3" s="3637"/>
      <c r="H3" s="3637"/>
      <c r="I3" s="3637"/>
    </row>
    <row r="4" spans="1:12" ht="14.25">
      <c r="A4" s="1750" t="s">
        <v>1262</v>
      </c>
      <c r="B4" s="1751" t="s">
        <v>1263</v>
      </c>
      <c r="C4" s="1752" t="s">
        <v>3454</v>
      </c>
      <c r="D4" s="1752" t="s">
        <v>3450</v>
      </c>
      <c r="E4" s="3638" t="s">
        <v>1264</v>
      </c>
      <c r="F4" s="3639"/>
      <c r="G4" s="3639"/>
      <c r="H4" s="3639"/>
      <c r="I4" s="3640"/>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12" t="s">
        <v>1265</v>
      </c>
      <c r="B5" s="3599">
        <v>25</v>
      </c>
      <c r="C5" s="3615"/>
      <c r="D5" s="3635"/>
      <c r="E5" s="131" t="s">
        <v>1266</v>
      </c>
      <c r="F5" s="1753"/>
      <c r="G5" s="1753"/>
      <c r="H5" s="1753"/>
      <c r="I5" s="1369"/>
    </row>
    <row r="6" spans="1:12" ht="12.75">
      <c r="A6" s="3612"/>
      <c r="B6" s="3599"/>
      <c r="C6" s="3616"/>
      <c r="D6" s="3635"/>
      <c r="E6" s="131" t="s">
        <v>1267</v>
      </c>
      <c r="F6" s="1753"/>
      <c r="G6" s="1753"/>
      <c r="H6" s="1753"/>
      <c r="I6" s="1369"/>
    </row>
    <row r="7" spans="1:12" ht="12.75">
      <c r="A7" s="3612"/>
      <c r="B7" s="3599"/>
      <c r="C7" s="3617"/>
      <c r="D7" s="3635"/>
      <c r="E7" s="131" t="s">
        <v>1268</v>
      </c>
      <c r="F7" s="1753"/>
      <c r="G7" s="1753"/>
      <c r="H7" s="1753"/>
      <c r="I7" s="1369"/>
    </row>
    <row r="8" spans="1:12" ht="12.75">
      <c r="A8" s="3612" t="s">
        <v>1269</v>
      </c>
      <c r="B8" s="3599">
        <v>15</v>
      </c>
      <c r="C8" s="3615"/>
      <c r="D8" s="3635"/>
      <c r="E8" s="131" t="s">
        <v>1270</v>
      </c>
      <c r="F8" s="1753"/>
      <c r="G8" s="1753"/>
      <c r="H8" s="1753"/>
      <c r="I8" s="1369"/>
    </row>
    <row r="9" spans="1:12" ht="12.75">
      <c r="A9" s="3612"/>
      <c r="B9" s="3599"/>
      <c r="C9" s="3617"/>
      <c r="D9" s="3635"/>
      <c r="E9" s="131" t="s">
        <v>1271</v>
      </c>
      <c r="F9" s="1753"/>
      <c r="G9" s="1753"/>
      <c r="H9" s="1753"/>
      <c r="I9" s="1369"/>
    </row>
    <row r="10" spans="1:12" ht="12.75">
      <c r="A10" s="3612" t="s">
        <v>1272</v>
      </c>
      <c r="B10" s="3599">
        <v>15</v>
      </c>
      <c r="C10" s="3615"/>
      <c r="D10" s="3635"/>
      <c r="E10" s="131" t="s">
        <v>1273</v>
      </c>
      <c r="F10" s="1753"/>
      <c r="G10" s="1753"/>
      <c r="H10" s="1753"/>
      <c r="I10" s="1369"/>
    </row>
    <row r="11" spans="1:12" ht="12.75">
      <c r="A11" s="3612"/>
      <c r="B11" s="3599"/>
      <c r="C11" s="3617"/>
      <c r="D11" s="3635"/>
      <c r="E11" s="131" t="s">
        <v>1274</v>
      </c>
      <c r="F11" s="1753"/>
      <c r="G11" s="1753"/>
      <c r="H11" s="1753"/>
      <c r="I11" s="1369"/>
    </row>
    <row r="12" spans="1:12" ht="12.75">
      <c r="A12" s="3612" t="s">
        <v>1275</v>
      </c>
      <c r="B12" s="3599">
        <v>15</v>
      </c>
      <c r="C12" s="3615"/>
      <c r="D12" s="3635"/>
      <c r="E12" s="131" t="s">
        <v>1276</v>
      </c>
      <c r="F12" s="1753"/>
      <c r="G12" s="1753"/>
      <c r="H12" s="1753"/>
      <c r="I12" s="1369"/>
    </row>
    <row r="13" spans="1:12" ht="12.75">
      <c r="A13" s="3612"/>
      <c r="B13" s="3599"/>
      <c r="C13" s="3617"/>
      <c r="D13" s="3635"/>
      <c r="E13" s="131" t="s">
        <v>1277</v>
      </c>
      <c r="F13" s="1753"/>
      <c r="G13" s="1753"/>
      <c r="H13" s="1753"/>
      <c r="I13" s="1369"/>
    </row>
    <row r="14" spans="1:12" ht="12.75">
      <c r="A14" s="3612" t="s">
        <v>1278</v>
      </c>
      <c r="B14" s="3599">
        <v>30</v>
      </c>
      <c r="C14" s="3828">
        <v>55</v>
      </c>
      <c r="D14" s="3831">
        <v>45</v>
      </c>
      <c r="E14" s="131" t="s">
        <v>1279</v>
      </c>
      <c r="F14" s="1753"/>
      <c r="G14" s="1753"/>
      <c r="H14" s="1753"/>
      <c r="I14" s="1369"/>
    </row>
    <row r="15" spans="1:12" ht="12.75">
      <c r="A15" s="3612"/>
      <c r="B15" s="3599"/>
      <c r="C15" s="3829"/>
      <c r="D15" s="3831"/>
      <c r="E15" s="131" t="s">
        <v>1280</v>
      </c>
      <c r="F15" s="1753"/>
      <c r="G15" s="1753"/>
      <c r="H15" s="1753"/>
      <c r="I15" s="1369"/>
    </row>
    <row r="16" spans="1:12" ht="12.75">
      <c r="A16" s="3612"/>
      <c r="B16" s="3599"/>
      <c r="C16" s="3830"/>
      <c r="D16" s="3831"/>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22" t="s">
        <v>2126</v>
      </c>
      <c r="F18" s="3623"/>
      <c r="G18" s="3623"/>
      <c r="H18" s="3623"/>
      <c r="I18" s="3623"/>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06" t="s">
        <v>1296</v>
      </c>
      <c r="B24" s="1758" t="s">
        <v>1288</v>
      </c>
      <c r="C24" s="136">
        <f>IF(B30=0,0,D30)</f>
        <v>0</v>
      </c>
      <c r="D24" s="1765"/>
      <c r="E24" s="129"/>
      <c r="F24" s="129"/>
      <c r="G24" s="129"/>
      <c r="H24" s="129"/>
      <c r="I24" s="129"/>
    </row>
    <row r="25" spans="1:36" ht="14.25">
      <c r="A25" s="3607"/>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26" t="s">
        <v>1309</v>
      </c>
      <c r="B36" s="1783" t="s">
        <v>1310</v>
      </c>
      <c r="C36" s="145"/>
      <c r="D36" s="1784"/>
      <c r="E36" s="1785"/>
      <c r="F36" s="1786"/>
      <c r="G36" s="129"/>
      <c r="H36" s="129"/>
      <c r="I36" s="129"/>
    </row>
    <row r="37" spans="1:15" ht="15.75" thickBot="1">
      <c r="A37" s="3627"/>
      <c r="B37" s="1670" t="s">
        <v>1311</v>
      </c>
      <c r="C37" s="147"/>
      <c r="D37" s="1135"/>
      <c r="E37" s="1135"/>
      <c r="F37" s="1786"/>
      <c r="G37" s="129"/>
      <c r="H37" s="129"/>
      <c r="I37" s="129"/>
    </row>
    <row r="38" spans="1:15" ht="15.75" thickBot="1">
      <c r="A38" s="3628"/>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03" t="s">
        <v>1323</v>
      </c>
      <c r="B45" s="3604"/>
      <c r="C45" s="3605"/>
      <c r="D45" s="155" t="e">
        <f ca="1">ROUND(H101*F45,0)</f>
        <v>#N/A</v>
      </c>
      <c r="E45" s="156" t="s">
        <v>1324</v>
      </c>
      <c r="F45" s="157">
        <v>1</v>
      </c>
      <c r="G45" s="158" t="s">
        <v>1325</v>
      </c>
      <c r="H45" s="129"/>
      <c r="I45" s="129"/>
      <c r="J45" s="3681" t="s">
        <v>1326</v>
      </c>
      <c r="K45" s="3681"/>
      <c r="L45" s="3681"/>
      <c r="M45" s="3681"/>
      <c r="N45" s="3681"/>
      <c r="O45" s="3681"/>
    </row>
    <row r="46" spans="1:15" ht="14.25" customHeight="1">
      <c r="A46" s="3600" t="s">
        <v>1327</v>
      </c>
      <c r="B46" s="3601"/>
      <c r="C46" s="3601"/>
      <c r="D46" s="3601"/>
      <c r="E46" s="3601"/>
      <c r="F46" s="3601"/>
      <c r="G46" s="3602"/>
      <c r="H46" s="1802"/>
      <c r="I46" s="159"/>
      <c r="J46" s="3462">
        <v>1</v>
      </c>
      <c r="K46" s="3662" t="s">
        <v>1328</v>
      </c>
      <c r="L46" s="3662"/>
      <c r="M46" s="3682"/>
      <c r="N46" s="3682"/>
      <c r="O46" s="3682"/>
    </row>
    <row r="47" spans="1:15" ht="12" customHeight="1">
      <c r="A47" s="160" t="s">
        <v>1329</v>
      </c>
      <c r="B47" s="161"/>
      <c r="C47" s="162"/>
      <c r="D47" s="1083" t="s">
        <v>1330</v>
      </c>
      <c r="E47" s="302" t="s">
        <v>1331</v>
      </c>
      <c r="F47" s="163" t="s">
        <v>1332</v>
      </c>
      <c r="G47" s="2542" t="s">
        <v>1333</v>
      </c>
      <c r="H47" s="2543"/>
      <c r="I47" s="159"/>
      <c r="J47" s="3462">
        <v>2</v>
      </c>
      <c r="K47" s="3662" t="s">
        <v>1334</v>
      </c>
      <c r="L47" s="3662"/>
      <c r="M47" s="3683">
        <f>'数据-取费表'!B2</f>
        <v>45457</v>
      </c>
      <c r="N47" s="3683"/>
      <c r="O47" s="3683"/>
    </row>
    <row r="48" spans="1:15" ht="25.5">
      <c r="A48" s="3631" t="s">
        <v>1335</v>
      </c>
      <c r="B48" s="3614"/>
      <c r="C48" s="3614"/>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62" t="s">
        <v>1337</v>
      </c>
      <c r="L48" s="3662"/>
      <c r="M48" s="3684" t="e">
        <f ca="1">H101</f>
        <v>#N/A</v>
      </c>
      <c r="N48" s="3684"/>
      <c r="O48" s="3684"/>
    </row>
    <row r="49" spans="1:35" ht="25.5" customHeight="1">
      <c r="A49" s="3472" t="s">
        <v>1338</v>
      </c>
      <c r="B49" s="3598" t="s">
        <v>1339</v>
      </c>
      <c r="C49" s="3598"/>
      <c r="D49" s="1586">
        <v>0</v>
      </c>
      <c r="E49" s="324" t="s">
        <v>1340</v>
      </c>
      <c r="F49" s="3455" t="s">
        <v>28</v>
      </c>
      <c r="G49" s="3668"/>
      <c r="H49" s="2306" t="s">
        <v>2129</v>
      </c>
      <c r="I49" s="2307"/>
      <c r="J49" s="3462">
        <v>4</v>
      </c>
      <c r="K49" s="3662" t="str">
        <f>IF(项目基本情况!E8="房地产抵押价值","房地产抵押价值","抵押担保权已注销时的房地产抵押价值")</f>
        <v>房地产抵押价值</v>
      </c>
      <c r="L49" s="3662"/>
      <c r="M49" s="3684" t="e">
        <f ca="1">IF(项目基本情况!E8="房地产抵押价值",H107,H109)</f>
        <v>#N/A</v>
      </c>
      <c r="N49" s="3684"/>
      <c r="O49" s="3684"/>
    </row>
    <row r="50" spans="1:35" ht="25.5" customHeight="1">
      <c r="A50" s="2547"/>
      <c r="B50" s="3598" t="s">
        <v>1341</v>
      </c>
      <c r="C50" s="3598"/>
      <c r="D50" s="2548"/>
      <c r="E50" s="332"/>
      <c r="F50" s="3455"/>
      <c r="G50" s="3669"/>
      <c r="H50" s="2308" t="s">
        <v>2130</v>
      </c>
      <c r="I50" s="2307"/>
      <c r="J50" s="3681" t="s">
        <v>1342</v>
      </c>
      <c r="K50" s="3681"/>
      <c r="L50" s="3681"/>
      <c r="M50" s="3681"/>
      <c r="N50" s="3681"/>
      <c r="O50" s="3681"/>
    </row>
    <row r="51" spans="1:35" ht="20.45" customHeight="1">
      <c r="A51" s="2549"/>
      <c r="B51" s="3598" t="s">
        <v>1343</v>
      </c>
      <c r="C51" s="3598"/>
      <c r="D51" s="1083"/>
      <c r="E51" s="327"/>
      <c r="F51" s="3455"/>
      <c r="G51" s="3670"/>
      <c r="H51" s="2308" t="s">
        <v>2131</v>
      </c>
      <c r="I51" s="2307"/>
      <c r="J51" s="3456" t="s">
        <v>1344</v>
      </c>
      <c r="K51" s="3662" t="s">
        <v>1345</v>
      </c>
      <c r="L51" s="3662"/>
      <c r="M51" s="3456" t="s">
        <v>1346</v>
      </c>
      <c r="N51" s="3456" t="s">
        <v>1347</v>
      </c>
      <c r="O51" s="3456" t="s">
        <v>1348</v>
      </c>
    </row>
    <row r="52" spans="1:35" ht="24" customHeight="1">
      <c r="A52" s="3475" t="s">
        <v>1349</v>
      </c>
      <c r="B52" s="3598" t="s">
        <v>1350</v>
      </c>
      <c r="C52" s="3598"/>
      <c r="D52" s="1083" t="e">
        <f ca="1">ROUND(D45*'数据-取费表'!B41/(1+'数据-取费表'!C42),0)</f>
        <v>#N/A</v>
      </c>
      <c r="E52" s="3473" t="s">
        <v>1351</v>
      </c>
      <c r="F52" s="2550">
        <f>'数据-取费表'!B41</f>
        <v>5.6000000000000001E-2</v>
      </c>
      <c r="G52" s="2551"/>
      <c r="H52" s="2540"/>
      <c r="I52" s="1803"/>
      <c r="J52" s="3462">
        <v>1</v>
      </c>
      <c r="K52" s="3663" t="s">
        <v>1352</v>
      </c>
      <c r="L52" s="3663"/>
      <c r="M52" s="2521" t="b">
        <f>D48</f>
        <v>0</v>
      </c>
      <c r="N52" s="3462" t="str">
        <f>E48</f>
        <v>销售额×税（费）率</v>
      </c>
      <c r="O52" s="2522">
        <f>F48</f>
        <v>5.6000000000000001E-2</v>
      </c>
    </row>
    <row r="53" spans="1:35" ht="12" customHeight="1">
      <c r="A53" s="3475" t="s">
        <v>1353</v>
      </c>
      <c r="B53" s="3624" t="s">
        <v>2286</v>
      </c>
      <c r="C53" s="3625"/>
      <c r="D53" s="1083" t="e">
        <f ca="1">ROUND(D45*'数据-取费表'!B41/(1+'数据-取费表'!C42),0)</f>
        <v>#N/A</v>
      </c>
      <c r="E53" s="3473" t="s">
        <v>1351</v>
      </c>
      <c r="F53" s="2550">
        <f>'数据-取费表'!B41</f>
        <v>5.6000000000000001E-2</v>
      </c>
      <c r="G53" s="2551"/>
      <c r="H53" s="2540"/>
      <c r="I53" s="1803"/>
      <c r="J53" s="3462">
        <v>2</v>
      </c>
      <c r="K53" s="3663" t="s">
        <v>1354</v>
      </c>
      <c r="L53" s="3663"/>
      <c r="M53" s="2521" t="e">
        <f t="shared" ref="M53:O54" ca="1" si="0">D55</f>
        <v>#N/A</v>
      </c>
      <c r="N53" s="3462" t="str">
        <f t="shared" si="0"/>
        <v>销售额×税（费）率</v>
      </c>
      <c r="O53" s="2522" t="str">
        <f t="shared" si="0"/>
        <v>免征</v>
      </c>
    </row>
    <row r="54" spans="1:35" ht="12" customHeight="1">
      <c r="A54" s="3475" t="s">
        <v>1355</v>
      </c>
      <c r="B54" s="3624" t="s">
        <v>2287</v>
      </c>
      <c r="C54" s="3625"/>
      <c r="D54" s="1083" t="e">
        <f ca="1">C68</f>
        <v>#N/A</v>
      </c>
      <c r="E54" s="327" t="s">
        <v>1356</v>
      </c>
      <c r="F54" s="2550">
        <f>'数据-取费表'!B41</f>
        <v>5.6000000000000001E-2</v>
      </c>
      <c r="G54" s="2551"/>
      <c r="H54" s="2552"/>
      <c r="I54" s="1803"/>
      <c r="J54" s="3462">
        <v>3</v>
      </c>
      <c r="K54" s="3663" t="s">
        <v>1357</v>
      </c>
      <c r="L54" s="3663"/>
      <c r="M54" s="2521" t="e">
        <f t="shared" ca="1" si="0"/>
        <v>#N/A</v>
      </c>
      <c r="N54" s="3462" t="str">
        <f t="shared" si="0"/>
        <v>增值额×税（费）率</v>
      </c>
      <c r="O54" s="2523" t="str">
        <f t="shared" si="0"/>
        <v>免征</v>
      </c>
    </row>
    <row r="55" spans="1:35" ht="24" customHeight="1">
      <c r="A55" s="3613" t="s">
        <v>1358</v>
      </c>
      <c r="B55" s="3614"/>
      <c r="C55" s="3614"/>
      <c r="D55" s="3457" t="e">
        <f ca="1">IF(H55="个人住宅",0,ROUND(D45*I55,0))</f>
        <v>#N/A</v>
      </c>
      <c r="E55" s="3473" t="s">
        <v>1359</v>
      </c>
      <c r="F55" s="2550" t="str">
        <f>IF(H55="正常",I55,"免征")</f>
        <v>免征</v>
      </c>
      <c r="G55" s="2551"/>
      <c r="H55" s="2546"/>
      <c r="I55" s="165">
        <f>'数据-取费表'!B49</f>
        <v>5.0000000000000001E-4</v>
      </c>
      <c r="J55" s="3462">
        <f>IF(H59="非个人房产","",4)</f>
        <v>4</v>
      </c>
      <c r="K55" s="3663" t="str">
        <f>IF(H59="非个人房产","——","个人所得税")</f>
        <v>个人所得税</v>
      </c>
      <c r="L55" s="3663"/>
      <c r="M55" s="2524" t="e">
        <f ca="1">D59</f>
        <v>#N/A</v>
      </c>
      <c r="N55" s="3463" t="str">
        <f>E59</f>
        <v>差额计税</v>
      </c>
      <c r="O55" s="2525">
        <f>F59</f>
        <v>0.01</v>
      </c>
    </row>
    <row r="56" spans="1:35" ht="24.75">
      <c r="A56" s="3613" t="s">
        <v>1360</v>
      </c>
      <c r="B56" s="3614"/>
      <c r="C56" s="3614"/>
      <c r="D56" s="3457" t="e">
        <f ca="1">IF(H56="个人住宅",D57,D58)</f>
        <v>#N/A</v>
      </c>
      <c r="E56" s="3473" t="s">
        <v>1361</v>
      </c>
      <c r="F56" s="2550" t="str">
        <f>IF(H56="正常",F58,"免征")</f>
        <v>免征</v>
      </c>
      <c r="G56" s="2553" t="s">
        <v>1362</v>
      </c>
      <c r="H56" s="2554"/>
      <c r="I56" s="1804"/>
      <c r="J56" s="3462" t="str">
        <f>IF(项目基本情况!K6="上海银行",IF(J55="",4,J55+1),"")</f>
        <v/>
      </c>
      <c r="K56" s="3686" t="str">
        <f>IF(项目基本情况!K6="上海银行","其他处置费用","")</f>
        <v/>
      </c>
      <c r="L56" s="3687"/>
      <c r="M56" s="2521" t="str">
        <f>IF(项目基本情况!K6="上海银行",M69,"")</f>
        <v/>
      </c>
      <c r="N56" s="3686" t="str">
        <f>IF(项目基本情况!K6="上海银行","包含处置中涉及的律师、诉讼、拍卖、评估等费用","")</f>
        <v/>
      </c>
      <c r="O56" s="3689"/>
    </row>
    <row r="57" spans="1:35" ht="12.75">
      <c r="A57" s="3475" t="s">
        <v>1338</v>
      </c>
      <c r="B57" s="3624" t="s">
        <v>1363</v>
      </c>
      <c r="C57" s="3625"/>
      <c r="D57" s="1586">
        <v>0</v>
      </c>
      <c r="E57" s="324" t="s">
        <v>1340</v>
      </c>
      <c r="F57" s="302"/>
      <c r="G57" s="2551"/>
      <c r="H57" s="2555"/>
      <c r="I57" s="1804"/>
      <c r="J57" s="3663">
        <f>IF(AND(J55="",J56=""),4,IF(项目基本情况!K6="上海银行",'结果表-6号楼'!J56+1,'结果表-6号楼'!J55+1))</f>
        <v>5</v>
      </c>
      <c r="K57" s="3663" t="s">
        <v>1364</v>
      </c>
      <c r="L57" s="2526" t="s">
        <v>1365</v>
      </c>
      <c r="M57" s="2527"/>
      <c r="N57" s="2528">
        <f ca="1">SUMIF(M52:M56,"&lt;9e307")</f>
        <v>0</v>
      </c>
      <c r="O57" s="2529"/>
      <c r="P57" s="2686" t="e">
        <f ca="1">N57/M49</f>
        <v>#N/A</v>
      </c>
    </row>
    <row r="58" spans="1:35" ht="24.75">
      <c r="A58" s="3475" t="s">
        <v>1349</v>
      </c>
      <c r="B58" s="3624" t="s">
        <v>1366</v>
      </c>
      <c r="C58" s="3598"/>
      <c r="D58" s="3457" t="e">
        <f ca="1">IF(H58="转让取得",C81,C97)</f>
        <v>#N/A</v>
      </c>
      <c r="E58" s="3473" t="s">
        <v>1361</v>
      </c>
      <c r="F58" s="302" t="s">
        <v>28</v>
      </c>
      <c r="G58" s="2551"/>
      <c r="H58" s="2554"/>
      <c r="I58" s="1804"/>
      <c r="J58" s="3663"/>
      <c r="K58" s="3663"/>
      <c r="L58" s="2526" t="s">
        <v>1367</v>
      </c>
      <c r="M58" s="2530"/>
      <c r="N58" s="2531" t="str">
        <f ca="1">NUMBERSTRING(INT(N57*10000),2)&amp;"元整"</f>
        <v>零元整</v>
      </c>
      <c r="O58" s="2532"/>
    </row>
    <row r="59" spans="1:35" ht="24.75" thickBot="1">
      <c r="A59" s="3666" t="s">
        <v>1368</v>
      </c>
      <c r="B59" s="3667"/>
      <c r="C59" s="3667"/>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64">
        <f>J57+1</f>
        <v>6</v>
      </c>
      <c r="K59" s="3663" t="s">
        <v>1369</v>
      </c>
      <c r="L59" s="3462" t="s">
        <v>1365</v>
      </c>
      <c r="M59" s="2533"/>
      <c r="N59" s="2534" t="e">
        <f ca="1">M49-N57</f>
        <v>#N/A</v>
      </c>
      <c r="O59" s="2535"/>
    </row>
    <row r="60" spans="1:35" ht="12" customHeight="1">
      <c r="A60" s="1805"/>
      <c r="B60" s="1743"/>
      <c r="C60" s="1743"/>
      <c r="D60" s="1743"/>
      <c r="E60" s="1574"/>
      <c r="F60" s="1804"/>
      <c r="G60" s="1804"/>
      <c r="H60" s="1806"/>
      <c r="I60" s="129"/>
      <c r="J60" s="3665"/>
      <c r="K60" s="3663"/>
      <c r="L60" s="2526" t="s">
        <v>1367</v>
      </c>
      <c r="M60" s="2530"/>
      <c r="N60" s="2531" t="e">
        <f ca="1">NUMBERSTRING(INT(N59*10000),2)&amp;"元整"</f>
        <v>#N/A</v>
      </c>
      <c r="O60" s="2532"/>
    </row>
    <row r="61" spans="1:35" ht="13.5" thickBot="1">
      <c r="A61" s="3611" t="s">
        <v>1370</v>
      </c>
      <c r="B61" s="3611"/>
      <c r="C61" s="3611"/>
      <c r="D61" s="3611"/>
      <c r="E61" s="3611"/>
      <c r="F61" s="1804"/>
      <c r="G61" s="1804"/>
      <c r="H61" s="1806"/>
      <c r="I61" s="129"/>
      <c r="J61" s="3462">
        <f>J59+1</f>
        <v>7</v>
      </c>
      <c r="K61" s="3663" t="s">
        <v>1371</v>
      </c>
      <c r="L61" s="3663"/>
      <c r="M61" s="2536"/>
      <c r="N61" s="2537" t="e">
        <f ca="1">ROUND(N59*10000/'数据-汇总表'!E3,0)</f>
        <v>#N/A</v>
      </c>
      <c r="O61" s="2538"/>
    </row>
    <row r="62" spans="1:35" ht="12.75">
      <c r="A62" s="3629" t="s">
        <v>1372</v>
      </c>
      <c r="B62" s="3630"/>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88"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88"/>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88"/>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88"/>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88"/>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88"/>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88"/>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0" t="s">
        <v>1391</v>
      </c>
      <c r="B70" s="3651"/>
      <c r="C70" s="3651"/>
      <c r="D70" s="3651"/>
      <c r="E70" s="3651"/>
      <c r="F70" s="3651"/>
      <c r="G70" s="3651"/>
      <c r="H70" s="3651"/>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9" t="s">
        <v>1372</v>
      </c>
      <c r="B71" s="3630"/>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24" t="s">
        <v>1399</v>
      </c>
      <c r="F76" s="3598"/>
      <c r="G76" s="3598"/>
      <c r="H76" s="364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08" t="s">
        <v>1403</v>
      </c>
      <c r="F78" s="3609"/>
      <c r="G78" s="3609"/>
      <c r="H78" s="361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0" t="s">
        <v>1407</v>
      </c>
      <c r="B83" s="3651"/>
      <c r="C83" s="3651"/>
      <c r="D83" s="3651"/>
      <c r="E83" s="3651"/>
      <c r="F83" s="3651"/>
      <c r="G83" s="3651"/>
      <c r="H83" s="365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9" t="s">
        <v>1372</v>
      </c>
      <c r="B84" s="3630"/>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90" t="s">
        <v>2124</v>
      </c>
      <c r="H90" s="369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08" t="s">
        <v>1416</v>
      </c>
      <c r="F91" s="3609"/>
      <c r="G91" s="360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08" t="s">
        <v>1419</v>
      </c>
      <c r="F92" s="3609"/>
      <c r="G92" s="3609"/>
      <c r="H92" s="3618"/>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08" t="s">
        <v>1403</v>
      </c>
      <c r="F93" s="3609"/>
      <c r="G93" s="3609"/>
      <c r="H93" s="361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19" t="s">
        <v>1423</v>
      </c>
      <c r="F94" s="3620"/>
      <c r="G94" s="3620"/>
      <c r="H94" s="362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92" t="s">
        <v>1425</v>
      </c>
      <c r="B100" s="3593"/>
      <c r="C100" s="3593"/>
      <c r="D100" s="3610"/>
      <c r="E100" s="3593" t="s">
        <v>1426</v>
      </c>
      <c r="F100" s="3593"/>
      <c r="G100" s="3593"/>
      <c r="H100" s="3610"/>
      <c r="I100" s="129"/>
    </row>
    <row r="101" spans="1:35" ht="18.75" customHeight="1">
      <c r="A101" s="3671" t="s">
        <v>1427</v>
      </c>
      <c r="B101" s="3672"/>
      <c r="C101" s="2581" t="str">
        <f>C4</f>
        <v>成本法-6号楼</v>
      </c>
      <c r="D101" s="2582" t="str">
        <f>D4</f>
        <v>收益法-6号楼</v>
      </c>
      <c r="E101" s="3685" t="s">
        <v>1428</v>
      </c>
      <c r="F101" s="3642"/>
      <c r="G101" s="1823" t="s">
        <v>1429</v>
      </c>
      <c r="H101" s="2591" t="e">
        <f ca="1">H118</f>
        <v>#N/A</v>
      </c>
      <c r="I101" s="129"/>
    </row>
    <row r="102" spans="1:35" ht="18.75" customHeight="1">
      <c r="A102" s="3644" t="s">
        <v>1430</v>
      </c>
      <c r="B102" s="2580" t="s">
        <v>1429</v>
      </c>
      <c r="C102" s="2581" t="e">
        <f ca="1">IF(D32="楼面单价",ROUND(C19,0),C19)</f>
        <v>#N/A</v>
      </c>
      <c r="D102" s="2582" t="e">
        <f ca="1">IF(D32="楼面单价",ROUND(D19,0),D19)</f>
        <v>#N/A</v>
      </c>
      <c r="E102" s="3685"/>
      <c r="F102" s="3642"/>
      <c r="G102" s="1823" t="s">
        <v>1431</v>
      </c>
      <c r="H102" s="2551" t="e">
        <f ca="1">I118</f>
        <v>#N/A</v>
      </c>
      <c r="I102" s="129"/>
    </row>
    <row r="103" spans="1:35" ht="42.75" customHeight="1">
      <c r="A103" s="3644"/>
      <c r="B103" s="2580" t="s">
        <v>1431</v>
      </c>
      <c r="C103" s="2583" t="e">
        <f ca="1">C20</f>
        <v>#N/A</v>
      </c>
      <c r="D103" s="2584">
        <f ca="1">D20</f>
        <v>0</v>
      </c>
      <c r="E103" s="3679" t="s">
        <v>1432</v>
      </c>
      <c r="F103" s="3680"/>
      <c r="G103" s="1824" t="s">
        <v>1433</v>
      </c>
      <c r="H103" s="2591">
        <f>IF(D36="正常操作",H104+H105+H106,H105+H106)</f>
        <v>0</v>
      </c>
      <c r="I103" s="129"/>
    </row>
    <row r="104" spans="1:35" ht="18.75" customHeight="1">
      <c r="A104" s="3644"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45"/>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1" t="str">
        <f>IF(项目基本情况!E8="已注销","——","3.房地产抵押价值")</f>
        <v>3.房地产抵押价值</v>
      </c>
      <c r="F107" s="3642"/>
      <c r="G107" s="1823" t="s">
        <v>1429</v>
      </c>
      <c r="H107" s="2591" t="e">
        <f ca="1">IF(E107="——","——",H101-H103)</f>
        <v>#N/A</v>
      </c>
      <c r="I107" s="129"/>
    </row>
    <row r="108" spans="1:35" ht="18.75" customHeight="1">
      <c r="A108" s="129"/>
      <c r="B108" s="129"/>
      <c r="C108" s="129"/>
      <c r="D108" s="129"/>
      <c r="E108" s="3641"/>
      <c r="F108" s="3642"/>
      <c r="G108" s="1823" t="s">
        <v>1431</v>
      </c>
      <c r="H108" s="2551" t="e">
        <f ca="1">IF(H107=H101,H102,ROUND(H107*10000/'数据-汇总表'!E3,0))</f>
        <v>#N/A</v>
      </c>
      <c r="I108" s="129"/>
    </row>
    <row r="109" spans="1:35" ht="18.75" customHeight="1">
      <c r="A109" s="129"/>
      <c r="B109" s="129"/>
      <c r="C109" s="129"/>
      <c r="D109" s="129"/>
      <c r="E109" s="3641" t="str">
        <f>IF(项目基本情况!E8="已注销及未注销","4.抵押担保权已注销时的房地产抵押价值",IF(项目基本情况!E8="已注销","3.抵押担保权已注销时的房地产抵押价值","——"))</f>
        <v>——</v>
      </c>
      <c r="F109" s="3642"/>
      <c r="G109" s="1823" t="s">
        <v>1429</v>
      </c>
      <c r="H109" s="2594" t="str">
        <f>IF(E109="——","——",H101-H105-H106)</f>
        <v>——</v>
      </c>
      <c r="I109" s="129"/>
    </row>
    <row r="110" spans="1:35" ht="18.75" customHeight="1">
      <c r="A110" s="129"/>
      <c r="B110" s="129"/>
      <c r="C110" s="129"/>
      <c r="D110" s="129"/>
      <c r="E110" s="3641"/>
      <c r="F110" s="3642"/>
      <c r="G110" s="1823" t="s">
        <v>1431</v>
      </c>
      <c r="H110" s="2551" t="str">
        <f>IF(H109="——","——",ROUND(H109*10000/'数据-汇总表'!E3,0))</f>
        <v>——</v>
      </c>
      <c r="I110" s="129"/>
    </row>
    <row r="111" spans="1:35" ht="18.75" customHeight="1">
      <c r="A111" s="129"/>
      <c r="B111" s="129"/>
      <c r="C111" s="129"/>
      <c r="D111" s="129"/>
      <c r="E111" s="3673" t="str">
        <f>IF(项目基本情况!E9="抵押净值",IF(OR(项目基本情况!E8="已注销",项目基本情况!E8="房地产抵押价值"),"4.抵押净值","5.抵押净值"),"——")</f>
        <v>4.抵押净值</v>
      </c>
      <c r="F111" s="3643"/>
      <c r="G111" s="1823" t="s">
        <v>1429</v>
      </c>
      <c r="H111" s="2591" t="e">
        <f ca="1">IF(E111="——","——",N59)</f>
        <v>#N/A</v>
      </c>
      <c r="I111" s="129"/>
    </row>
    <row r="112" spans="1:35" ht="18.75" customHeight="1" thickBot="1">
      <c r="A112" s="129"/>
      <c r="B112" s="129"/>
      <c r="C112" s="129"/>
      <c r="D112" s="129"/>
      <c r="E112" s="3674"/>
      <c r="F112" s="3675"/>
      <c r="G112" s="1826" t="s">
        <v>1431</v>
      </c>
      <c r="H112" s="2595" t="e">
        <f ca="1">IF(E111="——","——",N61)</f>
        <v>#N/A</v>
      </c>
      <c r="I112" s="129"/>
    </row>
    <row r="113" spans="1:27" ht="18.75" customHeight="1">
      <c r="A113" s="129"/>
      <c r="B113" s="129"/>
      <c r="C113" s="129"/>
      <c r="D113" s="129"/>
      <c r="E113" s="3646" t="s">
        <v>1437</v>
      </c>
      <c r="F113" s="3646"/>
      <c r="G113" s="3646"/>
      <c r="H113" s="3646"/>
      <c r="I113" s="129"/>
    </row>
    <row r="114" spans="1:27" ht="3.75" customHeight="1">
      <c r="A114" s="1743"/>
      <c r="B114" s="1743"/>
      <c r="C114" s="1743"/>
      <c r="D114" s="1743"/>
      <c r="E114" s="1805"/>
      <c r="F114" s="1805"/>
      <c r="G114" s="1805"/>
      <c r="H114" s="1805"/>
      <c r="I114" s="1743"/>
    </row>
    <row r="115" spans="1:27" ht="18.75" customHeight="1">
      <c r="A115" s="3656" t="s">
        <v>1439</v>
      </c>
      <c r="B115" s="3657"/>
      <c r="C115" s="3657"/>
      <c r="D115" s="3657"/>
      <c r="E115" s="3657"/>
      <c r="F115" s="3657"/>
      <c r="G115" s="3657"/>
      <c r="H115" s="3657"/>
      <c r="I115" s="3658"/>
    </row>
    <row r="116" spans="1:27" ht="27" customHeight="1">
      <c r="A116" s="3612" t="s">
        <v>1440</v>
      </c>
      <c r="B116" s="3647" t="s">
        <v>1441</v>
      </c>
      <c r="C116" s="3647" t="s">
        <v>1442</v>
      </c>
      <c r="D116" s="3660" t="s">
        <v>1443</v>
      </c>
      <c r="E116" s="3661"/>
      <c r="F116" s="3655" t="s">
        <v>1444</v>
      </c>
      <c r="G116" s="3655"/>
      <c r="H116" s="3612" t="s">
        <v>1445</v>
      </c>
      <c r="I116" s="3612"/>
    </row>
    <row r="117" spans="1:27" ht="18.75" customHeight="1">
      <c r="A117" s="3612"/>
      <c r="B117" s="3648"/>
      <c r="C117" s="3648"/>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12" t="s">
        <v>1449</v>
      </c>
      <c r="B119" s="3612"/>
      <c r="C119" s="3612"/>
      <c r="D119" s="3652" t="e">
        <f ca="1">NUMBERSTRING(INT(D118*10000),2)&amp;"元整"</f>
        <v>#N/A</v>
      </c>
      <c r="E119" s="3654"/>
      <c r="F119" s="3652" t="e">
        <f ca="1">NUMBERSTRING(INT(F118*10000),2)&amp;"元整"</f>
        <v>#N/A</v>
      </c>
      <c r="G119" s="3654"/>
      <c r="H119" s="3652" t="e">
        <f ca="1">NUMBERSTRING(INT(H118*10000),2)&amp;"元整"</f>
        <v>#N/A</v>
      </c>
      <c r="I119" s="3654"/>
    </row>
    <row r="120" spans="1:27" ht="18.75" customHeight="1">
      <c r="A120" s="3676" t="str">
        <f>IF(项目基本情况!B9="房地产市场价值","",MID(E103,3,LEN(E103)-2))</f>
        <v>估价师知悉的法定优先受偿款</v>
      </c>
      <c r="B120" s="3677"/>
      <c r="C120" s="3678"/>
      <c r="D120" s="3676">
        <f>H103</f>
        <v>0</v>
      </c>
      <c r="E120" s="3677"/>
      <c r="F120" s="3677"/>
      <c r="G120" s="3677"/>
      <c r="H120" s="3677"/>
      <c r="I120" s="367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2" t="s">
        <v>1449</v>
      </c>
      <c r="B121" s="3653"/>
      <c r="C121" s="3654"/>
      <c r="D121" s="3652" t="str">
        <f>IF(D120=0,"零元整",NUMBERSTRING(INT(D120*10000),2)&amp;"元整")</f>
        <v>零元整</v>
      </c>
      <c r="E121" s="3653"/>
      <c r="F121" s="3653"/>
      <c r="G121" s="3653"/>
      <c r="H121" s="3653"/>
      <c r="I121" s="3654"/>
      <c r="AA121" s="724"/>
    </row>
    <row r="122" spans="1:27" ht="18.75" customHeight="1">
      <c r="A122" s="3643" t="str">
        <f>IF(项目基本情况!B9="房地产市场价值","",MID(E107,3,LEN(E107)-2))</f>
        <v>房地产抵押价值</v>
      </c>
      <c r="B122" s="3643"/>
      <c r="C122" s="3643"/>
      <c r="D122" s="3676" t="e">
        <f ca="1">H107</f>
        <v>#N/A</v>
      </c>
      <c r="E122" s="3677"/>
      <c r="F122" s="3677"/>
      <c r="G122" s="3677"/>
      <c r="H122" s="3677"/>
      <c r="I122" s="3678"/>
      <c r="AA122" s="724"/>
    </row>
    <row r="123" spans="1:27" ht="18.75" customHeight="1">
      <c r="A123" s="3612" t="s">
        <v>1449</v>
      </c>
      <c r="B123" s="3612"/>
      <c r="C123" s="3612"/>
      <c r="D123" s="3652" t="e">
        <f ca="1">NUMBERSTRING(INT(D122*10000),2)&amp;"元整"</f>
        <v>#N/A</v>
      </c>
      <c r="E123" s="3653"/>
      <c r="F123" s="3653"/>
      <c r="G123" s="3653"/>
      <c r="H123" s="3653"/>
      <c r="I123" s="3654"/>
      <c r="AA123" s="724"/>
    </row>
    <row r="124" spans="1:27" ht="18.75" customHeight="1">
      <c r="A124" s="3643" t="str">
        <f>IF(项目基本情况!B9="房地产市场价值","",MID(E109,3,LEN(E109)-2))</f>
        <v/>
      </c>
      <c r="B124" s="3643"/>
      <c r="C124" s="3643"/>
      <c r="D124" s="3676" t="str">
        <f>H109</f>
        <v>——</v>
      </c>
      <c r="E124" s="3677"/>
      <c r="F124" s="3677"/>
      <c r="G124" s="3677"/>
      <c r="H124" s="3677"/>
      <c r="I124" s="3678"/>
      <c r="AA124" s="724"/>
    </row>
    <row r="125" spans="1:27" ht="18.75" customHeight="1">
      <c r="A125" s="3612" t="s">
        <v>1449</v>
      </c>
      <c r="B125" s="3612"/>
      <c r="C125" s="3612"/>
      <c r="D125" s="3652" t="e">
        <f>NUMBERSTRING(INT(D124*10000),2)&amp;"元整"</f>
        <v>#VALUE!</v>
      </c>
      <c r="E125" s="3653"/>
      <c r="F125" s="3653"/>
      <c r="G125" s="3653"/>
      <c r="H125" s="3653"/>
      <c r="I125" s="3654"/>
      <c r="AA125" s="724"/>
    </row>
    <row r="126" spans="1:27" ht="18.75" customHeight="1">
      <c r="A126" s="3643" t="str">
        <f>IF(项目基本情况!B9="房地产市场价值","",MID(E111,3,LEN(E111)-2))</f>
        <v>抵押净值</v>
      </c>
      <c r="B126" s="3643"/>
      <c r="C126" s="3643"/>
      <c r="D126" s="3676" t="e">
        <f ca="1">H111</f>
        <v>#N/A</v>
      </c>
      <c r="E126" s="3677"/>
      <c r="F126" s="3677"/>
      <c r="G126" s="3677"/>
      <c r="H126" s="3677"/>
      <c r="I126" s="3678"/>
      <c r="AA126" s="724"/>
    </row>
    <row r="127" spans="1:27" ht="18.75" customHeight="1">
      <c r="A127" s="3612" t="s">
        <v>1449</v>
      </c>
      <c r="B127" s="3612"/>
      <c r="C127" s="3612"/>
      <c r="D127" s="3652" t="e">
        <f ca="1">NUMBERSTRING(INT(D126*10000),2)&amp;"元整"</f>
        <v>#N/A</v>
      </c>
      <c r="E127" s="3653"/>
      <c r="F127" s="3653"/>
      <c r="G127" s="3653"/>
      <c r="H127" s="3653"/>
      <c r="I127" s="3654"/>
      <c r="AA127" s="724"/>
    </row>
    <row r="128" spans="1:27" ht="21.75" customHeight="1">
      <c r="A128" s="3659" t="s">
        <v>1450</v>
      </c>
      <c r="B128" s="3659"/>
      <c r="C128" s="3659"/>
      <c r="D128" s="3659"/>
      <c r="E128" s="3659"/>
      <c r="F128" s="3659"/>
      <c r="G128" s="3659"/>
      <c r="H128" s="3659"/>
      <c r="I128" s="3659"/>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0.03</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0.02</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692" t="s">
        <v>1541</v>
      </c>
    </row>
    <row r="43" spans="1:7" ht="13.5" customHeight="1">
      <c r="A43" s="776" t="s">
        <v>346</v>
      </c>
      <c r="B43" s="215" t="s">
        <v>1503</v>
      </c>
      <c r="C43" s="238" t="e">
        <f ca="1">ROUND(IF('数据-取费表'!B22&lt;=1,C39*F22*'数据-取费表'!B21/2,C39*(POWER((1+F22),'数据-取费表'!B21/2)-1)),0)</f>
        <v>#N/A</v>
      </c>
      <c r="D43" s="238"/>
      <c r="E43" s="238"/>
      <c r="F43" s="239"/>
      <c r="G43" s="3693"/>
    </row>
    <row r="44" spans="1:7" ht="13.5" customHeight="1">
      <c r="A44" s="776" t="s">
        <v>347</v>
      </c>
      <c r="B44" s="215" t="s">
        <v>1506</v>
      </c>
      <c r="C44" s="238">
        <f ca="1">ROUND(IF('数据-取费表'!B22&lt;=1,C40*F22*'数据-取费表'!B21/2,C40*(POWER((1+F22),'数据-取费表'!B21/2)-1)),4)</f>
        <v>6.9999999999999999E-4</v>
      </c>
      <c r="D44" s="238"/>
      <c r="E44" s="238"/>
      <c r="F44" s="239"/>
      <c r="G44" s="3694"/>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697" t="s">
        <v>693</v>
      </c>
      <c r="C6" s="1070" t="e">
        <f ca="1">ROUND(F6*F8*F7*(1-F9)/10000,0)</f>
        <v>#N/A</v>
      </c>
      <c r="D6" s="155" t="s">
        <v>2104</v>
      </c>
      <c r="E6" s="302" t="s">
        <v>695</v>
      </c>
      <c r="F6" s="303" t="e">
        <f ca="1">INDIRECT("'数据-取费表'!u"&amp;$G$1)</f>
        <v>#N/A</v>
      </c>
      <c r="G6" s="1380"/>
      <c r="H6" s="1065" t="s">
        <v>397</v>
      </c>
      <c r="I6" s="3697" t="s">
        <v>693</v>
      </c>
      <c r="J6" s="301" t="e">
        <f ca="1">ROUND(M6*M8*M7*(1-M9)/10000,0)</f>
        <v>#N/A</v>
      </c>
      <c r="K6" s="155" t="s">
        <v>2103</v>
      </c>
      <c r="L6" s="302" t="s">
        <v>695</v>
      </c>
      <c r="M6" s="303" t="e">
        <f ca="1">INDIRECT("'数据-取费表'!z"&amp;$G$1)</f>
        <v>#N/A</v>
      </c>
    </row>
    <row r="7" spans="1:37" ht="18" customHeight="1">
      <c r="A7" s="1069"/>
      <c r="B7" s="3698"/>
      <c r="C7" s="1071"/>
      <c r="D7" s="307"/>
      <c r="E7" s="3459" t="s">
        <v>696</v>
      </c>
      <c r="F7" s="303" t="e">
        <f ca="1">IF(INDIRECT("'数据-取费表'!ah"&amp;$G$1)="",INDIRECT("'数据-取费表'!k"&amp;$G$1),INDIRECT("'数据-取费表'!ah"&amp;$G$1))</f>
        <v>#N/A</v>
      </c>
      <c r="G7" s="1380"/>
      <c r="H7" s="304"/>
      <c r="I7" s="3698"/>
      <c r="J7" s="306"/>
      <c r="K7" s="307"/>
      <c r="L7" s="302" t="s">
        <v>696</v>
      </c>
      <c r="M7" s="303" t="e">
        <f ca="1">F7</f>
        <v>#N/A</v>
      </c>
    </row>
    <row r="8" spans="1:37" ht="18" customHeight="1">
      <c r="A8" s="304"/>
      <c r="B8" s="3698"/>
      <c r="C8" s="306"/>
      <c r="D8" s="307"/>
      <c r="E8" s="302" t="s">
        <v>697</v>
      </c>
      <c r="F8" s="303" t="e">
        <f ca="1">INDIRECT("'数据-取费表'!ai"&amp;$G$1)</f>
        <v>#N/A</v>
      </c>
      <c r="G8" s="1380"/>
      <c r="H8" s="304"/>
      <c r="I8" s="3698"/>
      <c r="J8" s="306"/>
      <c r="K8" s="307"/>
      <c r="L8" s="302" t="s">
        <v>697</v>
      </c>
      <c r="M8" s="303" t="e">
        <f ca="1">INDIRECT("'数据-取费表'!ai"&amp;$G$1)</f>
        <v>#N/A</v>
      </c>
    </row>
    <row r="9" spans="1:37" ht="18" customHeight="1">
      <c r="A9" s="304"/>
      <c r="B9" s="3699"/>
      <c r="C9" s="306"/>
      <c r="D9" s="307"/>
      <c r="E9" s="302" t="s">
        <v>698</v>
      </c>
      <c r="F9" s="312" t="e">
        <f ca="1">INDIRECT("'数据-取费表'!w"&amp;$G$1)</f>
        <v>#N/A</v>
      </c>
      <c r="G9" s="1380"/>
      <c r="H9" s="304"/>
      <c r="I9" s="3699"/>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0.03</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0.02</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0" t="s">
        <v>836</v>
      </c>
      <c r="L53" s="3701"/>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38710</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36071</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22038</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28431</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94"/>
      <c r="B4" s="3795"/>
      <c r="C4" s="3795"/>
      <c r="D4" s="3796"/>
      <c r="E4" s="3796"/>
      <c r="F4" s="3796"/>
      <c r="G4" s="3796"/>
      <c r="H4" s="3796"/>
      <c r="I4" s="3796"/>
      <c r="J4" s="3797"/>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24029</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21192</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20366</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1" t="s">
        <v>1956</v>
      </c>
      <c r="X8" s="3792"/>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3"/>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98" t="s">
        <v>3253</v>
      </c>
      <c r="B20" s="167" t="s">
        <v>1990</v>
      </c>
      <c r="C20" s="3321">
        <f>ROUND(IF(F21="与级别开发程度一致",0,(G21-E21)/C21),0)</f>
        <v>0</v>
      </c>
      <c r="D20" s="3337" t="s">
        <v>1994</v>
      </c>
      <c r="E20" s="3338"/>
      <c r="F20" s="3804" t="s">
        <v>1991</v>
      </c>
      <c r="G20" s="3805"/>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99"/>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45457</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38710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24017</v>
      </c>
      <c r="D33" s="2094">
        <f>'数据-汇总表'!F20</f>
        <v>13947.579999999998</v>
      </c>
      <c r="E33" s="769">
        <f>ROUND(C33*D33/10000,0)</f>
        <v>33498</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6004</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2"/>
      <c r="B37" s="2109" t="s">
        <v>2032</v>
      </c>
      <c r="C37" s="175">
        <f>ROUND(D5*C22*C23*C24*C28*F37,0)</f>
        <v>14410</v>
      </c>
      <c r="D37" s="2094">
        <f>'数据-汇总表'!G20</f>
        <v>3617.18</v>
      </c>
      <c r="E37" s="171">
        <f>ROUND(C37*D37/10000,0)</f>
        <v>5212</v>
      </c>
      <c r="F37" s="171">
        <f>SUMIF(修正!A57:A68,G2,修正!B57:B68)</f>
        <v>0.6</v>
      </c>
      <c r="G37" s="171">
        <f>ROUND(IF(E2="工业",C37*$M$42,C37*$M$41),0)</f>
        <v>3603</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3"/>
      <c r="B38" s="2037" t="s">
        <v>2033</v>
      </c>
      <c r="C38" s="175">
        <f>ROUND(D5*C22*C23*C24*C28*F38,0)</f>
        <v>7205</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3"/>
      <c r="B39" s="2037" t="s">
        <v>3257</v>
      </c>
      <c r="C39" s="175">
        <f>ROUND(D5*C22*C23*C24*C28*F39,0)</f>
        <v>6004</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6004</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0" t="s">
        <v>3292</v>
      </c>
      <c r="B103" s="3800"/>
      <c r="C103" s="3800"/>
      <c r="D103" s="3800"/>
      <c r="E103" s="3800"/>
      <c r="F103" s="3800"/>
      <c r="G103" s="3800"/>
      <c r="H103" s="3800"/>
      <c r="I103" s="3800"/>
      <c r="J103" s="3800"/>
      <c r="K103" s="3480"/>
      <c r="L103" s="3480"/>
      <c r="M103" s="3480"/>
      <c r="N103" s="3480"/>
    </row>
    <row r="104" spans="1:14">
      <c r="A104" s="3801" t="s">
        <v>3293</v>
      </c>
      <c r="B104" s="3801" t="s">
        <v>3294</v>
      </c>
      <c r="C104" s="3387" t="s">
        <v>3295</v>
      </c>
      <c r="D104" s="3388"/>
      <c r="E104" s="3388"/>
      <c r="F104" s="3388"/>
      <c r="G104" s="3388"/>
      <c r="H104" s="3388"/>
      <c r="I104" s="3388"/>
      <c r="J104" s="3389"/>
      <c r="K104" s="3390"/>
      <c r="L104" s="3390"/>
      <c r="M104" s="3390"/>
      <c r="N104" s="3390"/>
    </row>
    <row r="105" spans="1:14">
      <c r="A105" s="3801"/>
      <c r="B105" s="3801"/>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87"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88"/>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88"/>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88"/>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88"/>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88"/>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89"/>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0" t="s">
        <v>3309</v>
      </c>
      <c r="B113" s="3790"/>
      <c r="C113" s="3790"/>
      <c r="D113" s="3790"/>
      <c r="E113" s="3790"/>
      <c r="F113" s="3790"/>
      <c r="G113" s="3790"/>
      <c r="H113" s="3790"/>
      <c r="I113" s="3790"/>
      <c r="J113" s="3790"/>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4" t="s">
        <v>2838</v>
      </c>
      <c r="B1" s="3834"/>
      <c r="C1" s="3834"/>
      <c r="D1" s="3834"/>
      <c r="E1" s="3834"/>
      <c r="F1" s="3834"/>
      <c r="G1" s="3835"/>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32"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33"/>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7" t="str">
        <f>IF(项目基本情况!B9="房地产市场价值","估价结果一览表","结果表-2")</f>
        <v>结果表-2</v>
      </c>
      <c r="B1" s="3527"/>
      <c r="C1" s="3527"/>
      <c r="D1" s="3527"/>
      <c r="E1" s="3527"/>
      <c r="F1" s="3527"/>
      <c r="G1" s="3527"/>
      <c r="H1" s="3527"/>
      <c r="I1" s="3527"/>
    </row>
    <row r="2" spans="1:9" ht="30" customHeight="1" thickTop="1">
      <c r="A2" s="3528" t="s">
        <v>927</v>
      </c>
      <c r="B2" s="3528" t="s">
        <v>928</v>
      </c>
      <c r="C2" s="3528" t="s">
        <v>929</v>
      </c>
      <c r="D2" s="3528" t="str">
        <f>结果表!D116</f>
        <v>出让国有建设用地使用权价值</v>
      </c>
      <c r="E2" s="3528"/>
      <c r="F2" s="3528" t="str">
        <f>结果表!F116</f>
        <v>在建建筑物价值</v>
      </c>
      <c r="G2" s="3528"/>
      <c r="H2" s="3528" t="str">
        <f>IF(项目基本情况!B9="房地产市场价值","房地产市场价值","房地产价值")</f>
        <v>房地产价值</v>
      </c>
      <c r="I2" s="3528"/>
    </row>
    <row r="3" spans="1:9" ht="15">
      <c r="A3" s="3523"/>
      <c r="B3" s="3523"/>
      <c r="C3" s="3523"/>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102445</v>
      </c>
      <c r="E4" s="850">
        <f ca="1">结果表!E118</f>
        <v>20375</v>
      </c>
      <c r="F4" s="850">
        <f ca="1">结果表!F118</f>
        <v>29572</v>
      </c>
      <c r="G4" s="850">
        <f ca="1">结果表!G118</f>
        <v>5882</v>
      </c>
      <c r="H4" s="850">
        <f ca="1">结果表!H118</f>
        <v>132017</v>
      </c>
      <c r="I4" s="850">
        <f ca="1">结果表!I118</f>
        <v>26257</v>
      </c>
    </row>
    <row r="5" spans="1:9" ht="30" customHeight="1">
      <c r="A5" s="3523" t="s">
        <v>926</v>
      </c>
      <c r="B5" s="3523"/>
      <c r="C5" s="3523"/>
      <c r="D5" s="3523" t="str">
        <f ca="1">结果表!D119</f>
        <v>壹拾亿贰仟肆佰肆拾伍万元整</v>
      </c>
      <c r="E5" s="3523"/>
      <c r="F5" s="3523" t="str">
        <f ca="1">结果表!F119</f>
        <v>贰亿玖仟伍佰柒拾贰万元整</v>
      </c>
      <c r="G5" s="3523"/>
      <c r="H5" s="3523" t="str">
        <f ca="1">结果表!H119</f>
        <v>壹拾叁亿贰仟零壹拾柒万元整</v>
      </c>
      <c r="I5" s="3523"/>
    </row>
    <row r="6" spans="1:9" ht="15.75">
      <c r="A6" s="3522" t="str">
        <f>结果表!A120</f>
        <v>估价师知悉的法定优先受偿款</v>
      </c>
      <c r="B6" s="3522"/>
      <c r="C6" s="3522"/>
      <c r="D6" s="3522">
        <f>结果表!D120</f>
        <v>0</v>
      </c>
      <c r="E6" s="3522"/>
      <c r="F6" s="3522"/>
      <c r="G6" s="3522"/>
      <c r="H6" s="3522"/>
      <c r="I6" s="3522"/>
    </row>
    <row r="7" spans="1:9" ht="15">
      <c r="A7" s="3523" t="s">
        <v>926</v>
      </c>
      <c r="B7" s="3523"/>
      <c r="C7" s="3523"/>
      <c r="D7" s="3524" t="str">
        <f>结果表!D121</f>
        <v>零元整</v>
      </c>
      <c r="E7" s="3525"/>
      <c r="F7" s="3525"/>
      <c r="G7" s="3525"/>
      <c r="H7" s="3525"/>
      <c r="I7" s="3526"/>
    </row>
    <row r="8" spans="1:9" ht="15.75">
      <c r="A8" s="3522" t="str">
        <f>结果表!A122</f>
        <v>房地产抵押价值</v>
      </c>
      <c r="B8" s="3522"/>
      <c r="C8" s="3522"/>
      <c r="D8" s="3522">
        <f ca="1">结果表!D122</f>
        <v>132017</v>
      </c>
      <c r="E8" s="3522"/>
      <c r="F8" s="3522"/>
      <c r="G8" s="3522"/>
      <c r="H8" s="3522"/>
      <c r="I8" s="3522"/>
    </row>
    <row r="9" spans="1:9" ht="15">
      <c r="A9" s="3523" t="s">
        <v>926</v>
      </c>
      <c r="B9" s="3523"/>
      <c r="C9" s="3523"/>
      <c r="D9" s="3523" t="str">
        <f ca="1">结果表!D123</f>
        <v>壹拾叁亿贰仟零壹拾柒万元整</v>
      </c>
      <c r="E9" s="3523"/>
      <c r="F9" s="3523"/>
      <c r="G9" s="3523"/>
      <c r="H9" s="3523"/>
      <c r="I9" s="3523"/>
    </row>
    <row r="10" spans="1:9" ht="15.75">
      <c r="A10" s="3522" t="str">
        <f>结果表!A124</f>
        <v/>
      </c>
      <c r="B10" s="3522"/>
      <c r="C10" s="3522"/>
      <c r="D10" s="3522" t="str">
        <f>结果表!D124</f>
        <v>——</v>
      </c>
      <c r="E10" s="3522"/>
      <c r="F10" s="3522"/>
      <c r="G10" s="3522"/>
      <c r="H10" s="3522"/>
      <c r="I10" s="3522"/>
    </row>
    <row r="11" spans="1:9" ht="15">
      <c r="A11" s="3523" t="s">
        <v>926</v>
      </c>
      <c r="B11" s="3523"/>
      <c r="C11" s="3523"/>
      <c r="D11" s="3523" t="e">
        <f>结果表!D125</f>
        <v>#VALUE!</v>
      </c>
      <c r="E11" s="3523"/>
      <c r="F11" s="3523"/>
      <c r="G11" s="3523"/>
      <c r="H11" s="3523"/>
      <c r="I11" s="3523"/>
    </row>
    <row r="12" spans="1:9" ht="15.75">
      <c r="A12" s="3522" t="str">
        <f>结果表!A126</f>
        <v>抵押净值</v>
      </c>
      <c r="B12" s="3522"/>
      <c r="C12" s="3522"/>
      <c r="D12" s="3522">
        <f ca="1">结果表!D126</f>
        <v>100909</v>
      </c>
      <c r="E12" s="3522"/>
      <c r="F12" s="3522"/>
      <c r="G12" s="3522"/>
      <c r="H12" s="3522"/>
      <c r="I12" s="3522"/>
    </row>
    <row r="13" spans="1:9" ht="15.75" thickBot="1">
      <c r="A13" s="3520" t="s">
        <v>926</v>
      </c>
      <c r="B13" s="3520"/>
      <c r="C13" s="3520"/>
      <c r="D13" s="3520" t="str">
        <f ca="1">结果表!D127</f>
        <v>壹拾亿零玖佰零玖万元整</v>
      </c>
      <c r="E13" s="3520"/>
      <c r="F13" s="3520"/>
      <c r="G13" s="3520"/>
      <c r="H13" s="3520"/>
      <c r="I13" s="3520"/>
    </row>
    <row r="14" spans="1:9" ht="15" thickTop="1">
      <c r="A14" s="3521" t="s">
        <v>931</v>
      </c>
      <c r="B14" s="3521"/>
      <c r="C14" s="3521"/>
      <c r="D14" s="3521"/>
      <c r="E14" s="3521"/>
      <c r="F14" s="3521"/>
      <c r="G14" s="3521"/>
      <c r="H14" s="3521"/>
      <c r="I14" s="3521"/>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6" t="s">
        <v>3180</v>
      </c>
      <c r="B1" s="3836"/>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37" t="s">
        <v>3231</v>
      </c>
      <c r="B1" s="3837"/>
      <c r="C1" s="3837"/>
      <c r="D1" s="3837"/>
      <c r="E1" s="3837"/>
      <c r="F1" s="3838"/>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45457</v>
      </c>
      <c r="B1" s="3206" t="s">
        <v>3368</v>
      </c>
      <c r="C1" s="3207"/>
      <c r="D1" s="3207"/>
      <c r="E1" s="3207"/>
      <c r="F1" s="3207"/>
      <c r="G1" s="3207"/>
      <c r="H1" s="3207"/>
      <c r="I1" s="3207"/>
      <c r="J1" s="3161"/>
      <c r="K1" s="3207" t="s">
        <v>453</v>
      </c>
      <c r="L1" s="3207"/>
      <c r="M1" s="3207"/>
      <c r="N1" s="3207"/>
      <c r="O1" s="3207"/>
      <c r="P1" s="3207"/>
      <c r="Q1" s="3161"/>
      <c r="R1" s="3839" t="s">
        <v>455</v>
      </c>
      <c r="S1" s="3840"/>
      <c r="T1" s="3840"/>
      <c r="U1" s="3840"/>
      <c r="V1" s="3840"/>
      <c r="W1" s="3840"/>
      <c r="X1" s="3161"/>
      <c r="Y1" s="3839" t="s">
        <v>456</v>
      </c>
      <c r="Z1" s="3840"/>
      <c r="AA1" s="3840"/>
      <c r="AB1" s="3840"/>
      <c r="AC1" s="3840"/>
      <c r="AD1" s="3840"/>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39" t="s">
        <v>2826</v>
      </c>
      <c r="S23" s="3840"/>
      <c r="T23" s="3840"/>
      <c r="U23" s="3840"/>
      <c r="V23" s="3840"/>
      <c r="W23" s="3840"/>
      <c r="X23" s="3161"/>
      <c r="Y23" s="3839" t="s">
        <v>2827</v>
      </c>
      <c r="Z23" s="3840"/>
      <c r="AA23" s="3840"/>
      <c r="AB23" s="3840"/>
      <c r="AC23" s="3840"/>
      <c r="AD23" s="3840"/>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6" t="s">
        <v>451</v>
      </c>
      <c r="C1" s="3846"/>
      <c r="D1" s="3846"/>
      <c r="E1" s="3846"/>
      <c r="F1" s="3846"/>
      <c r="G1" s="3845" t="s">
        <v>452</v>
      </c>
      <c r="H1" s="3845"/>
      <c r="I1" s="3845"/>
      <c r="J1" s="3845"/>
      <c r="K1" s="3845"/>
      <c r="L1" s="3845"/>
      <c r="N1" s="3845" t="s">
        <v>453</v>
      </c>
      <c r="O1" s="3845"/>
      <c r="P1" s="3845"/>
      <c r="Q1" s="3845"/>
      <c r="S1" s="3845" t="s">
        <v>454</v>
      </c>
      <c r="T1" s="3845"/>
      <c r="U1" s="3845"/>
      <c r="V1" s="3845"/>
      <c r="X1" s="3844" t="s">
        <v>455</v>
      </c>
      <c r="Y1" s="3845"/>
      <c r="Z1" s="3845"/>
      <c r="AA1" s="3845"/>
      <c r="AB1" s="3845"/>
      <c r="AD1" s="3844" t="s">
        <v>456</v>
      </c>
      <c r="AE1" s="3845"/>
      <c r="AF1" s="3845"/>
      <c r="AG1" s="3845"/>
      <c r="AH1" s="3845"/>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4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4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5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4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4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4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4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4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4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4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4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4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4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4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4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4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4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4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4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4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4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4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4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4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4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4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4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4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4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4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4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4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4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41">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42">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42">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43">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41">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42">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42">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4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45457</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workbookViewId="0">
      <selection activeCell="S32" sqref="S32"/>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5" t="s">
        <v>948</v>
      </c>
      <c r="B1" s="3535"/>
      <c r="C1" s="3535"/>
      <c r="D1" s="3535"/>
    </row>
    <row r="2" spans="1:4" ht="18">
      <c r="A2" s="3536" t="s">
        <v>932</v>
      </c>
      <c r="B2" s="3536"/>
      <c r="C2" s="3536"/>
      <c r="D2" s="3536"/>
    </row>
    <row r="3" spans="1:4" ht="18.75">
      <c r="A3" s="1505" t="s">
        <v>933</v>
      </c>
      <c r="B3" s="1505" t="s">
        <v>934</v>
      </c>
      <c r="C3" s="1505" t="s">
        <v>935</v>
      </c>
      <c r="D3" s="1505" t="s">
        <v>936</v>
      </c>
    </row>
    <row r="4" spans="1:4" ht="56.25" customHeight="1">
      <c r="A4" s="1506">
        <f>项目基本情况!B4</f>
        <v>0</v>
      </c>
      <c r="B4" s="1507">
        <f>项目基本情况!C4</f>
        <v>0</v>
      </c>
      <c r="C4" s="1508"/>
      <c r="D4" s="1509" t="s">
        <v>937</v>
      </c>
    </row>
    <row r="5" spans="1:4" ht="56.25" customHeight="1">
      <c r="A5" s="1506">
        <f>项目基本情况!D4</f>
        <v>0</v>
      </c>
      <c r="B5" s="1507">
        <f>项目基本情况!E4</f>
        <v>0</v>
      </c>
      <c r="C5" s="1510"/>
      <c r="D5" s="1509" t="s">
        <v>937</v>
      </c>
    </row>
    <row r="6" spans="1:4" ht="18">
      <c r="A6" s="3536" t="s">
        <v>938</v>
      </c>
      <c r="B6" s="3536"/>
      <c r="C6" s="3536"/>
      <c r="D6" s="3536"/>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37" t="s">
        <v>941</v>
      </c>
      <c r="B11" s="3529"/>
      <c r="C11" s="3529"/>
      <c r="D11" s="3529"/>
    </row>
    <row r="12" spans="1:4" ht="15.75">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29" t="str">
        <f>IF(项目基本情况!B8="抵押","4.本次评估估价师所知悉的法定优先受偿款情况说明如下：","——")</f>
        <v>4.本次评估估价师所知悉的法定优先受偿款情况说明如下：</v>
      </c>
      <c r="B14" s="3534"/>
      <c r="C14" s="3534"/>
      <c r="D14" s="3534"/>
    </row>
    <row r="15" spans="1:4" ht="42" customHeight="1">
      <c r="A15" s="35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9"/>
      <c r="C15" s="3529"/>
      <c r="D15" s="3529"/>
    </row>
    <row r="16" spans="1:4" ht="30" customHeight="1">
      <c r="A16" s="3531" t="s">
        <v>942</v>
      </c>
      <c r="B16" s="3531"/>
      <c r="C16" s="3531"/>
      <c r="D16" s="3531"/>
    </row>
    <row r="17" spans="1:4" ht="144" customHeight="1">
      <c r="A17" s="3531" t="s">
        <v>943</v>
      </c>
      <c r="B17" s="3531"/>
      <c r="C17" s="3531"/>
      <c r="D17" s="3531"/>
    </row>
    <row r="18" spans="1:4" ht="15.75" customHeight="1">
      <c r="A18" s="3529" t="str">
        <f>IF(项目基本情况!B8="抵押",结果表!K120,"——")</f>
        <v>故，本次评估不存在估价师知悉的法定优先受偿款</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9"/>
      <c r="C20" s="3529"/>
      <c r="D20" s="3529"/>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2"/>
      <c r="C21" s="3532"/>
      <c r="D21" s="3532"/>
    </row>
    <row r="22" spans="1:4" ht="18.75" customHeight="1">
      <c r="A22" s="3533" t="s">
        <v>944</v>
      </c>
      <c r="B22" s="3533"/>
      <c r="C22" s="3533"/>
      <c r="D22" s="3533"/>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30">
        <v>42551</v>
      </c>
      <c r="D31" s="35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43" t="s">
        <v>955</v>
      </c>
      <c r="B15" s="3538" t="s">
        <v>109</v>
      </c>
      <c r="C15" s="3539"/>
    </row>
    <row r="16" spans="1:7" ht="13.5">
      <c r="A16" s="3544"/>
      <c r="B16" s="3538" t="s">
        <v>42</v>
      </c>
      <c r="C16" s="3539"/>
    </row>
    <row r="17" spans="1:3" ht="13.5">
      <c r="A17" s="3544"/>
      <c r="B17" s="3541" t="s">
        <v>956</v>
      </c>
      <c r="C17" s="1528" t="s">
        <v>955</v>
      </c>
    </row>
    <row r="18" spans="1:3" ht="13.5">
      <c r="A18" s="3544"/>
      <c r="B18" s="3541"/>
      <c r="C18" s="1528" t="s">
        <v>957</v>
      </c>
    </row>
    <row r="19" spans="1:3" ht="13.5">
      <c r="A19" s="3544"/>
      <c r="B19" s="3541"/>
      <c r="C19" s="1528" t="s">
        <v>958</v>
      </c>
    </row>
    <row r="20" spans="1:3" ht="13.5">
      <c r="A20" s="3545"/>
      <c r="B20" s="3540" t="s">
        <v>959</v>
      </c>
      <c r="C20" s="3539"/>
    </row>
    <row r="21" spans="1:3" ht="13.5">
      <c r="A21" s="1529" t="s">
        <v>960</v>
      </c>
      <c r="B21" s="1530"/>
      <c r="C21" s="1531"/>
    </row>
    <row r="22" spans="1:3" ht="13.5">
      <c r="A22" s="3542" t="s">
        <v>961</v>
      </c>
      <c r="B22" s="3540" t="s">
        <v>962</v>
      </c>
      <c r="C22" s="3539"/>
    </row>
    <row r="23" spans="1:3" ht="13.5">
      <c r="A23" s="3542"/>
      <c r="B23" s="3540" t="s">
        <v>963</v>
      </c>
      <c r="C23" s="3539"/>
    </row>
    <row r="24" spans="1:3" ht="13.5">
      <c r="A24" s="3542"/>
      <c r="B24" s="3540" t="s">
        <v>964</v>
      </c>
      <c r="C24" s="3539"/>
    </row>
    <row r="25" spans="1:3" ht="13.5">
      <c r="A25" s="3542"/>
      <c r="B25" s="3541" t="s">
        <v>965</v>
      </c>
      <c r="C25" s="1528" t="s">
        <v>966</v>
      </c>
    </row>
    <row r="26" spans="1:3" ht="13.5">
      <c r="A26" s="3542"/>
      <c r="B26" s="3541"/>
      <c r="C26" s="1528" t="s">
        <v>967</v>
      </c>
    </row>
    <row r="27" spans="1:3" ht="13.5">
      <c r="A27" s="3542"/>
      <c r="B27" s="3541"/>
      <c r="C27" s="1528" t="s">
        <v>968</v>
      </c>
    </row>
    <row r="28" spans="1:3" ht="13.5">
      <c r="A28" s="3542"/>
      <c r="B28" s="3541"/>
      <c r="C28" s="1528" t="s">
        <v>969</v>
      </c>
    </row>
    <row r="29" spans="1:3" ht="13.5">
      <c r="A29" s="3542"/>
      <c r="B29" s="3541"/>
      <c r="C29" s="1528" t="s">
        <v>970</v>
      </c>
    </row>
    <row r="30" spans="1:3" ht="13.5">
      <c r="A30" s="3542"/>
      <c r="B30" s="3541"/>
      <c r="C30" s="1528" t="s">
        <v>971</v>
      </c>
    </row>
    <row r="31" spans="1:3" ht="13.5">
      <c r="A31" s="3542"/>
      <c r="B31" s="3541"/>
      <c r="C31" s="1528" t="s">
        <v>972</v>
      </c>
    </row>
    <row r="32" spans="1:3" ht="13.5">
      <c r="A32" s="3542"/>
      <c r="B32" s="3541"/>
      <c r="C32" s="1528" t="s">
        <v>973</v>
      </c>
    </row>
    <row r="33" spans="1:3" ht="13.5">
      <c r="A33" s="3542"/>
      <c r="B33" s="3541"/>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45463</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6" t="s">
        <v>2155</v>
      </c>
      <c r="B17" s="3546"/>
      <c r="C17" s="3546"/>
      <c r="D17" s="3546"/>
      <c r="E17" s="3546"/>
      <c r="F17" s="3546"/>
      <c r="G17" s="3546"/>
      <c r="H17" s="3546"/>
    </row>
    <row r="18" spans="1:8" ht="24" customHeight="1">
      <c r="A18" s="3547" t="s">
        <v>2156</v>
      </c>
      <c r="B18" s="3547"/>
      <c r="C18" s="3547"/>
      <c r="D18" s="2339"/>
      <c r="E18" s="3548" t="s">
        <v>2157</v>
      </c>
      <c r="F18" s="3547"/>
      <c r="G18" s="3547"/>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2024-06-20T03:00:27Z</dcterms:modified>
</cp:coreProperties>
</file>