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汇总）" sheetId="70" r:id="rId21"/>
    <sheet name="收益法-办公" sheetId="87" r:id="rId22"/>
    <sheet name="收益法-商业" sheetId="15" r:id="rId23"/>
    <sheet name="比较法-商业" sheetId="33" state="hidden" r:id="rId24"/>
    <sheet name="成本法 (元)" sheetId="69" state="hidden" r:id="rId25"/>
    <sheet name="收益法 (元)" sheetId="67" state="hidden" r:id="rId26"/>
    <sheet name="收益法-酒店模型" sheetId="77"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收益法-车库" sheetId="88" r:id="rId34"/>
    <sheet name="基准地价（汇总）" sheetId="76" r:id="rId35"/>
    <sheet name="基准地价修正-办公" sheetId="43" r:id="rId36"/>
    <sheet name="基准地价修正-商业" sheetId="86"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案例信息" sheetId="80" state="hidden" r:id="rId43"/>
    <sheet name="结果表-6号楼" sheetId="85" state="hidden" r:id="rId44"/>
    <sheet name="成本法-6号楼" sheetId="83" state="hidden" r:id="rId45"/>
    <sheet name="收益法-6号楼" sheetId="82" state="hidden" r:id="rId46"/>
    <sheet name="基准地价修正 (2)" sheetId="84" state="hidden" r:id="rId47"/>
    <sheet name="区片价" sheetId="44" r:id="rId48"/>
    <sheet name="因素修正幅度" sheetId="65" state="hidden" r:id="rId49"/>
    <sheet name="区片价（范围）" sheetId="75" state="hidden" r:id="rId50"/>
    <sheet name="地价-分区" sheetId="79" r:id="rId51"/>
    <sheet name="地价" sheetId="71" state="hidden" r:id="rId52"/>
    <sheet name="存贷款利率" sheetId="73" r:id="rId53"/>
    <sheet name="Sheet1" sheetId="89" r:id="rId54"/>
  </sheets>
  <externalReferences>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24">'成本法 (元)'!$A$1:$G$57</definedName>
    <definedName name="_xlnm.Print_Area" localSheetId="44">'成本法-6号楼'!$A$1:$G$57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6">'基准地价修正 (2)'!$A$1:$J$44,'基准地价修正 (2)'!$A$47:$H$101,'基准地价修正 (2)'!$R$1:$V$16</definedName>
    <definedName name="_xlnm.Print_Area" localSheetId="35">'基准地价修正-办公'!$A$1:$J$44,'基准地价修正-办公'!$A$47:$H$101,'基准地价修正-办公'!$R$1:$V$16</definedName>
    <definedName name="_xlnm.Print_Area" localSheetId="3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43">'结果表-6号楼'!$A$1:$I$127</definedName>
    <definedName name="_xlnm.Print_Area" localSheetId="25">'收益法 (元)'!$A$1:$F$43,'收益法 (元)'!$H$3:$M$29,'收益法 (元)'!$A$45:$F$71,'收益法 (元)'!$I$46:$N$65</definedName>
    <definedName name="_xlnm.Print_Area" localSheetId="20">'收益法（汇总）'!$A$1:$F$13</definedName>
    <definedName name="_xlnm.Print_Area" localSheetId="45">'收益法-6号楼'!$A$1:$F$43,'收益法-6号楼'!$H$3:$M$29,'收益法-6号楼'!$A$46:$F$71,'收益法-6号楼'!$I$46:$N$65</definedName>
    <definedName name="_xlnm.Print_Area" localSheetId="21">'收益法-办公'!$A$1:$F$43,'收益法-办公'!$H$3:$M$29,'收益法-办公'!$A$46:$F$71,'收益法-办公'!$I$46:$N$65</definedName>
    <definedName name="_xlnm.Print_Area" localSheetId="3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 (2)'!$Q$19:$AD$19</definedName>
    <definedName name="季度" localSheetId="36">'基准地价修正-商业'!$Q$19:$AD$19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 i="86" l="1"/>
  <c r="U2" i="86"/>
  <c r="D42" i="43" l="1"/>
  <c r="L14" i="1"/>
  <c r="L8" i="1"/>
  <c r="L7" i="1"/>
  <c r="L6" i="1"/>
  <c r="M27" i="1"/>
  <c r="M26" i="1" s="1"/>
  <c r="M25" i="1"/>
  <c r="M23" i="1" s="1"/>
  <c r="M24" i="1"/>
  <c r="N14" i="1" l="1"/>
  <c r="M15" i="3"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D33" i="86"/>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F20" i="6"/>
  <c r="F19" i="6"/>
  <c r="C76" i="88"/>
  <c r="C76" i="87"/>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M26" i="88"/>
  <c r="F42" i="87"/>
  <c r="M8" i="88"/>
  <c r="L47" i="87"/>
  <c r="M9" i="87"/>
  <c r="M27" i="88"/>
  <c r="M24" i="87"/>
  <c r="F8" i="87"/>
  <c r="L47" i="88"/>
  <c r="M28" i="87"/>
  <c r="F40" i="88"/>
  <c r="F13" i="87"/>
  <c r="M23" i="87"/>
  <c r="F37" i="88"/>
  <c r="F26" i="87"/>
  <c r="F16" i="87"/>
  <c r="F13" i="88"/>
  <c r="F6" i="87"/>
  <c r="F36" i="88"/>
  <c r="F9" i="88"/>
  <c r="F36" i="87"/>
  <c r="J15" i="88"/>
  <c r="F8" i="88"/>
  <c r="F38" i="87"/>
  <c r="F6" i="88"/>
  <c r="F26" i="88"/>
  <c r="M24" i="88"/>
  <c r="M28" i="88"/>
  <c r="J15" i="87"/>
  <c r="F38" i="88"/>
  <c r="F16" i="88"/>
  <c r="M22" i="87"/>
  <c r="F9" i="87"/>
  <c r="M26" i="87"/>
  <c r="M23" i="88"/>
  <c r="F7" i="87"/>
  <c r="F7" i="88"/>
  <c r="M22" i="88"/>
  <c r="M6" i="87"/>
  <c r="M6" i="88"/>
  <c r="M8" i="87"/>
  <c r="M27" i="87"/>
  <c r="M9" i="88"/>
  <c r="F40" i="87"/>
  <c r="F42" i="88"/>
  <c r="F37" i="87"/>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3" i="84"/>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C6" i="83"/>
  <c r="J26" i="84"/>
  <c r="E26" i="84"/>
  <c r="N2" i="84"/>
  <c r="S5" i="84"/>
  <c r="S3" i="84"/>
  <c r="M10" i="84"/>
  <c r="C18" i="85"/>
  <c r="D18" i="85" s="1"/>
  <c r="D121" i="85"/>
  <c r="K120" i="85"/>
  <c r="C94" i="85"/>
  <c r="H109" i="85"/>
  <c r="D1" i="84"/>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18" i="1" l="1"/>
  <c r="N20"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5" s="1"/>
  <c r="B118" i="85" s="1"/>
  <c r="E21" i="6"/>
  <c r="K8" i="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AZ343" i="3"/>
  <c r="BK5" i="3"/>
  <c r="BI5" i="3"/>
  <c r="BG5" i="3"/>
  <c r="BE5" i="3"/>
  <c r="BC5"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14" i="74" s="1"/>
  <c r="BL17" i="3"/>
  <c r="AZ17" i="3" s="1"/>
  <c r="BL13" i="3"/>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K7"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88"/>
  <c r="B13" i="76"/>
  <c r="M29" i="88"/>
  <c r="F7" i="73"/>
  <c r="F4" i="73"/>
  <c r="B8" i="76"/>
  <c r="D5" i="73"/>
  <c r="E9" i="76"/>
  <c r="B10" i="76"/>
  <c r="E13" i="76"/>
  <c r="F20" i="31"/>
  <c r="E11" i="76"/>
  <c r="F5" i="73"/>
  <c r="AO13" i="1"/>
  <c r="D7" i="73"/>
  <c r="E12" i="76"/>
  <c r="D4" i="73"/>
  <c r="D6" i="73"/>
  <c r="F3" i="73"/>
  <c r="E2" i="68"/>
  <c r="E2" i="69"/>
  <c r="E10" i="76"/>
  <c r="B9" i="76"/>
  <c r="B11" i="76"/>
  <c r="E8" i="76"/>
  <c r="F6" i="73"/>
  <c r="D3" i="73"/>
  <c r="B12" i="76"/>
  <c r="C7" i="35" l="1"/>
  <c r="C48" i="35" s="1"/>
  <c r="D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M7" i="1"/>
  <c r="C7" i="37"/>
  <c r="C52" i="37" s="1"/>
  <c r="D52" i="37" s="1"/>
  <c r="E52" i="37" s="1"/>
  <c r="F52" i="37" s="1"/>
  <c r="G52" i="37" s="1"/>
  <c r="H52" i="37" s="1"/>
  <c r="I52" i="37" s="1"/>
  <c r="J52" i="37" s="1"/>
  <c r="K52" i="37" s="1"/>
  <c r="L52" i="37" s="1"/>
  <c r="M52" i="37" s="1"/>
  <c r="N52" i="37" s="1"/>
  <c r="O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F28" i="6"/>
  <c r="BA15" i="3"/>
  <c r="AZ18" i="3"/>
  <c r="AZ19" i="3"/>
  <c r="H5" i="3"/>
  <c r="F29" i="6"/>
  <c r="F6" i="1"/>
  <c r="H69" i="43"/>
  <c r="E115" i="33"/>
  <c r="F115" i="33" s="1"/>
  <c r="G115" i="33" s="1"/>
  <c r="H115" i="33" s="1"/>
  <c r="I115" i="33" s="1"/>
  <c r="J115" i="33" s="1"/>
  <c r="K115" i="33" s="1"/>
  <c r="L115" i="33" s="1"/>
  <c r="M115" i="33" s="1"/>
  <c r="F27" i="33"/>
  <c r="AA27" i="33" s="1"/>
  <c r="C18" i="9"/>
  <c r="D18" i="9" s="1"/>
  <c r="G5" i="3"/>
  <c r="B3" i="3" s="1"/>
  <c r="E434" i="3" s="1"/>
  <c r="BB5" i="3"/>
  <c r="E14" i="6" s="1"/>
  <c r="E63"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48" i="35"/>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23" i="15"/>
  <c r="M28" i="82"/>
  <c r="M8" i="82"/>
  <c r="M6" i="67"/>
  <c r="J15" i="67"/>
  <c r="F37" i="82"/>
  <c r="F36" i="15"/>
  <c r="C76" i="67"/>
  <c r="F16" i="82"/>
  <c r="M26" i="15"/>
  <c r="M24" i="15"/>
  <c r="M27" i="82"/>
  <c r="L48" i="82"/>
  <c r="L48" i="15"/>
  <c r="F38" i="67"/>
  <c r="L47" i="15"/>
  <c r="F40" i="15"/>
  <c r="M26" i="67"/>
  <c r="M9" i="67"/>
  <c r="F36" i="67"/>
  <c r="F37" i="67"/>
  <c r="F8" i="15"/>
  <c r="F38" i="82"/>
  <c r="F6" i="15"/>
  <c r="F16" i="67"/>
  <c r="F13" i="15"/>
  <c r="L47" i="82"/>
  <c r="M26" i="82"/>
  <c r="M9" i="82"/>
  <c r="L48" i="87"/>
  <c r="M8" i="67"/>
  <c r="M23" i="82"/>
  <c r="J15" i="15"/>
  <c r="F26" i="67"/>
  <c r="C36" i="83"/>
  <c r="C76" i="82"/>
  <c r="F13" i="82"/>
  <c r="F36" i="82"/>
  <c r="F9" i="15"/>
  <c r="G1" i="73"/>
  <c r="M9" i="15"/>
  <c r="M28" i="67"/>
  <c r="F40" i="67"/>
  <c r="F6" i="67"/>
  <c r="M8" i="15"/>
  <c r="L47" i="67"/>
  <c r="M24" i="82"/>
  <c r="F27" i="83"/>
  <c r="M22" i="82"/>
  <c r="F9" i="82"/>
  <c r="F37" i="15"/>
  <c r="F13" i="67"/>
  <c r="M29" i="82"/>
  <c r="M6" i="15"/>
  <c r="F8" i="67"/>
  <c r="L48" i="88"/>
  <c r="F9" i="67"/>
  <c r="F26" i="82"/>
  <c r="M6" i="82"/>
  <c r="F40" i="82"/>
  <c r="M23" i="67"/>
  <c r="F8" i="82"/>
  <c r="M22" i="15"/>
  <c r="F42" i="82"/>
  <c r="F42" i="15"/>
  <c r="M24" i="67"/>
  <c r="F42" i="67"/>
  <c r="L48" i="67"/>
  <c r="C16" i="88"/>
  <c r="F43" i="82"/>
  <c r="M22" i="67"/>
  <c r="F16" i="15"/>
  <c r="C76" i="15"/>
  <c r="M28" i="15"/>
  <c r="F6" i="82"/>
  <c r="D9" i="83"/>
  <c r="F26" i="15"/>
  <c r="J15" i="82"/>
  <c r="F7" i="82"/>
  <c r="F38" i="15"/>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BL5" i="3"/>
  <c r="AZ15" i="3"/>
  <c r="M11" i="88"/>
  <c r="J10" i="88" s="1"/>
  <c r="J5" i="88" s="1"/>
  <c r="F11" i="88"/>
  <c r="M11" i="87"/>
  <c r="J10" i="87" s="1"/>
  <c r="J5" i="87" s="1"/>
  <c r="F11" i="87"/>
  <c r="U2" i="43"/>
  <c r="D33" i="43"/>
  <c r="D1" i="43" s="1"/>
  <c r="AZ5" i="3"/>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E91" i="3"/>
  <c r="C77" i="85"/>
  <c r="C74" i="85" s="1"/>
  <c r="C28" i="82"/>
  <c r="C48" i="83"/>
  <c r="C30" i="83"/>
  <c r="J53" i="82"/>
  <c r="J57" i="82"/>
  <c r="J55" i="82" s="1"/>
  <c r="J58" i="82" s="1"/>
  <c r="Q50" i="82" s="1"/>
  <c r="M59" i="82"/>
  <c r="I54" i="82"/>
  <c r="L59" i="82"/>
  <c r="N59" i="82"/>
  <c r="L56" i="82"/>
  <c r="Q60" i="82"/>
  <c r="L60" i="82"/>
  <c r="G6" i="1"/>
  <c r="I24" i="84"/>
  <c r="C24" i="84" s="1"/>
  <c r="C31" i="12"/>
  <c r="P28" i="84"/>
  <c r="M24" i="84"/>
  <c r="O23" i="84"/>
  <c r="C23" i="84"/>
  <c r="P26" i="84"/>
  <c r="P29" i="84"/>
  <c r="P25" i="84"/>
  <c r="P27" i="84"/>
  <c r="L57" i="82"/>
  <c r="M11" i="82"/>
  <c r="J10" i="82" s="1"/>
  <c r="J5" i="82" s="1"/>
  <c r="F11" i="82"/>
  <c r="F65" i="67"/>
  <c r="N59" i="67"/>
  <c r="L59" i="67"/>
  <c r="Q74" i="67" s="1"/>
  <c r="M59" i="67"/>
  <c r="F51" i="67"/>
  <c r="C27" i="67"/>
  <c r="F66" i="67"/>
  <c r="F68" i="67"/>
  <c r="F64" i="67"/>
  <c r="Q71" i="67"/>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AC7" i="36" s="1"/>
  <c r="V36" i="36" s="1"/>
  <c r="I36" i="36" s="1"/>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T49" i="34" s="1"/>
  <c r="G49" i="34" s="1"/>
  <c r="E67" i="39"/>
  <c r="F67" i="39" s="1"/>
  <c r="J7" i="34"/>
  <c r="W7" i="34" s="1"/>
  <c r="F7" i="34"/>
  <c r="S7" i="34" s="1"/>
  <c r="AA26" i="35"/>
  <c r="S26" i="35"/>
  <c r="AC26" i="35"/>
  <c r="W26" i="35"/>
  <c r="AB26" i="35"/>
  <c r="U26" i="35"/>
  <c r="C9" i="69"/>
  <c r="C9" i="68"/>
  <c r="E72" i="43"/>
  <c r="B70" i="43" s="1"/>
  <c r="AY6" i="3"/>
  <c r="E3" i="6"/>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C16" i="15"/>
  <c r="F43" i="67"/>
  <c r="F7" i="15"/>
  <c r="M29" i="67"/>
  <c r="F7" i="67"/>
  <c r="F43" i="15"/>
  <c r="C16" i="82"/>
  <c r="M29" i="15"/>
  <c r="F43" i="87"/>
  <c r="M29" i="87"/>
  <c r="Q61" i="87" l="1"/>
  <c r="Q74" i="87"/>
  <c r="Q60" i="87"/>
  <c r="Q73" i="87"/>
  <c r="C41" i="86"/>
  <c r="T6" i="86"/>
  <c r="V6" i="86" s="1"/>
  <c r="T10" i="86"/>
  <c r="V10" i="86" s="1"/>
  <c r="T9" i="86"/>
  <c r="V9" i="86" s="1"/>
  <c r="T11" i="86"/>
  <c r="V11" i="86" s="1"/>
  <c r="T2" i="86"/>
  <c r="V2" i="86" s="1"/>
  <c r="C38" i="86"/>
  <c r="T12" i="86"/>
  <c r="V12" i="86" s="1"/>
  <c r="T7" i="86"/>
  <c r="V7" i="86" s="1"/>
  <c r="T13" i="86"/>
  <c r="V13" i="86" s="1"/>
  <c r="T4" i="86"/>
  <c r="V4" i="86" s="1"/>
  <c r="T3" i="86"/>
  <c r="V3" i="86" s="1"/>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7" i="67"/>
  <c r="J6" i="67" s="1"/>
  <c r="J18" i="67" s="1"/>
  <c r="F50" i="67"/>
  <c r="C49" i="67" s="1"/>
  <c r="C6" i="67"/>
  <c r="C32" i="67" s="1"/>
  <c r="F71" i="67"/>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J24" i="82"/>
  <c r="G16" i="1"/>
  <c r="F10" i="39" s="1"/>
  <c r="S10" i="39" s="1"/>
  <c r="E27" i="6"/>
  <c r="K26" i="6" s="1"/>
  <c r="M26" i="6" s="1"/>
  <c r="I26" i="6" s="1"/>
  <c r="S26" i="6" s="1"/>
  <c r="E56" i="39"/>
  <c r="K16" i="1"/>
  <c r="B29" i="1" s="1"/>
  <c r="E61" i="39"/>
  <c r="H16" i="1"/>
  <c r="D89" i="43"/>
  <c r="J89" i="43"/>
  <c r="J83" i="43"/>
  <c r="D83" i="43"/>
  <c r="D86" i="43"/>
  <c r="J86" i="43"/>
  <c r="D90" i="43"/>
  <c r="J90" i="43"/>
  <c r="D88" i="43"/>
  <c r="J88" i="43"/>
  <c r="D87" i="43"/>
  <c r="J87" i="43"/>
  <c r="D84" i="43"/>
  <c r="J84" i="43"/>
  <c r="F71" i="15"/>
  <c r="C6" i="15"/>
  <c r="C32" i="15" s="1"/>
  <c r="M7" i="15"/>
  <c r="J6" i="15" s="1"/>
  <c r="J18" i="15" s="1"/>
  <c r="F50" i="15"/>
  <c r="C49" i="15" s="1"/>
  <c r="Q16" i="1"/>
  <c r="Q61" i="15"/>
  <c r="Q52" i="15"/>
  <c r="Q73" i="15"/>
  <c r="F1" i="15"/>
  <c r="E51" i="40"/>
  <c r="E16" i="6"/>
  <c r="E60" i="40"/>
  <c r="E56" i="40"/>
  <c r="E62" i="39"/>
  <c r="AC6" i="3"/>
  <c r="Q73" i="67"/>
  <c r="Q52" i="67"/>
  <c r="H6" i="3"/>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6" i="1"/>
  <c r="C16" i="67"/>
  <c r="M27" i="67"/>
  <c r="AE8" i="1"/>
  <c r="M27" i="15"/>
  <c r="C16" i="87"/>
  <c r="F41" i="82"/>
  <c r="AE7" i="1"/>
  <c r="G37" i="86" l="1"/>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K21" i="6"/>
  <c r="S8" i="1" s="1"/>
  <c r="V48" i="33"/>
  <c r="I48" i="33" s="1"/>
  <c r="I52" i="33" s="1"/>
  <c r="J52" i="33" s="1"/>
  <c r="C10" i="67"/>
  <c r="C5" i="67" s="1"/>
  <c r="C38" i="67" s="1"/>
  <c r="J5" i="67"/>
  <c r="J24" i="67" s="1"/>
  <c r="C48" i="67"/>
  <c r="C60" i="67" s="1"/>
  <c r="M16" i="1"/>
  <c r="L16" i="1" s="1"/>
  <c r="C48" i="82"/>
  <c r="C66" i="82" s="1"/>
  <c r="K24" i="6"/>
  <c r="K22" i="6"/>
  <c r="M22" i="6" s="1"/>
  <c r="I22" i="6" s="1"/>
  <c r="S22" i="6" s="1"/>
  <c r="E65" i="39"/>
  <c r="E33" i="84"/>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AA10" i="39"/>
  <c r="J10" i="40"/>
  <c r="AC10" i="40" s="1"/>
  <c r="F10" i="40"/>
  <c r="S10" i="40" s="1"/>
  <c r="J10" i="39"/>
  <c r="W10" i="39" s="1"/>
  <c r="H10" i="39"/>
  <c r="U10" i="39" s="1"/>
  <c r="H10" i="40"/>
  <c r="K23" i="6"/>
  <c r="K19" i="6"/>
  <c r="S6" i="1" s="1"/>
  <c r="K20" i="6"/>
  <c r="S7" i="1" s="1"/>
  <c r="E31" i="6"/>
  <c r="K25" i="6"/>
  <c r="M25" i="6" s="1"/>
  <c r="I25" i="6" s="1"/>
  <c r="S25" i="6" s="1"/>
  <c r="E83" i="43"/>
  <c r="B81" i="43" s="1"/>
  <c r="C10" i="15"/>
  <c r="C5" i="15" s="1"/>
  <c r="C38" i="15" s="1"/>
  <c r="J5" i="15"/>
  <c r="J24" i="15" s="1"/>
  <c r="C48" i="15"/>
  <c r="C66" i="15" s="1"/>
  <c r="F27" i="69"/>
  <c r="F27" i="11"/>
  <c r="F28" i="12"/>
  <c r="C29" i="12" s="1"/>
  <c r="D28" i="12" s="1"/>
  <c r="E6" i="3"/>
  <c r="E49" i="34"/>
  <c r="E54" i="34" s="1"/>
  <c r="F54" i="34" s="1"/>
  <c r="E50" i="43"/>
  <c r="B48" i="43" s="1"/>
  <c r="C28" i="43" s="1"/>
  <c r="T10" i="43" s="1"/>
  <c r="V10" i="43" s="1"/>
  <c r="B1" i="74"/>
  <c r="I53" i="34"/>
  <c r="J53" i="34" s="1"/>
  <c r="M24" i="6"/>
  <c r="I24" i="6" s="1"/>
  <c r="S24" i="6" s="1"/>
  <c r="S11" i="1"/>
  <c r="E11" i="70" s="1"/>
  <c r="S9" i="1"/>
  <c r="S10" i="1"/>
  <c r="E10" i="70" s="1"/>
  <c r="S12" i="1"/>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H67" i="39"/>
  <c r="G69" i="39"/>
  <c r="D11" i="71"/>
  <c r="C10" i="7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F27" i="68"/>
  <c r="D10" i="68"/>
  <c r="F41" i="88"/>
  <c r="F41" i="67"/>
  <c r="C17" i="87"/>
  <c r="F41" i="15"/>
  <c r="C17" i="15"/>
  <c r="F41" i="87"/>
  <c r="C14" i="67"/>
  <c r="C17" i="67"/>
  <c r="C17" i="88"/>
  <c r="D10" i="83"/>
  <c r="C17" i="82"/>
  <c r="J29" i="88" l="1"/>
  <c r="F69" i="88"/>
  <c r="R49" i="33"/>
  <c r="F69" i="67"/>
  <c r="AR6" i="1"/>
  <c r="E8" i="70"/>
  <c r="J29" i="87"/>
  <c r="F69" i="87"/>
  <c r="I53" i="33"/>
  <c r="J53" i="33" s="1"/>
  <c r="N16" i="1"/>
  <c r="F50" i="83" s="1"/>
  <c r="G53" i="33"/>
  <c r="H53" i="33" s="1"/>
  <c r="AR8" i="1"/>
  <c r="M21" i="6"/>
  <c r="I21" i="6" s="1"/>
  <c r="S21" i="6" s="1"/>
  <c r="T8" i="1"/>
  <c r="AQ8" i="1"/>
  <c r="M20" i="6"/>
  <c r="I20" i="6" s="1"/>
  <c r="H20" i="6" s="1"/>
  <c r="R20" i="6" s="1"/>
  <c r="R7" i="1" s="1"/>
  <c r="C66" i="67"/>
  <c r="C60" i="82"/>
  <c r="T6" i="1"/>
  <c r="K27" i="6"/>
  <c r="M23" i="6"/>
  <c r="I23" i="6" s="1"/>
  <c r="S23" i="6" s="1"/>
  <c r="C10" i="83"/>
  <c r="C8" i="83" s="1"/>
  <c r="D19" i="83"/>
  <c r="D37" i="83" s="1"/>
  <c r="C37" i="83" s="1"/>
  <c r="S20" i="6"/>
  <c r="L18" i="85"/>
  <c r="M19" i="85"/>
  <c r="C118" i="85" s="1"/>
  <c r="M19" i="6"/>
  <c r="I19" i="6" s="1"/>
  <c r="L18" i="9" s="1"/>
  <c r="E7" i="70"/>
  <c r="W10" i="40"/>
  <c r="AB10" i="39"/>
  <c r="C31" i="84"/>
  <c r="C30" i="84"/>
  <c r="B2" i="84" s="1"/>
  <c r="B3" i="84" s="1"/>
  <c r="O37" i="43"/>
  <c r="P37" i="84"/>
  <c r="O37" i="84"/>
  <c r="N37" i="84"/>
  <c r="M37" i="84"/>
  <c r="Q37" i="84"/>
  <c r="Q37" i="43"/>
  <c r="M37" i="43"/>
  <c r="N37" i="43"/>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H25" i="6"/>
  <c r="R25" i="6" s="1"/>
  <c r="R12" i="1" s="1"/>
  <c r="C18" i="67"/>
  <c r="C15" i="67"/>
  <c r="C38" i="69"/>
  <c r="C35" i="69"/>
  <c r="E12" i="70"/>
  <c r="F34" i="11"/>
  <c r="F11" i="12"/>
  <c r="S16" i="1"/>
  <c r="E9" i="70"/>
  <c r="AR9" i="1"/>
  <c r="AQ9" i="1"/>
  <c r="T9" i="1"/>
  <c r="AQ11" i="1"/>
  <c r="AR11" i="1"/>
  <c r="T11" i="1"/>
  <c r="AR12" i="1"/>
  <c r="T12" i="1"/>
  <c r="AQ12" i="1"/>
  <c r="AQ10" i="1"/>
  <c r="T10" i="1"/>
  <c r="AR10" i="1"/>
  <c r="AR7" i="1"/>
  <c r="AQ7" i="1"/>
  <c r="T7" i="1"/>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8"/>
  <c r="M21" i="82"/>
  <c r="F35" i="82"/>
  <c r="C34" i="83"/>
  <c r="C14" i="87"/>
  <c r="C14" i="82"/>
  <c r="C14" i="15"/>
  <c r="C15" i="87" l="1"/>
  <c r="C18" i="87"/>
  <c r="C18" i="88"/>
  <c r="C15" i="88"/>
  <c r="H23" i="6"/>
  <c r="R23" i="6" s="1"/>
  <c r="R10" i="1" s="1"/>
  <c r="H21" i="6"/>
  <c r="R21" i="6" s="1"/>
  <c r="R8" i="1" s="1"/>
  <c r="M27" i="6"/>
  <c r="E2" i="70"/>
  <c r="C18" i="82"/>
  <c r="C15" i="82"/>
  <c r="C35" i="83"/>
  <c r="C38" i="83"/>
  <c r="L19" i="85"/>
  <c r="J20" i="82"/>
  <c r="J17" i="82" s="1"/>
  <c r="C34" i="82"/>
  <c r="C31" i="82" s="1"/>
  <c r="F63" i="82"/>
  <c r="C62" i="82" s="1"/>
  <c r="C59" i="82" s="1"/>
  <c r="C31" i="11"/>
  <c r="G42" i="43"/>
  <c r="I42" i="43" s="1"/>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11" i="40" s="1"/>
  <c r="I6" i="6"/>
  <c r="I69" i="39"/>
  <c r="J67" i="39"/>
  <c r="D9" i="71"/>
  <c r="I63" i="40"/>
  <c r="H65" i="40"/>
  <c r="I58" i="21"/>
  <c r="J58" i="21" s="1"/>
  <c r="K58" i="21" s="1"/>
  <c r="L58" i="21" s="1"/>
  <c r="M58" i="21" s="1"/>
  <c r="N58" i="21" s="1"/>
  <c r="O58" i="21" s="1"/>
  <c r="H7" i="21" s="1"/>
  <c r="J48" i="35"/>
  <c r="M21" i="88"/>
  <c r="F35" i="88"/>
  <c r="C19" i="88" l="1"/>
  <c r="C20" i="88" s="1"/>
  <c r="C26" i="88" s="1"/>
  <c r="C19" i="87"/>
  <c r="C20" i="87" s="1"/>
  <c r="C26" i="87" s="1"/>
  <c r="G3" i="43"/>
  <c r="H26" i="43" s="1"/>
  <c r="G3" i="86"/>
  <c r="J20" i="88"/>
  <c r="J17" i="88" s="1"/>
  <c r="F63" i="88"/>
  <c r="C62" i="88" s="1"/>
  <c r="C59" i="88" s="1"/>
  <c r="C34" i="88"/>
  <c r="C31" i="88" s="1"/>
  <c r="C19" i="82"/>
  <c r="C20" i="82" s="1"/>
  <c r="C26" i="82" s="1"/>
  <c r="C33" i="83"/>
  <c r="C39" i="83" s="1"/>
  <c r="N94" i="46"/>
  <c r="N370" i="46"/>
  <c r="B116" i="43"/>
  <c r="F11" i="40"/>
  <c r="J11" i="40"/>
  <c r="H11" i="40"/>
  <c r="F7" i="21"/>
  <c r="S7" i="21" s="1"/>
  <c r="J7" i="21"/>
  <c r="W7" i="21" s="1"/>
  <c r="D7" i="71"/>
  <c r="C6" i="71"/>
  <c r="C23" i="67"/>
  <c r="C29" i="67" s="1"/>
  <c r="J59" i="67" s="1"/>
  <c r="J60" i="67" s="1"/>
  <c r="Q48" i="67" s="1"/>
  <c r="C19" i="15"/>
  <c r="C20" i="15" s="1"/>
  <c r="C26" i="15" s="1"/>
  <c r="C33" i="68"/>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39" i="68" l="1"/>
  <c r="C43" i="68" s="1"/>
  <c r="C91" i="9"/>
  <c r="C23" i="88"/>
  <c r="C29" i="88" s="1"/>
  <c r="F26" i="43"/>
  <c r="D26" i="43" s="1"/>
  <c r="C25" i="43" s="1"/>
  <c r="E26" i="43"/>
  <c r="G26" i="43"/>
  <c r="J26" i="43"/>
  <c r="C23" i="87"/>
  <c r="C29" i="87" s="1"/>
  <c r="Z7" i="43"/>
  <c r="B116" i="86"/>
  <c r="H26" i="86"/>
  <c r="F26" i="86"/>
  <c r="E26" i="86"/>
  <c r="G26" i="86"/>
  <c r="Z7" i="86"/>
  <c r="J26" i="86"/>
  <c r="L57" i="88"/>
  <c r="L60" i="88" s="1"/>
  <c r="C42" i="83"/>
  <c r="C46" i="83"/>
  <c r="C45" i="83" s="1"/>
  <c r="C43" i="83"/>
  <c r="C23" i="82"/>
  <c r="C29" i="82"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L67" i="39"/>
  <c r="K69" i="39"/>
  <c r="J65" i="40"/>
  <c r="K63" i="40"/>
  <c r="I52" i="21"/>
  <c r="J52" i="21" s="1"/>
  <c r="U7" i="35"/>
  <c r="AB7" i="35"/>
  <c r="T38" i="35" s="1"/>
  <c r="G38" i="35" s="1"/>
  <c r="R49" i="21"/>
  <c r="G52" i="21"/>
  <c r="H52" i="21" s="1"/>
  <c r="F7" i="35"/>
  <c r="F35" i="87"/>
  <c r="F35" i="67"/>
  <c r="F35" i="15"/>
  <c r="M21" i="87"/>
  <c r="M21" i="67"/>
  <c r="M21" i="15"/>
  <c r="C92" i="9" l="1"/>
  <c r="C94" i="9"/>
  <c r="C13" i="87"/>
  <c r="C57" i="87"/>
  <c r="C64" i="87" s="1"/>
  <c r="Q49" i="87"/>
  <c r="J14" i="87"/>
  <c r="J59" i="87"/>
  <c r="J60" i="87" s="1"/>
  <c r="C36" i="87"/>
  <c r="J14" i="88"/>
  <c r="Q49" i="88"/>
  <c r="C36" i="88"/>
  <c r="J59" i="88"/>
  <c r="J60" i="88" s="1"/>
  <c r="Q48" i="88" s="1"/>
  <c r="C13" i="88"/>
  <c r="C57" i="88"/>
  <c r="C64" i="88" s="1"/>
  <c r="I121" i="86"/>
  <c r="J121" i="86" s="1"/>
  <c r="K121" i="86" s="1"/>
  <c r="L121" i="86" s="1"/>
  <c r="M121" i="86" s="1"/>
  <c r="D122" i="86"/>
  <c r="E122" i="86" s="1"/>
  <c r="F122" i="86" s="1"/>
  <c r="G122" i="86" s="1"/>
  <c r="H122" i="86" s="1"/>
  <c r="D118" i="86"/>
  <c r="E118" i="86" s="1"/>
  <c r="F118" i="86" s="1"/>
  <c r="G118" i="86" s="1"/>
  <c r="H118" i="86" s="1"/>
  <c r="B120" i="86"/>
  <c r="C120" i="86" s="1"/>
  <c r="I119" i="86"/>
  <c r="J119" i="86" s="1"/>
  <c r="K119" i="86" s="1"/>
  <c r="L119" i="86" s="1"/>
  <c r="M119" i="86" s="1"/>
  <c r="B122" i="86"/>
  <c r="C122" i="86" s="1"/>
  <c r="I122" i="86"/>
  <c r="J122" i="86" s="1"/>
  <c r="K122" i="86" s="1"/>
  <c r="L122" i="86" s="1"/>
  <c r="M122" i="86" s="1"/>
  <c r="D119" i="86"/>
  <c r="E119" i="86" s="1"/>
  <c r="F119" i="86" s="1"/>
  <c r="G119" i="86" s="1"/>
  <c r="H119" i="86" s="1"/>
  <c r="I120" i="86"/>
  <c r="J120" i="86" s="1"/>
  <c r="K120" i="86" s="1"/>
  <c r="L120" i="86" s="1"/>
  <c r="M120" i="86" s="1"/>
  <c r="D121" i="86"/>
  <c r="E121" i="86" s="1"/>
  <c r="F121" i="86" s="1"/>
  <c r="G121" i="86"/>
  <c r="H121" i="86" s="1"/>
  <c r="B119" i="86"/>
  <c r="C119" i="86" s="1"/>
  <c r="D120" i="86"/>
  <c r="E120" i="86" s="1"/>
  <c r="F120" i="86" s="1"/>
  <c r="G120" i="86" s="1"/>
  <c r="H120" i="86" s="1"/>
  <c r="B118" i="86"/>
  <c r="I118" i="86"/>
  <c r="J118" i="86" s="1"/>
  <c r="K118" i="86" s="1"/>
  <c r="L118" i="86" s="1"/>
  <c r="M118" i="86" s="1"/>
  <c r="B121" i="86"/>
  <c r="C121" i="86" s="1"/>
  <c r="D26" i="86"/>
  <c r="C25" i="86" s="1"/>
  <c r="C34" i="87"/>
  <c r="C31" i="87" s="1"/>
  <c r="F63" i="87"/>
  <c r="C62" i="87" s="1"/>
  <c r="C59" i="87" s="1"/>
  <c r="J20" i="87"/>
  <c r="J17" i="87" s="1"/>
  <c r="Q66" i="88"/>
  <c r="Q57" i="88"/>
  <c r="C41" i="83"/>
  <c r="C49" i="83" s="1"/>
  <c r="C51" i="83" s="1"/>
  <c r="Q49" i="82"/>
  <c r="J14" i="82"/>
  <c r="C57" i="82"/>
  <c r="C64" i="82" s="1"/>
  <c r="C36" i="82"/>
  <c r="J59" i="82"/>
  <c r="J60" i="82" s="1"/>
  <c r="C13" i="82"/>
  <c r="C118" i="43"/>
  <c r="D116" i="43" s="1"/>
  <c r="C33" i="43"/>
  <c r="C6" i="69"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46" i="88" l="1"/>
  <c r="J22" i="87"/>
  <c r="J13" i="87"/>
  <c r="J23" i="87" s="1"/>
  <c r="C56" i="88"/>
  <c r="C65" i="88" s="1"/>
  <c r="C58" i="88" s="1"/>
  <c r="C67" i="88" s="1"/>
  <c r="C68" i="88" s="1"/>
  <c r="Q70" i="88"/>
  <c r="C37" i="88"/>
  <c r="C30" i="88" s="1"/>
  <c r="C39" i="88" s="1"/>
  <c r="C75" i="88"/>
  <c r="J13" i="88"/>
  <c r="J23" i="88" s="1"/>
  <c r="J22" i="88"/>
  <c r="C118" i="86"/>
  <c r="D116" i="86"/>
  <c r="C33" i="86"/>
  <c r="L46" i="87"/>
  <c r="Q48" i="87"/>
  <c r="C56" i="87"/>
  <c r="C65" i="87" s="1"/>
  <c r="C58" i="87" s="1"/>
  <c r="C67" i="87" s="1"/>
  <c r="C68" i="87" s="1"/>
  <c r="C71" i="87" s="1"/>
  <c r="Q70" i="87"/>
  <c r="C75" i="87"/>
  <c r="C37" i="87"/>
  <c r="C30" i="87" s="1"/>
  <c r="C39" i="87" s="1"/>
  <c r="Q70" i="82"/>
  <c r="C75" i="82"/>
  <c r="C56" i="82"/>
  <c r="C65" i="82" s="1"/>
  <c r="C58" i="82" s="1"/>
  <c r="C67" i="82" s="1"/>
  <c r="C68" i="82" s="1"/>
  <c r="C37" i="82"/>
  <c r="C30" i="82" s="1"/>
  <c r="C39" i="82" s="1"/>
  <c r="J22" i="82"/>
  <c r="J13" i="82"/>
  <c r="J23" i="82" s="1"/>
  <c r="Q48" i="82"/>
  <c r="L46" i="82"/>
  <c r="I42" i="35"/>
  <c r="J42" i="35" s="1"/>
  <c r="C7" i="69"/>
  <c r="C5" i="69" s="1"/>
  <c r="C34" i="43"/>
  <c r="E34" i="43" s="1"/>
  <c r="C31" i="43" s="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88"/>
  <c r="L51" i="87"/>
  <c r="D2" i="21"/>
  <c r="L51" i="82"/>
  <c r="J16" i="87" l="1"/>
  <c r="J25" i="87" s="1"/>
  <c r="J16" i="88"/>
  <c r="J25" i="88" s="1"/>
  <c r="Q67" i="87"/>
  <c r="Q67" i="88"/>
  <c r="C71" i="88"/>
  <c r="Q69" i="87"/>
  <c r="Q68" i="87" s="1"/>
  <c r="C40" i="87"/>
  <c r="C46" i="87" s="1"/>
  <c r="C80" i="87"/>
  <c r="C79" i="87" s="1"/>
  <c r="C40" i="88"/>
  <c r="Q69" i="88"/>
  <c r="Q68" i="88" s="1"/>
  <c r="C80" i="88"/>
  <c r="C79" i="88" s="1"/>
  <c r="C34" i="86"/>
  <c r="E34" i="86" s="1"/>
  <c r="C31" i="86" s="1"/>
  <c r="E33" i="86"/>
  <c r="C30" i="86" s="1"/>
  <c r="C23" i="69"/>
  <c r="C20" i="69"/>
  <c r="J16" i="82"/>
  <c r="J25" i="82" s="1"/>
  <c r="Q67" i="82"/>
  <c r="C40" i="82"/>
  <c r="C46" i="82" s="1"/>
  <c r="Q69" i="82"/>
  <c r="Q68" i="82" s="1"/>
  <c r="C71" i="82"/>
  <c r="C80" i="82"/>
  <c r="C79" i="82" s="1"/>
  <c r="C7" i="83"/>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E6" i="76"/>
  <c r="E7" i="76"/>
  <c r="L51" i="67"/>
  <c r="C43" i="87" l="1"/>
  <c r="Q56" i="87"/>
  <c r="Q62" i="87" s="1"/>
  <c r="C83" i="87"/>
  <c r="C82" i="87" s="1"/>
  <c r="B2" i="87"/>
  <c r="B3" i="87" s="1"/>
  <c r="Q56" i="88"/>
  <c r="Q62" i="88" s="1"/>
  <c r="Q65" i="88"/>
  <c r="Q75" i="88" s="1"/>
  <c r="C43" i="88"/>
  <c r="Q47" i="88"/>
  <c r="Q53" i="88" s="1"/>
  <c r="B2" i="88"/>
  <c r="B3" i="88" s="1"/>
  <c r="C83" i="88"/>
  <c r="C82" i="88" s="1"/>
  <c r="B2" i="86"/>
  <c r="C46" i="88"/>
  <c r="Q65" i="87"/>
  <c r="Q75" i="87" s="1"/>
  <c r="Q47" i="87"/>
  <c r="Q53" i="87" s="1"/>
  <c r="C28" i="69"/>
  <c r="C27" i="69" s="1"/>
  <c r="C25" i="69"/>
  <c r="C22" i="69" s="1"/>
  <c r="C43" i="82"/>
  <c r="Q47" i="82"/>
  <c r="Q53" i="82" s="1"/>
  <c r="B2" i="82"/>
  <c r="Q65" i="82"/>
  <c r="Q75" i="82" s="1"/>
  <c r="Q56" i="82"/>
  <c r="Q62" i="82" s="1"/>
  <c r="C83" i="82"/>
  <c r="C82" i="82" s="1"/>
  <c r="C23" i="83"/>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85"/>
  <c r="D2" i="35"/>
  <c r="D2" i="36"/>
  <c r="L51" i="15"/>
  <c r="D2" i="34"/>
  <c r="B6" i="76"/>
  <c r="B7" i="76"/>
  <c r="B3" i="86" l="1"/>
  <c r="C6" i="68"/>
  <c r="C31" i="69"/>
  <c r="C52" i="69" s="1"/>
  <c r="B2" i="69" s="1"/>
  <c r="B3" i="69" s="1"/>
  <c r="D21" i="85"/>
  <c r="D102" i="85"/>
  <c r="B3" i="82"/>
  <c r="C28" i="83"/>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8" i="1"/>
  <c r="AO12" i="1"/>
  <c r="AO11" i="1"/>
  <c r="AO7" i="1"/>
  <c r="AO10" i="1"/>
  <c r="D20" i="85"/>
  <c r="C57" i="69" l="1"/>
  <c r="C56" i="69" s="1"/>
  <c r="D103" i="85"/>
  <c r="C31" i="83"/>
  <c r="C52" i="83" s="1"/>
  <c r="B2" i="83" s="1"/>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85"/>
  <c r="C102" i="85" l="1"/>
  <c r="C21" i="85"/>
  <c r="G19" i="85"/>
  <c r="G21" i="85" s="1"/>
  <c r="D22" i="85"/>
  <c r="C57" i="83"/>
  <c r="C56" i="83" s="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B3" i="83"/>
  <c r="D34" i="85" s="1"/>
  <c r="D35" i="85"/>
  <c r="D102" i="9" l="1"/>
  <c r="D21" i="9"/>
  <c r="B3" i="70"/>
  <c r="C42" i="40"/>
  <c r="C43" i="40"/>
  <c r="E47" i="40"/>
  <c r="F47" i="40" s="1"/>
  <c r="E46" i="40"/>
  <c r="F46" i="40" s="1"/>
  <c r="I47" i="40"/>
  <c r="J47" i="40" s="1"/>
  <c r="D20" i="9"/>
  <c r="C20" i="85"/>
  <c r="D103" i="9" l="1"/>
  <c r="G20" i="85"/>
  <c r="D27" i="85" s="1"/>
  <c r="C103" i="85"/>
  <c r="B58" i="40"/>
  <c r="F58" i="40" s="1"/>
  <c r="B54" i="40"/>
  <c r="F54" i="40" s="1"/>
  <c r="B53" i="40"/>
  <c r="F53" i="40" s="1"/>
  <c r="B59" i="40"/>
  <c r="F59" i="40" s="1"/>
  <c r="B52" i="40"/>
  <c r="F52" i="40" s="1"/>
  <c r="B56" i="40"/>
  <c r="F56" i="40" s="1"/>
  <c r="B60" i="40"/>
  <c r="F60" i="40" s="1"/>
  <c r="B57" i="40"/>
  <c r="F57" i="40" s="1"/>
  <c r="B51" i="40"/>
  <c r="F51" i="40" s="1"/>
  <c r="C32" i="85" l="1"/>
  <c r="I118" i="85" s="1"/>
  <c r="F61" i="40"/>
  <c r="B2" i="40" s="1"/>
  <c r="C35" i="85" l="1"/>
  <c r="G118" i="85" s="1"/>
  <c r="F118" i="85" s="1"/>
  <c r="F119" i="85" s="1"/>
  <c r="H102" i="85"/>
  <c r="C105" i="85"/>
  <c r="H118" i="85"/>
  <c r="B3" i="40"/>
  <c r="C7" i="68"/>
  <c r="C5" i="68" s="1"/>
  <c r="E118" i="85" l="1"/>
  <c r="D118" i="85" s="1"/>
  <c r="D119" i="85" s="1"/>
  <c r="C34" i="85"/>
  <c r="H119" i="85"/>
  <c r="H101" i="85"/>
  <c r="C104" i="85"/>
  <c r="C23" i="68"/>
  <c r="C20" i="68"/>
  <c r="M48" i="85" l="1"/>
  <c r="D45" i="85"/>
  <c r="H107" i="85"/>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81" i="85" l="1"/>
  <c r="M69" i="85"/>
  <c r="N69" i="85" s="1"/>
  <c r="C96" i="85"/>
  <c r="E96" i="85" s="1"/>
  <c r="E97" i="85" s="1"/>
  <c r="C20" i="9"/>
  <c r="C103" i="9" l="1"/>
  <c r="G20" i="9"/>
  <c r="D27" i="9" s="1"/>
  <c r="C97" i="85"/>
  <c r="D58" i="85" s="1"/>
  <c r="D56" i="85" s="1"/>
  <c r="M54" i="85" s="1"/>
  <c r="N57" i="85" s="1"/>
  <c r="N58" i="85" s="1"/>
  <c r="D34" i="9"/>
  <c r="D35" i="9"/>
  <c r="C32" i="9" l="1"/>
  <c r="N59" i="85"/>
  <c r="P57" i="85"/>
  <c r="N61" i="85" l="1"/>
  <c r="H112" i="85" s="1"/>
  <c r="H111" i="85"/>
  <c r="D126" i="85" s="1"/>
  <c r="D127" i="85" s="1"/>
  <c r="H118" i="9"/>
  <c r="H119" i="9" s="1"/>
  <c r="H5" i="52" s="1"/>
  <c r="C35" i="9"/>
  <c r="N60" i="85"/>
  <c r="I118" i="9" l="1"/>
  <c r="C34" i="9"/>
  <c r="H4" i="52"/>
  <c r="C104" i="9"/>
  <c r="H101" i="9"/>
  <c r="D5" i="53" s="1"/>
  <c r="F118" i="9"/>
  <c r="G118" i="9" s="1"/>
  <c r="G4" i="52" s="1"/>
  <c r="B52" i="72" s="1"/>
  <c r="C105" i="9" l="1"/>
  <c r="I4" i="52"/>
  <c r="H102" i="9"/>
  <c r="D7" i="53" s="1"/>
  <c r="B21" i="72" s="1"/>
  <c r="E118" i="9"/>
  <c r="E4" i="52" s="1"/>
  <c r="B48" i="72" s="1"/>
  <c r="M48" i="9"/>
  <c r="H107" i="9"/>
  <c r="D14" i="74" s="1"/>
  <c r="B5" i="74" s="1"/>
  <c r="D45" i="9"/>
  <c r="D53" i="9" s="1"/>
  <c r="D48" i="9" s="1"/>
  <c r="M52" i="9" s="1"/>
  <c r="D118" i="9"/>
  <c r="F119" i="9"/>
  <c r="F5" i="52" s="1"/>
  <c r="B53" i="72" s="1"/>
  <c r="F4" i="52"/>
  <c r="B51" i="72" s="1"/>
  <c r="D6" i="53"/>
  <c r="B22" i="72" s="1"/>
  <c r="B20" i="72"/>
  <c r="C5" i="74" l="1"/>
  <c r="C64" i="9"/>
  <c r="C63" i="9" s="1"/>
  <c r="C67" i="9" s="1"/>
  <c r="D59" i="9" s="1"/>
  <c r="M55" i="9" s="1"/>
  <c r="D122" i="9"/>
  <c r="D8" i="52" s="1"/>
  <c r="C85" i="9"/>
  <c r="M49" i="9"/>
  <c r="L65" i="9" s="1"/>
  <c r="M65" i="9" s="1"/>
  <c r="H108" i="9"/>
  <c r="D15" i="53" s="1"/>
  <c r="B31" i="72" s="1"/>
  <c r="D13" i="53"/>
  <c r="D14" i="53" s="1"/>
  <c r="B32" i="72" s="1"/>
  <c r="D55" i="9"/>
  <c r="M53" i="9" s="1"/>
  <c r="G14" i="74"/>
  <c r="B6" i="74" s="1"/>
  <c r="D6" i="74" s="1"/>
  <c r="E14" i="74"/>
  <c r="F14" i="74"/>
  <c r="C72" i="9"/>
  <c r="C78" i="9"/>
  <c r="C73" i="9" s="1"/>
  <c r="D52" i="9"/>
  <c r="C93" i="9"/>
  <c r="C86" i="9" s="1"/>
  <c r="D5" i="74"/>
  <c r="D119" i="9"/>
  <c r="D5" i="52" s="1"/>
  <c r="B49" i="72" s="1"/>
  <c r="D4" i="52"/>
  <c r="B47" i="72" s="1"/>
  <c r="D123" i="9"/>
  <c r="D9" i="52" s="1"/>
  <c r="C68" i="9" l="1"/>
  <c r="D54" i="9" s="1"/>
  <c r="L68" i="9"/>
  <c r="M68" i="9" s="1"/>
  <c r="L63" i="9"/>
  <c r="M63" i="9" s="1"/>
  <c r="L64" i="9"/>
  <c r="M64" i="9" s="1"/>
  <c r="L67" i="9"/>
  <c r="M67" i="9" s="1"/>
  <c r="L66" i="9"/>
  <c r="M66" i="9" s="1"/>
  <c r="C6" i="74"/>
  <c r="C95" i="9"/>
  <c r="C96" i="9" s="1"/>
  <c r="E96" i="9" s="1"/>
  <c r="E97" i="9" s="1"/>
  <c r="B30" i="72"/>
  <c r="C79" i="9"/>
  <c r="C80" i="9" s="1"/>
  <c r="E80" i="9" s="1"/>
  <c r="E81" i="9" s="1"/>
  <c r="M69" i="9" l="1"/>
  <c r="N69" i="9" s="1"/>
  <c r="C97" i="9"/>
  <c r="D58" i="9" s="1"/>
  <c r="D56" i="9" s="1"/>
  <c r="M54" i="9" s="1"/>
  <c r="N57" i="9" s="1"/>
  <c r="P57" i="9" s="1"/>
  <c r="C81" i="9"/>
  <c r="N59" i="9" l="1"/>
  <c r="N58" i="9"/>
  <c r="N61" i="9" l="1"/>
  <c r="H112" i="9" s="1"/>
  <c r="H111" i="9"/>
  <c r="N60"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<sst xmlns="http://schemas.openxmlformats.org/spreadsheetml/2006/main" count="10470" uniqueCount="3494">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</sst>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'预评函-封皮'!B46</f>
        <v>（注册号：0)、（注册号：0)</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2024年6月14日</v>
      </c>
    </row>
    <row r="13" spans="1:2" s="1199" customFormat="1">
      <c r="A13" s="1197" t="s">
        <v>528</v>
      </c>
      <c r="B13" s="1198"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135439</v>
      </c>
    </row>
    <row r="21" spans="1:2" s="1199" customFormat="1">
      <c r="A21" s="1197" t="s">
        <v>536</v>
      </c>
      <c r="B21" s="1198">
        <f ca="1">'预评函-2'!D7</f>
        <v>26938</v>
      </c>
    </row>
    <row r="22" spans="1:2" s="1199" customFormat="1">
      <c r="A22" s="1197" t="s">
        <v>537</v>
      </c>
      <c r="B22" s="1198" t="str">
        <f ca="1">'预评函-2'!D6</f>
        <v>壹拾叁亿伍仟肆佰叁拾玖万元整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135439</v>
      </c>
    </row>
    <row r="31" spans="1:2" s="1199" customFormat="1">
      <c r="A31" s="1197" t="s">
        <v>575</v>
      </c>
      <c r="B31" s="1198">
        <f ca="1">'预评函-2'!D15</f>
        <v>26938</v>
      </c>
    </row>
    <row r="32" spans="1:2" s="1199" customFormat="1">
      <c r="A32" s="1197" t="s">
        <v>542</v>
      </c>
      <c r="B32" s="1198" t="str">
        <f ca="1">'预评函-2'!D14</f>
        <v>壹拾叁亿伍仟肆佰叁拾玖万元整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101545</v>
      </c>
    </row>
    <row r="39" spans="1:2" s="1199" customFormat="1">
      <c r="A39" s="1197" t="s">
        <v>544</v>
      </c>
      <c r="B39" s="1198">
        <f ca="1">'预评函-2'!D21</f>
        <v>20197</v>
      </c>
    </row>
    <row r="40" spans="1:2" s="1199" customFormat="1">
      <c r="A40" s="1197" t="s">
        <v>545</v>
      </c>
      <c r="B40" s="1198" t="str">
        <f ca="1">'预评函-2'!D20</f>
        <v>壹拾亿壹仟伍佰肆拾伍万元整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105507</v>
      </c>
    </row>
    <row r="48" spans="1:2" s="1199" customFormat="1">
      <c r="A48" s="1197" t="s">
        <v>548</v>
      </c>
      <c r="B48" s="1198">
        <f ca="1">'预评函-3'!E4</f>
        <v>20985</v>
      </c>
    </row>
    <row r="49" spans="1:2" s="1199" customFormat="1">
      <c r="A49" s="1197" t="s">
        <v>549</v>
      </c>
      <c r="B49" s="1198" t="str">
        <f ca="1">'预评函-3'!D5</f>
        <v>壹拾亿伍仟伍佰零柒万元整</v>
      </c>
    </row>
    <row r="50" spans="1:2" s="1199" customFormat="1">
      <c r="A50" s="1197" t="s">
        <v>573</v>
      </c>
      <c r="B50" s="1198" t="str">
        <f>'预评函-3'!F2</f>
        <v>在建建筑物价值</v>
      </c>
    </row>
    <row r="51" spans="1:2" s="1199" customFormat="1">
      <c r="A51" s="1197" t="s">
        <v>550</v>
      </c>
      <c r="B51" s="1198">
        <f ca="1">'预评函-3'!F4</f>
        <v>29932</v>
      </c>
    </row>
    <row r="52" spans="1:2" s="1199" customFormat="1">
      <c r="A52" s="1197" t="s">
        <v>551</v>
      </c>
      <c r="B52" s="1198">
        <f ca="1">'预评函-3'!G4</f>
        <v>5953</v>
      </c>
    </row>
    <row r="53" spans="1:2" s="1199" customFormat="1">
      <c r="A53" s="1197" t="s">
        <v>579</v>
      </c>
      <c r="B53" s="1198" t="str">
        <f ca="1">'预评函-3'!F5</f>
        <v>贰亿玖仟玖佰叁拾贰万元整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f>'预评函-4'!A4</f>
        <v>0</v>
      </c>
    </row>
    <row r="71" spans="1:2">
      <c r="A71" s="1197" t="s">
        <v>562</v>
      </c>
      <c r="B71" s="1198">
        <f>'预评函-4'!B4</f>
        <v>0</v>
      </c>
    </row>
    <row r="72" spans="1:2">
      <c r="A72" s="1197" t="s">
        <v>563</v>
      </c>
      <c r="B72" s="1206">
        <f>'预评函-4'!A5</f>
        <v>0</v>
      </c>
    </row>
    <row r="73" spans="1:2" s="1193" customFormat="1" ht="15" thickBot="1">
      <c r="A73" s="1200" t="s">
        <v>564</v>
      </c>
      <c r="B73" s="1201">
        <f>'预评函-4'!B5</f>
        <v>0</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0"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0" t="s">
        <v>384</v>
      </c>
      <c r="C54" s="1547" t="s">
        <v>582</v>
      </c>
    </row>
    <row r="55" spans="1:4">
      <c r="A55" s="3550"/>
      <c r="B55" s="1550" t="s">
        <v>385</v>
      </c>
      <c r="C55" s="1547" t="s">
        <v>583</v>
      </c>
    </row>
    <row r="56" spans="1:4">
      <c r="A56" s="3550"/>
      <c r="B56" s="1550" t="s">
        <v>386</v>
      </c>
      <c r="C56" s="1547" t="s">
        <v>587</v>
      </c>
    </row>
    <row r="57" spans="1:4">
      <c r="A57" s="3550"/>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51" t="s">
        <v>2579</v>
      </c>
      <c r="J2" s="3551"/>
      <c r="K2" s="3551"/>
      <c r="L2" s="3551"/>
      <c r="M2" s="3551"/>
      <c r="N2" s="3551"/>
      <c r="O2" s="3551"/>
      <c r="P2" s="3551"/>
      <c r="Q2" s="3551"/>
      <c r="R2" s="3551"/>
    </row>
    <row r="3" spans="1:18">
      <c r="A3" s="3016" t="s">
        <v>2500</v>
      </c>
      <c r="B3" s="3017">
        <f>项目基本情况!D3</f>
        <v>45457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2.5099999999999998</v>
      </c>
      <c r="D5" s="3021">
        <f>IF(ISERROR(ROUND(POWER(1+E5,A5-C5)*(POWER(1+E5,C5)-1)/(POWER(1+E5,A5)-1),3)),0,ROUND(POWER(1+E5,A5-C5)*(POWER(1+E5,C5)-1)/(POWER(1+E5,A5)-1),4))</f>
        <v>0.11840000000000001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12.52</v>
      </c>
      <c r="D6" s="3021">
        <f>IF(ISERROR(ROUND(POWER(1+E6,A6-C6)*(POWER(1+E6,C6)-1)/(POWER(1+E6,A6)-1),3)),0,ROUND(POWER(1+E6,A6-C6)*(POWER(1+E6,C6)-1)/(POWER(1+E6,A6)-1),4))</f>
        <v>0.4516</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32.53</v>
      </c>
      <c r="D7" s="3021">
        <f>IF(ISERROR(ROUND(POWER(1+E7,A7-C7)*(POWER(1+E7,C7)-1)/(POWER(1+E7,A7)-1),3)),0,ROUND(POWER(1+E7,A7-C7)*(POWER(1+E7,C7)-1)/(POWER(1+E7,A7)-1),4))</f>
        <v>0.77029999999999998</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52" t="str">
        <f>IF(B10="北京市","北京市",C10)&amp;F10&amp;IF(结果表!G1="在建","出让国有建设用地使用权及在建建筑物",IF(结果表!G1="土地","出让国有建设用地使用权",))&amp;B9&amp;"预评估"</f>
        <v>北京市房地产抵押价值预评估</v>
      </c>
      <c r="C1" s="3553"/>
      <c r="D1" s="3553"/>
      <c r="E1" s="3553"/>
      <c r="F1" s="3553"/>
      <c r="G1" s="3553"/>
      <c r="H1" s="3553"/>
      <c r="I1" s="3554"/>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45457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55"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56"/>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33.64</v>
      </c>
      <c r="E15" s="2406">
        <f>IF(A13="出让",IF(E13="","",ROUNDDOWN(MIN((E13-$D$3)/365,E14),2)),E14)</f>
        <v>43.65</v>
      </c>
      <c r="F15" s="2406">
        <f>IF(A13="出让",IF(F13="","",ROUNDDOWN(MIN((F13-$D$3)/365,F14),2)),F14)</f>
        <v>43.65</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62"/>
      <c r="C16" s="3563"/>
      <c r="D16" s="3564"/>
      <c r="E16" s="2409" t="s">
        <v>2189</v>
      </c>
      <c r="F16" s="3565"/>
      <c r="G16" s="3566"/>
      <c r="H16" s="3566"/>
      <c r="I16" s="3567"/>
      <c r="J16" s="2435"/>
      <c r="K16" s="2613"/>
      <c r="L16" s="2447"/>
      <c r="M16" s="2447"/>
      <c r="N16" s="2505"/>
      <c r="O16" s="2447"/>
      <c r="P16" s="2505"/>
      <c r="Q16" s="2435"/>
      <c r="R16" s="2435"/>
    </row>
    <row r="17" spans="1:28">
      <c r="A17" s="313" t="s">
        <v>2190</v>
      </c>
      <c r="B17" s="302" t="s">
        <v>2191</v>
      </c>
      <c r="C17" s="8">
        <f>'数据-汇总表'!E3</f>
        <v>50278.1</v>
      </c>
      <c r="D17" s="2318" t="s">
        <v>2192</v>
      </c>
      <c r="E17" s="3568" t="s">
        <v>2193</v>
      </c>
      <c r="F17" s="3569"/>
      <c r="G17" s="3569"/>
      <c r="H17" s="3569"/>
      <c r="I17" s="3570"/>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1" t="s">
        <v>2197</v>
      </c>
      <c r="F18" s="3572"/>
      <c r="G18" s="3572"/>
      <c r="H18" s="3572"/>
      <c r="I18" s="3573"/>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8" t="s">
        <v>2201</v>
      </c>
      <c r="C20" s="3559"/>
      <c r="D20" s="3560" t="s">
        <v>2202</v>
      </c>
      <c r="E20" s="3561"/>
      <c r="F20" s="2643" t="s">
        <v>1053</v>
      </c>
      <c r="G20" s="2660"/>
      <c r="H20" s="2660"/>
      <c r="I20" s="2660"/>
      <c r="J20" s="2435"/>
      <c r="K20" s="3557"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5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5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5"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5"/>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5"/>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6"/>
      <c r="B30" s="302" t="s">
        <v>2213</v>
      </c>
      <c r="C30" s="3577"/>
      <c r="D30" s="3578"/>
      <c r="E30" s="2660"/>
      <c r="F30" s="2660"/>
      <c r="G30" s="2660"/>
      <c r="H30" s="2660"/>
      <c r="I30" s="2660"/>
      <c r="J30" s="2435"/>
      <c r="K30" s="2612"/>
      <c r="L30" s="2609"/>
      <c r="M30" s="2609"/>
      <c r="N30" s="2435"/>
      <c r="O30" s="2446"/>
      <c r="P30" s="2435"/>
      <c r="Q30" s="2435"/>
      <c r="R30" s="2435"/>
      <c r="S30" s="2435"/>
      <c r="T30" s="2435"/>
      <c r="U30" s="2435"/>
      <c r="V30" s="2435"/>
    </row>
    <row r="31" spans="1:28">
      <c r="A31" s="3579"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0"/>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0"/>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74" t="s">
        <v>2223</v>
      </c>
      <c r="T34" s="2424" t="str">
        <f>NUMBERSTRING(7-K34,1)&amp;"通"</f>
        <v>七通</v>
      </c>
      <c r="U34" s="2435"/>
      <c r="V34" s="2435"/>
    </row>
    <row r="35" spans="1:30">
      <c r="A35" s="2425"/>
      <c r="B35" s="3581" t="s">
        <v>2224</v>
      </c>
      <c r="C35" s="3581"/>
      <c r="D35" s="3581"/>
      <c r="E35" s="3581"/>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74"/>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v>
      </c>
      <c r="H5" s="13">
        <f t="shared" ref="H5:AT5" si="0">SUM(H13:H656)</f>
        <v>50185.119999999995</v>
      </c>
      <c r="I5" s="13">
        <f t="shared" si="0"/>
        <v>33759.019999999997</v>
      </c>
      <c r="J5" s="13">
        <f t="shared" si="0"/>
        <v>0</v>
      </c>
      <c r="K5" s="13">
        <f t="shared" si="0"/>
        <v>1114.5</v>
      </c>
      <c r="L5" s="13">
        <f t="shared" si="0"/>
        <v>0</v>
      </c>
      <c r="M5" s="13">
        <f t="shared" si="0"/>
        <v>15311.600000000002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92.98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92.98</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v>
      </c>
      <c r="BA5" s="15">
        <f t="shared" si="1"/>
        <v>50185.119999999995</v>
      </c>
      <c r="BB5" s="15">
        <f t="shared" si="1"/>
        <v>33759.019999999997</v>
      </c>
      <c r="BC5" s="15">
        <f t="shared" si="1"/>
        <v>1114.5</v>
      </c>
      <c r="BD5" s="15">
        <f t="shared" si="1"/>
        <v>15311.600000000002</v>
      </c>
      <c r="BE5" s="15">
        <f t="shared" si="1"/>
        <v>0</v>
      </c>
      <c r="BF5" s="15">
        <f t="shared" si="1"/>
        <v>0</v>
      </c>
      <c r="BG5" s="15">
        <f t="shared" si="1"/>
        <v>0</v>
      </c>
      <c r="BH5" s="15">
        <f t="shared" si="1"/>
        <v>0</v>
      </c>
      <c r="BI5" s="15">
        <f t="shared" si="1"/>
        <v>0</v>
      </c>
      <c r="BJ5" s="15">
        <f t="shared" si="1"/>
        <v>0</v>
      </c>
      <c r="BK5" s="15">
        <f t="shared" si="1"/>
        <v>0</v>
      </c>
      <c r="BL5" s="15">
        <f t="shared" si="1"/>
        <v>92.98</v>
      </c>
      <c r="BM5" s="15">
        <f t="shared" si="1"/>
        <v>0</v>
      </c>
      <c r="BN5" s="15">
        <f t="shared" si="1"/>
        <v>0</v>
      </c>
      <c r="BO5" s="15">
        <f t="shared" si="1"/>
        <v>0</v>
      </c>
      <c r="BP5" s="15">
        <f t="shared" si="1"/>
        <v>0</v>
      </c>
      <c r="BQ5" s="15">
        <f t="shared" si="1"/>
        <v>92.98</v>
      </c>
      <c r="BR5" s="15">
        <f t="shared" si="1"/>
        <v>0</v>
      </c>
      <c r="BS5" s="15">
        <f t="shared" si="1"/>
        <v>0</v>
      </c>
      <c r="BT5" s="16">
        <f t="shared" si="1"/>
        <v>0</v>
      </c>
    </row>
    <row r="6" spans="1:72" s="1585" customFormat="1" ht="12.75">
      <c r="A6" s="12" t="s">
        <v>1069</v>
      </c>
      <c r="B6" s="1582"/>
      <c r="C6" s="1582"/>
      <c r="D6" s="1583"/>
      <c r="E6" s="13">
        <f>H6+AC6+AT6</f>
        <v>10326.199999999999</v>
      </c>
      <c r="F6" s="13" t="s">
        <v>0</v>
      </c>
      <c r="G6" s="13" t="s">
        <v>1</v>
      </c>
      <c r="H6" s="17">
        <f>SUMIF(I$12:AB$12,"总值",I6:AB6)</f>
        <v>10307.099999999999</v>
      </c>
      <c r="I6" s="13">
        <f t="shared" ref="I6:AB6" si="2">ROUND($A$3*I5/$B$3,2)</f>
        <v>6933.48</v>
      </c>
      <c r="J6" s="13">
        <f t="shared" si="2"/>
        <v>0</v>
      </c>
      <c r="K6" s="13">
        <f t="shared" si="2"/>
        <v>228.9</v>
      </c>
      <c r="L6" s="13">
        <f t="shared" si="2"/>
        <v>0</v>
      </c>
      <c r="M6" s="13">
        <f t="shared" si="2"/>
        <v>3144.72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19.100000000000001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19.100000000000001</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10307.09</v>
      </c>
      <c r="BB6" s="13">
        <f>ROUND($AY$6*BB5/$AZ$5,2)</f>
        <v>6933.48</v>
      </c>
      <c r="BC6" s="13">
        <f t="shared" ref="BC6:BH6" si="4">ROUND($AY$6*BC5/$AZ$5,2)</f>
        <v>228.9</v>
      </c>
      <c r="BD6" s="13">
        <f t="shared" si="4"/>
        <v>3144.72</v>
      </c>
      <c r="BE6" s="13">
        <f t="shared" si="4"/>
        <v>0</v>
      </c>
      <c r="BF6" s="13">
        <f t="shared" si="4"/>
        <v>0</v>
      </c>
      <c r="BG6" s="13">
        <f t="shared" si="4"/>
        <v>0</v>
      </c>
      <c r="BH6" s="13">
        <f t="shared" si="4"/>
        <v>0</v>
      </c>
      <c r="BI6" s="13">
        <f t="shared" ref="BI6:BT6" si="5">ROUND($AY$6*BI5/$AZ$5,2)</f>
        <v>0</v>
      </c>
      <c r="BJ6" s="13">
        <f t="shared" si="5"/>
        <v>0</v>
      </c>
      <c r="BK6" s="13">
        <f t="shared" si="5"/>
        <v>0</v>
      </c>
      <c r="BL6" s="13">
        <f t="shared" si="5"/>
        <v>19.100000000000001</v>
      </c>
      <c r="BM6" s="13">
        <f t="shared" si="5"/>
        <v>0</v>
      </c>
      <c r="BN6" s="13">
        <f t="shared" si="5"/>
        <v>0</v>
      </c>
      <c r="BO6" s="13">
        <f t="shared" si="5"/>
        <v>0</v>
      </c>
      <c r="BP6" s="13">
        <f t="shared" si="5"/>
        <v>0</v>
      </c>
      <c r="BQ6" s="13">
        <f t="shared" si="5"/>
        <v>19.100000000000001</v>
      </c>
      <c r="BR6" s="13">
        <f t="shared" si="5"/>
        <v>0</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33759.019999999997</v>
      </c>
      <c r="H13" s="17">
        <f>SUMIF(I$12:AB$12,"总值",I13:AB13)</f>
        <v>33759.019999999997</v>
      </c>
      <c r="I13" s="1622">
        <v>33759.019999999997</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33759.019999999997</v>
      </c>
      <c r="BA13" s="13">
        <f>SUM(BB13:BK13)</f>
        <v>33759.019999999997</v>
      </c>
      <c r="BB13" s="13">
        <f>IF($D13="是",I13-J13,0)</f>
        <v>33759.019999999997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15404.580000000002</v>
      </c>
      <c r="H15" s="17">
        <f>SUMIF(I$12:AB$12,"总值",I15:AB15)</f>
        <v>15311.600000000002</v>
      </c>
      <c r="I15" s="1622"/>
      <c r="J15" s="1622"/>
      <c r="K15" s="1622"/>
      <c r="L15" s="1622"/>
      <c r="M15" s="1622">
        <f>(6220.13-4302.65)+(7086.87-62.73)+(6432.92-62.94)</f>
        <v>15311.600000000002</v>
      </c>
      <c r="N15" s="1622"/>
      <c r="O15" s="1622"/>
      <c r="P15" s="1622"/>
      <c r="Q15" s="1622"/>
      <c r="R15" s="1622"/>
      <c r="S15" s="1622"/>
      <c r="T15" s="1622"/>
      <c r="U15" s="1622"/>
      <c r="V15" s="1622"/>
      <c r="W15" s="1622"/>
      <c r="X15" s="1622"/>
      <c r="Y15" s="1622"/>
      <c r="Z15" s="1622"/>
      <c r="AA15" s="1622"/>
      <c r="AB15" s="1622"/>
      <c r="AC15" s="13">
        <f>SUMIF(AD$12:AS$12,"总值",AD15:AS15)</f>
        <v>92.98</v>
      </c>
      <c r="AD15" s="1623"/>
      <c r="AE15" s="1623"/>
      <c r="AF15" s="1623"/>
      <c r="AG15" s="1623"/>
      <c r="AH15" s="1623"/>
      <c r="AI15" s="1623"/>
      <c r="AJ15" s="1623"/>
      <c r="AK15" s="1623"/>
      <c r="AL15" s="1623">
        <v>92.98</v>
      </c>
      <c r="AM15" s="1623"/>
      <c r="AN15" s="1623"/>
      <c r="AO15" s="1623"/>
      <c r="AP15" s="1623"/>
      <c r="AQ15" s="1623"/>
      <c r="AR15" s="1623"/>
      <c r="AS15" s="1623"/>
      <c r="AT15" s="1624"/>
      <c r="AU15" s="1625"/>
      <c r="AV15" s="8">
        <f t="shared" si="6"/>
        <v>0</v>
      </c>
      <c r="AW15" s="8">
        <f t="shared" si="6"/>
        <v>0</v>
      </c>
      <c r="AX15" s="8">
        <f t="shared" si="6"/>
        <v>3</v>
      </c>
      <c r="AY15" s="1345">
        <f>ROUND($AY$6*AZ15/$AZ$5,2)</f>
        <v>3163.82</v>
      </c>
      <c r="AZ15" s="13">
        <f>BA15+BL15</f>
        <v>15404.580000000002</v>
      </c>
      <c r="BA15" s="13">
        <f>SUM(BB15:BK15)</f>
        <v>15311.600000000002</v>
      </c>
      <c r="BB15" s="13">
        <f>IF($D15="是",I15-J15,0)</f>
        <v>0</v>
      </c>
      <c r="BC15" s="13">
        <f>IF($D15="是",K15-L15,0)</f>
        <v>0</v>
      </c>
      <c r="BD15" s="13">
        <f>IF($D15="是",M15-N15,0)</f>
        <v>15311.600000000002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92.98</v>
      </c>
      <c r="BM15" s="13">
        <f>IF($D15="是",AD15-AE15,0)</f>
        <v>0</v>
      </c>
      <c r="BN15" s="13">
        <f>IF($D15="是",AF15-AG15,0)</f>
        <v>0</v>
      </c>
      <c r="BO15" s="13">
        <f>IF($D15="是",AH15-AI15,0)</f>
        <v>0</v>
      </c>
      <c r="BP15" s="13">
        <f>IF($D15="是",AJ15-AK15,0)</f>
        <v>0</v>
      </c>
      <c r="BQ15" s="13">
        <f>IF($D15="是",AL15-AM15,0)</f>
        <v>92.98</v>
      </c>
      <c r="BR15" s="13">
        <f>IF($D15="是",AN15-AO15,0)</f>
        <v>0</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6" sqref="L5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1" t="s">
        <v>1128</v>
      </c>
      <c r="B2" s="3591"/>
      <c r="C2" s="3591"/>
      <c r="D2" s="792" t="s">
        <v>1104</v>
      </c>
      <c r="E2" s="1635" t="s">
        <v>1105</v>
      </c>
      <c r="F2" s="2655"/>
      <c r="G2" s="2646"/>
      <c r="H2" s="2647"/>
      <c r="I2" s="2321" t="s">
        <v>1129</v>
      </c>
      <c r="J2" s="2655"/>
      <c r="K2" s="2655"/>
      <c r="L2" s="2655"/>
      <c r="M2" s="2655"/>
      <c r="N2" s="2657"/>
      <c r="O2" s="2655"/>
      <c r="P2" s="2655"/>
    </row>
    <row r="3" spans="1:16" ht="15.75" thickBot="1">
      <c r="A3" s="3592" t="s">
        <v>1102</v>
      </c>
      <c r="B3" s="3592"/>
      <c r="C3" s="3592"/>
      <c r="D3" s="43">
        <f>'数据-基础表'!AY6</f>
        <v>10326.19</v>
      </c>
      <c r="E3" s="43">
        <f>'数据-基础表'!AZ5</f>
        <v>50278.1</v>
      </c>
      <c r="F3" s="2655"/>
      <c r="G3" s="1141"/>
      <c r="H3" s="1022" t="s">
        <v>1103</v>
      </c>
      <c r="I3" s="851">
        <f>ROUND('数据-基础表'!B3/'数据-基础表'!A3,2)</f>
        <v>4.87</v>
      </c>
      <c r="J3" s="2655"/>
      <c r="K3" s="2655"/>
      <c r="L3" s="2655"/>
      <c r="M3" s="2655"/>
      <c r="N3" s="2657"/>
      <c r="O3" s="2655"/>
      <c r="P3" s="2655"/>
    </row>
    <row r="4" spans="1:16" ht="15">
      <c r="A4" s="3593"/>
      <c r="B4" s="3594"/>
      <c r="C4" s="3595"/>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596" t="s">
        <v>1107</v>
      </c>
      <c r="C5" s="3596"/>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596" t="s">
        <v>1108</v>
      </c>
      <c r="C6" s="3596"/>
      <c r="D6" s="45">
        <f>ROUND($D$3*E6/$E$3,2)</f>
        <v>10326.19</v>
      </c>
      <c r="E6" s="46">
        <f>E3-E5</f>
        <v>50278.1</v>
      </c>
      <c r="F6" s="2655"/>
      <c r="G6" s="2649" t="s">
        <v>1109</v>
      </c>
      <c r="H6" s="1142" t="s">
        <v>1110</v>
      </c>
      <c r="I6" s="2650">
        <f>ROUND(F31/D31,2)</f>
        <v>3.39</v>
      </c>
      <c r="J6" s="2655"/>
      <c r="K6" s="2655"/>
      <c r="L6" s="2655"/>
      <c r="M6" s="2655"/>
      <c r="N6" s="2655"/>
      <c r="O6" s="2655"/>
      <c r="P6" s="2655"/>
    </row>
    <row r="7" spans="1:16" ht="15.75" thickBot="1">
      <c r="A7" s="3588"/>
      <c r="B7" s="3589"/>
      <c r="C7" s="3590"/>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7162.37</v>
      </c>
      <c r="E8" s="48">
        <f>SUMIF('数据-基础表'!BB10:BK10,"地上",'数据-基础表'!BB5:BK5)</f>
        <v>34873.519999999997</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3144.72</v>
      </c>
      <c r="E15" s="48">
        <f>SUMPRODUCT(('数据-基础表'!BB10:BK10="地下")*('数据-基础表'!BB11:BK11="车库—办公")*('数据-基础表'!BB5:BK5))</f>
        <v>15311.600000000002</v>
      </c>
      <c r="F15" s="2655"/>
      <c r="G15" s="2656"/>
      <c r="H15" s="2656"/>
      <c r="I15" s="2655"/>
      <c r="J15" s="2655"/>
      <c r="K15" s="2655"/>
      <c r="L15" s="2655"/>
      <c r="M15" s="2655"/>
      <c r="N15" s="2655"/>
      <c r="O15" s="2655"/>
      <c r="P15" s="2655"/>
    </row>
    <row r="16" spans="1:16" ht="15.75" thickBot="1">
      <c r="A16" s="1640"/>
      <c r="B16" s="1643"/>
      <c r="C16" s="47" t="s">
        <v>1120</v>
      </c>
      <c r="D16" s="47">
        <f>SUM(D8:D15)</f>
        <v>10307.09</v>
      </c>
      <c r="E16" s="50">
        <f>SUM(E8:E15)</f>
        <v>50185.119999999995</v>
      </c>
      <c r="F16" s="2655"/>
      <c r="G16" s="2656"/>
      <c r="H16" s="1644" t="s">
        <v>1132</v>
      </c>
      <c r="I16" s="1645"/>
      <c r="J16" s="1135"/>
      <c r="K16" s="3585" t="s">
        <v>1132</v>
      </c>
      <c r="L16" s="3586"/>
      <c r="M16" s="3586"/>
      <c r="N16" s="3586"/>
      <c r="O16" s="3586"/>
      <c r="P16" s="3587"/>
    </row>
    <row r="17" spans="1:19" ht="15">
      <c r="A17" s="1646" t="s">
        <v>1133</v>
      </c>
      <c r="B17" s="1647" t="s">
        <v>1134</v>
      </c>
      <c r="C17" s="1648" t="s">
        <v>1135</v>
      </c>
      <c r="D17" s="1649" t="s">
        <v>1123</v>
      </c>
      <c r="E17" s="1650" t="s">
        <v>1124</v>
      </c>
      <c r="F17" s="1651"/>
      <c r="G17" s="1652"/>
      <c r="H17" s="1653" t="s">
        <v>1136</v>
      </c>
      <c r="I17" s="1654" t="s">
        <v>1121</v>
      </c>
      <c r="J17" s="1135"/>
      <c r="K17" s="3582" t="s">
        <v>1137</v>
      </c>
      <c r="L17" s="3583"/>
      <c r="M17" s="3584"/>
      <c r="N17" s="3582" t="s">
        <v>1138</v>
      </c>
      <c r="O17" s="3583"/>
      <c r="P17" s="3584"/>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6933.48</v>
      </c>
      <c r="E19" s="53">
        <f t="shared" ref="E19:E26" si="1">SUM(F19:G19)</f>
        <v>33759.019999999997</v>
      </c>
      <c r="F19" s="2791">
        <f>'数据-基础表'!I5</f>
        <v>33759.019999999997</v>
      </c>
      <c r="G19" s="2792"/>
      <c r="H19" s="669">
        <f>ROUND($D$3*I19/$E$3,2)</f>
        <v>12.85</v>
      </c>
      <c r="I19" s="48">
        <f t="shared" ref="I19:I26" si="2">IF($I$17="自定义",P19,M19)</f>
        <v>62.55</v>
      </c>
      <c r="J19" s="1135"/>
      <c r="K19" s="1134">
        <f t="shared" ref="K19:K26" si="3">ROUND(E$28*E19/E$27,2)</f>
        <v>62.55</v>
      </c>
      <c r="L19" s="1022">
        <f t="shared" ref="L19:L26" si="4">ROUND(IF(COUNTIF(C19,"*住宅*")&gt;0,E$29*E19/E$32,0),2)</f>
        <v>0</v>
      </c>
      <c r="M19" s="1146">
        <f>K19+L19</f>
        <v>62.55</v>
      </c>
      <c r="N19" s="1664"/>
      <c r="O19" s="1665"/>
      <c r="P19" s="1146">
        <f>N19+O19</f>
        <v>0</v>
      </c>
      <c r="R19" s="1022">
        <f t="shared" ref="R19:S26" si="5">D19+H19</f>
        <v>6946.33</v>
      </c>
      <c r="S19" s="1023">
        <f t="shared" si="5"/>
        <v>33821.57</v>
      </c>
    </row>
    <row r="20" spans="1:19">
      <c r="A20" s="1666"/>
      <c r="B20" s="47" t="s">
        <v>1150</v>
      </c>
      <c r="C20" s="3413" t="s">
        <v>3462</v>
      </c>
      <c r="D20" s="45">
        <f t="shared" ref="D20:D26" si="6">ROUND($D$3*E20/$E$3,2)</f>
        <v>228.9</v>
      </c>
      <c r="E20" s="53">
        <f t="shared" si="1"/>
        <v>1114.5</v>
      </c>
      <c r="F20" s="2791">
        <f>'数据-基础表'!K5</f>
        <v>1114.5</v>
      </c>
      <c r="G20" s="2792"/>
      <c r="H20" s="669">
        <f t="shared" ref="H20:H26" si="7">ROUND($D$3*I20/$E$3,2)</f>
        <v>0.42</v>
      </c>
      <c r="I20" s="48">
        <f t="shared" si="2"/>
        <v>2.06</v>
      </c>
      <c r="J20" s="1135"/>
      <c r="K20" s="1134">
        <f t="shared" si="3"/>
        <v>2.06</v>
      </c>
      <c r="L20" s="1022">
        <f t="shared" si="4"/>
        <v>0</v>
      </c>
      <c r="M20" s="1146">
        <f t="shared" ref="M20:M26" si="8">K20+L20</f>
        <v>2.06</v>
      </c>
      <c r="N20" s="1664"/>
      <c r="O20" s="1665"/>
      <c r="P20" s="1146">
        <f t="shared" ref="P20:P26" si="9">N20+O20</f>
        <v>0</v>
      </c>
      <c r="R20" s="1022">
        <f t="shared" si="5"/>
        <v>229.32</v>
      </c>
      <c r="S20" s="1023">
        <f t="shared" si="5"/>
        <v>1116.56</v>
      </c>
    </row>
    <row r="21" spans="1:19">
      <c r="A21" s="1666"/>
      <c r="B21" s="47" t="s">
        <v>1150</v>
      </c>
      <c r="C21" s="3413" t="s">
        <v>3463</v>
      </c>
      <c r="D21" s="45">
        <f t="shared" si="6"/>
        <v>3144.72</v>
      </c>
      <c r="E21" s="53">
        <f t="shared" si="1"/>
        <v>15311.600000000002</v>
      </c>
      <c r="F21" s="2791"/>
      <c r="G21" s="2792">
        <f>'数据-基础表'!M15</f>
        <v>15311.600000000002</v>
      </c>
      <c r="H21" s="669">
        <f t="shared" si="7"/>
        <v>5.83</v>
      </c>
      <c r="I21" s="48">
        <f t="shared" si="2"/>
        <v>28.37</v>
      </c>
      <c r="J21" s="1135"/>
      <c r="K21" s="1134">
        <f t="shared" si="3"/>
        <v>28.37</v>
      </c>
      <c r="L21" s="1022">
        <f t="shared" si="4"/>
        <v>0</v>
      </c>
      <c r="M21" s="1146">
        <f t="shared" si="8"/>
        <v>28.37</v>
      </c>
      <c r="N21" s="1664"/>
      <c r="O21" s="1665"/>
      <c r="P21" s="1146">
        <f t="shared" si="9"/>
        <v>0</v>
      </c>
      <c r="R21" s="1022">
        <f t="shared" si="5"/>
        <v>3150.5499999999997</v>
      </c>
      <c r="S21" s="1023">
        <f t="shared" si="5"/>
        <v>15339.970000000003</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10307.099999999999</v>
      </c>
      <c r="E27" s="1137">
        <f>IF(SUM(E19:E26)='数据-基础表'!BA5,SUM(E19:E26),IF(F27="地上面积有误","面积有误","地下面积有误"))</f>
        <v>50185.119999999995</v>
      </c>
      <c r="F27" s="1136">
        <f>IF(SUM(F19:F26)=E8,SUM(F19:F26),"地上面积有误")</f>
        <v>34873.519999999997</v>
      </c>
      <c r="G27" s="1138">
        <f>SUM(G19:G26)</f>
        <v>15311.600000000002</v>
      </c>
      <c r="H27" s="1139">
        <f>SUM(H19:H26)</f>
        <v>19.100000000000001</v>
      </c>
      <c r="I27" s="1140">
        <f>SUM(I19:I26)</f>
        <v>92.98</v>
      </c>
      <c r="J27" s="1135"/>
      <c r="K27" s="1143">
        <f>SUM(K19:K26)</f>
        <v>92.98</v>
      </c>
      <c r="L27" s="1144">
        <f>SUM(L19:L26)</f>
        <v>0</v>
      </c>
      <c r="M27" s="1147">
        <f>SUM(M19:M26)</f>
        <v>92.98</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v>
      </c>
    </row>
    <row r="28" spans="1:19">
      <c r="A28" s="1666"/>
      <c r="B28" s="47" t="s">
        <v>1152</v>
      </c>
      <c r="C28" s="1034" t="s">
        <v>1153</v>
      </c>
      <c r="D28" s="45">
        <f>ROUND($D$3*E28/$E$3,2)</f>
        <v>19.100000000000001</v>
      </c>
      <c r="E28" s="53">
        <f>SUM(F28:G28)</f>
        <v>92.98</v>
      </c>
      <c r="F28" s="56">
        <f>'数据-基础表'!BQ5+'数据-基础表'!BS5</f>
        <v>92.98</v>
      </c>
      <c r="G28" s="57">
        <f>'数据-基础表'!BR5+'数据-基础表'!BT5</f>
        <v>0</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19.100000000000001</v>
      </c>
      <c r="E30" s="1136">
        <f>SUM(E28:E29)</f>
        <v>92.98</v>
      </c>
      <c r="F30" s="1136">
        <f>SUM(F28:F29)</f>
        <v>92.98</v>
      </c>
      <c r="G30" s="1138">
        <f>SUM(G28:G29)</f>
        <v>0</v>
      </c>
      <c r="H30" s="2655"/>
      <c r="I30" s="2655"/>
      <c r="J30" s="2655"/>
      <c r="K30" s="2655"/>
      <c r="L30" s="2655"/>
      <c r="M30" s="2655"/>
      <c r="N30" s="2655"/>
      <c r="O30" s="2655"/>
      <c r="P30" s="2655"/>
    </row>
    <row r="31" spans="1:19" ht="15.75" thickBot="1">
      <c r="A31" s="1672"/>
      <c r="B31" s="1673"/>
      <c r="C31" s="831" t="s">
        <v>1155</v>
      </c>
      <c r="D31" s="675">
        <f>D27+D30</f>
        <v>10326.199999999999</v>
      </c>
      <c r="E31" s="675">
        <f>E27+E30</f>
        <v>50278.1</v>
      </c>
      <c r="F31" s="676">
        <f>F27+F30</f>
        <v>34966.5</v>
      </c>
      <c r="G31" s="677">
        <f>G27+G30</f>
        <v>15311.600000000002</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45457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43.65</v>
      </c>
      <c r="G6" s="65">
        <f>IF(ISERROR(ROUND(POWER(1+H6,D6-F6)*(POWER(1+H6,F6)-1)/(POWER(1+H6,D6)-1),3)),0,ROUND(POWER(1+H6,D6-F6)*(POWER(1+H6,F6)-1)/(POWER(1+H6,D6)-1),3))</f>
        <v>0.96499999999999997</v>
      </c>
      <c r="H6" s="731">
        <v>0.05</v>
      </c>
      <c r="I6" s="731">
        <v>5.5E-2</v>
      </c>
      <c r="J6" s="66">
        <v>7.0000000000000007E-2</v>
      </c>
      <c r="K6" s="1026">
        <f>SUMIF('数据-汇总表'!C$19:C$33,A6,'数据-汇总表'!E$19:E$33)</f>
        <v>33759.019999999997</v>
      </c>
      <c r="L6" s="3486">
        <f>M26</f>
        <v>4779</v>
      </c>
      <c r="M6" s="67">
        <f t="shared" ref="M6:M14" si="0">ROUND(K6*L6/10000,0)</f>
        <v>16133</v>
      </c>
      <c r="N6" s="730">
        <f>ROUND(1-(2024-2021)/60,2)</f>
        <v>0.95</v>
      </c>
      <c r="O6" s="67" t="str">
        <f>IF($N$5="成新度","——",ROUND(M6*N6,0))</f>
        <v>——</v>
      </c>
      <c r="P6" s="68" t="str">
        <f>IF($N$5="成新度","——",M6-O6)</f>
        <v>——</v>
      </c>
      <c r="Q6" s="733">
        <v>0.15</v>
      </c>
      <c r="R6" s="69">
        <f ca="1">SUMIF('数据-汇总表'!C$19:C$33,A6,'数据-汇总表'!R$19:R$27)</f>
        <v>6946.33</v>
      </c>
      <c r="S6" s="51">
        <f>IF('数据-汇总表'!$I$17="按面积比例",SUMIF('数据-汇总表'!C$19:C$33,A6,'数据-汇总表'!K$19:K$33),SUMIF('数据-汇总表'!C$19:C$33,A6,'数据-汇总表'!N$19:N$33))</f>
        <v>62.55</v>
      </c>
      <c r="T6" s="1168">
        <f>ROUND($L$14*S6/10000,0)</f>
        <v>30</v>
      </c>
      <c r="U6" s="3424">
        <v>5.5</v>
      </c>
      <c r="V6" s="70">
        <v>2.5000000000000001E-2</v>
      </c>
      <c r="W6" s="70">
        <v>0.1</v>
      </c>
      <c r="X6" s="1036"/>
      <c r="Y6" s="71">
        <f>N6</f>
        <v>0.95</v>
      </c>
      <c r="Z6" s="72"/>
      <c r="AA6" s="66"/>
      <c r="AB6" s="66"/>
      <c r="AC6" s="1036"/>
      <c r="AD6" s="73"/>
      <c r="AE6" s="1037">
        <f ca="1">IF(AN6="",0,SUMIF(INDIRECT("'"&amp;AN6&amp;"'"&amp;"!E:E"),$AE$5,INDIRECT("'"&amp;AN6&amp;"'"&amp;"!F:F")))</f>
        <v>43.65</v>
      </c>
      <c r="AF6" s="1344"/>
      <c r="AG6" s="138">
        <f>IF(AF6="",0,AE6-AF6)</f>
        <v>0</v>
      </c>
      <c r="AH6" s="74">
        <v>33521.360000000001</v>
      </c>
      <c r="AI6" s="76">
        <v>365</v>
      </c>
      <c r="AJ6" s="77"/>
      <c r="AK6" s="78">
        <v>5.0000000000000001E-3</v>
      </c>
      <c r="AL6" s="79">
        <v>1.5E-3</v>
      </c>
      <c r="AM6" s="80">
        <v>5.0000000000000001E-3</v>
      </c>
      <c r="AN6" s="1711" t="s">
        <v>3476</v>
      </c>
      <c r="AO6" s="52">
        <f ca="1">SUMIF(INDIRECT("'"&amp;AN6&amp;"'"&amp;"!A:A"),"总价",INDIRECT("'"&amp;AN6&amp;"'"&amp;"!B:B"))</f>
        <v>116358</v>
      </c>
      <c r="AP6" s="1712">
        <f>IF(C6="住宅",K6*L6,0)</f>
        <v>0</v>
      </c>
      <c r="AQ6" s="52">
        <f>ROUND($L$14*$N$14*S6/10000,0)</f>
        <v>28</v>
      </c>
      <c r="AR6" s="52">
        <f>ROUND($L$14*(1-$N$14)*S6/10000,0)</f>
        <v>1</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33.64</v>
      </c>
      <c r="G7" s="65">
        <f t="shared" ref="G7:G11" si="2">IF(ISERROR(ROUND(POWER(1+H7,D7-F7)*(POWER(1+H7,F7)-1)/(POWER(1+H7,D7)-1),3)),0,ROUND(POWER(1+H7,D7-F7)*(POWER(1+H7,F7)-1)/(POWER(1+H7,D7)-1),3))</f>
        <v>0.94</v>
      </c>
      <c r="H7" s="731">
        <v>0.05</v>
      </c>
      <c r="I7" s="731">
        <v>5.5E-2</v>
      </c>
      <c r="J7" s="66">
        <v>7.0000000000000007E-2</v>
      </c>
      <c r="K7" s="1026">
        <f>SUMIF('数据-汇总表'!C$19:C$33,A7,'数据-汇总表'!E$19:E$33)</f>
        <v>1114.5</v>
      </c>
      <c r="L7" s="3486">
        <f>M26</f>
        <v>4779</v>
      </c>
      <c r="M7" s="67">
        <f t="shared" si="0"/>
        <v>533</v>
      </c>
      <c r="N7" s="730">
        <f t="shared" ref="N7:N8" si="3">ROUND(1-(2024-2021)/60,2)</f>
        <v>0.95</v>
      </c>
      <c r="O7" s="67" t="str">
        <f t="shared" ref="O7:O14" si="4">IF($N$5="成新度","——",ROUND(M7*N7,0))</f>
        <v>——</v>
      </c>
      <c r="P7" s="68" t="str">
        <f t="shared" ref="P7:P14" si="5">IF($N$5="成新度","——",M7-O7)</f>
        <v>——</v>
      </c>
      <c r="Q7" s="733">
        <v>0.2</v>
      </c>
      <c r="R7" s="69">
        <f ca="1">SUMIF('数据-汇总表'!C$19:C$33,A7,'数据-汇总表'!R$19:R$27)</f>
        <v>229.32</v>
      </c>
      <c r="S7" s="51">
        <f>IF('数据-汇总表'!$I$17="按面积比例",SUMIF('数据-汇总表'!C$19:C$33,A7,'数据-汇总表'!K$19:K$33),SUMIF('数据-汇总表'!C$19:C$33,A7,'数据-汇总表'!N$19:N$33))</f>
        <v>2.06</v>
      </c>
      <c r="T7" s="1168">
        <f t="shared" ref="T7:T13" si="6">ROUND($L$14*S7/10000,0)</f>
        <v>1</v>
      </c>
      <c r="U7" s="3424">
        <v>6.5</v>
      </c>
      <c r="V7" s="70">
        <v>2.5000000000000001E-2</v>
      </c>
      <c r="W7" s="70">
        <v>0.1</v>
      </c>
      <c r="X7" s="1036"/>
      <c r="Y7" s="71">
        <f t="shared" ref="Y7:Y8" si="7">N7</f>
        <v>0.95</v>
      </c>
      <c r="Z7" s="72"/>
      <c r="AA7" s="66"/>
      <c r="AB7" s="66"/>
      <c r="AC7" s="1036"/>
      <c r="AD7" s="73"/>
      <c r="AE7" s="1037">
        <f t="shared" ref="AE7:AE13" ca="1" si="8">IF(AN7="",0,SUMIF(INDIRECT("'"&amp;AN7&amp;"'"&amp;"!E:E"),$AE$5,INDIRECT("'"&amp;AN7&amp;"'"&amp;"!F:F")))</f>
        <v>33.64</v>
      </c>
      <c r="AF7" s="1344"/>
      <c r="AG7" s="138">
        <f t="shared" ref="AG7:AG13" si="9">IF(AF7="",0,AE7-AF7)</f>
        <v>0</v>
      </c>
      <c r="AH7" s="74"/>
      <c r="AI7" s="76">
        <v>365</v>
      </c>
      <c r="AJ7" s="77"/>
      <c r="AK7" s="78">
        <v>5.0000000000000001E-3</v>
      </c>
      <c r="AL7" s="79">
        <v>1.5E-3</v>
      </c>
      <c r="AM7" s="80">
        <v>5.0000000000000001E-3</v>
      </c>
      <c r="AN7" s="1711" t="s">
        <v>3474</v>
      </c>
      <c r="AO7" s="52">
        <f t="shared" ref="AO7:AO13" ca="1" si="10">SUMIF(INDIRECT("'"&amp;AN7&amp;"'"&amp;"!A:A"),"总价",INDIRECT("'"&amp;AN7&amp;"'"&amp;"!B:B"))</f>
        <v>3982</v>
      </c>
      <c r="AP7" s="1712">
        <f t="shared" ref="AP7:AP13" si="11">IF(C7="住宅",K7*L7,0)</f>
        <v>0</v>
      </c>
      <c r="AQ7" s="52">
        <f t="shared" ref="AQ7:AQ13" si="12">ROUND($L$14*$N$14*S7/10000,0)</f>
        <v>1</v>
      </c>
      <c r="AR7" s="52">
        <f t="shared" ref="AR7:AR13" si="13">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43.65</v>
      </c>
      <c r="G8" s="65">
        <f t="shared" si="2"/>
        <v>0.96</v>
      </c>
      <c r="H8" s="731">
        <v>4.4999999999999998E-2</v>
      </c>
      <c r="I8" s="731">
        <v>0.05</v>
      </c>
      <c r="J8" s="66">
        <v>7.0000000000000007E-2</v>
      </c>
      <c r="K8" s="1026">
        <f>SUMIF('数据-汇总表'!C$19:C$33,A8,'数据-汇总表'!E$19:E$33)</f>
        <v>15311.600000000002</v>
      </c>
      <c r="L8" s="732">
        <f>M26</f>
        <v>4779</v>
      </c>
      <c r="M8" s="67">
        <f>ROUND(K8*L8/10000,0)</f>
        <v>7317</v>
      </c>
      <c r="N8" s="730">
        <f t="shared" si="3"/>
        <v>0.95</v>
      </c>
      <c r="O8" s="67" t="str">
        <f t="shared" si="4"/>
        <v>——</v>
      </c>
      <c r="P8" s="68" t="str">
        <f t="shared" si="5"/>
        <v>——</v>
      </c>
      <c r="Q8" s="733">
        <v>0.05</v>
      </c>
      <c r="R8" s="69">
        <f ca="1">SUMIF('数据-汇总表'!C$19:C$33,A8,'数据-汇总表'!R$19:R$27)</f>
        <v>3150.5499999999997</v>
      </c>
      <c r="S8" s="51">
        <f>IF('数据-汇总表'!$I$17="按面积比例",SUMIF('数据-汇总表'!C$19:C$33,A8,'数据-汇总表'!K$19:K$33),SUMIF('数据-汇总表'!C$19:C$33,A8,'数据-汇总表'!N$19:N$33))</f>
        <v>28.37</v>
      </c>
      <c r="T8" s="1168">
        <f t="shared" si="6"/>
        <v>14</v>
      </c>
      <c r="U8" s="3425">
        <v>800</v>
      </c>
      <c r="V8" s="734">
        <v>2.5000000000000001E-2</v>
      </c>
      <c r="W8" s="734">
        <v>0.1</v>
      </c>
      <c r="X8" s="1036"/>
      <c r="Y8" s="71">
        <f t="shared" si="7"/>
        <v>0.95</v>
      </c>
      <c r="Z8" s="72"/>
      <c r="AA8" s="66"/>
      <c r="AB8" s="66"/>
      <c r="AC8" s="1036"/>
      <c r="AD8" s="73"/>
      <c r="AE8" s="1037">
        <f t="shared" ca="1" si="8"/>
        <v>43.65</v>
      </c>
      <c r="AF8" s="1344"/>
      <c r="AG8" s="138">
        <f t="shared" si="9"/>
        <v>0</v>
      </c>
      <c r="AH8" s="735">
        <v>437</v>
      </c>
      <c r="AI8" s="76">
        <v>12</v>
      </c>
      <c r="AJ8" s="77"/>
      <c r="AK8" s="78">
        <v>5.0000000000000001E-3</v>
      </c>
      <c r="AL8" s="79">
        <v>1.5E-3</v>
      </c>
      <c r="AM8" s="80">
        <v>5.0000000000000001E-3</v>
      </c>
      <c r="AN8" s="1711" t="s">
        <v>3478</v>
      </c>
      <c r="AO8" s="52">
        <f t="shared" ca="1" si="10"/>
        <v>6566</v>
      </c>
      <c r="AP8" s="1712">
        <f t="shared" si="11"/>
        <v>0</v>
      </c>
      <c r="AQ8" s="52">
        <f t="shared" si="12"/>
        <v>13</v>
      </c>
      <c r="AR8" s="52">
        <f t="shared" si="13"/>
        <v>1</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6"/>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92.98</v>
      </c>
      <c r="L14" s="82">
        <f>M26</f>
        <v>4779</v>
      </c>
      <c r="M14" s="67">
        <f t="shared" si="0"/>
        <v>44</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0.96299999999999997</v>
      </c>
      <c r="H16" s="90">
        <f>ROUND(SUMPRODUCT(H6:H13,K6:K13)/SUMPRODUCT((H6:H13&gt;0)*(K6:K13)),3)</f>
        <v>4.8000000000000001E-2</v>
      </c>
      <c r="I16" s="91"/>
      <c r="J16" s="91"/>
      <c r="K16" s="92">
        <f>SUM(K6:K15)</f>
        <v>50278.1</v>
      </c>
      <c r="L16" s="93">
        <f>ROUND(M16*10000/SUM(K6:K14),0)</f>
        <v>4779</v>
      </c>
      <c r="M16" s="93">
        <f>SUM(M6:M14)</f>
        <v>24027</v>
      </c>
      <c r="N16" s="94">
        <f>ROUND(SUMPRODUCT(M6:M14,N6:N14)/M16,3)</f>
        <v>0.95</v>
      </c>
      <c r="O16" s="93">
        <f>SUM(O6:O14)</f>
        <v>0</v>
      </c>
      <c r="P16" s="93">
        <f>SUM(P6:P14)</f>
        <v>0</v>
      </c>
      <c r="Q16" s="95">
        <f>ROUND(SUMPRODUCT(Q6:Q13,K6:K13)/SUMPRODUCT((Q6:Q13&gt;0)*(K6:K13)),2)</f>
        <v>0.12</v>
      </c>
      <c r="R16" s="1030">
        <f ca="1">SUM(R6:R13)</f>
        <v>10326.199999999999</v>
      </c>
      <c r="S16" s="96">
        <f>SUM(S6:S13)</f>
        <v>92.98</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3483</v>
      </c>
      <c r="K23" s="2668"/>
      <c r="L23" s="2668" t="s">
        <v>3484</v>
      </c>
      <c r="M23" s="2667">
        <f>M24+M25</f>
        <v>50278.100000000006</v>
      </c>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34966.5</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15311.600000000002</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3485</v>
      </c>
      <c r="K26" s="2668" t="s">
        <v>3486</v>
      </c>
      <c r="L26" s="2668"/>
      <c r="M26" s="2667">
        <f>M27+M30+M31</f>
        <v>4779</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3487</v>
      </c>
      <c r="L27" s="2668" t="s">
        <v>3484</v>
      </c>
      <c r="M27" s="2667">
        <f>ROUND((M24*M28+M25*M29)/M23,0)</f>
        <v>2650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1670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4887</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3488</v>
      </c>
      <c r="L30" s="2668"/>
      <c r="M30" s="2667">
        <v>569</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3489</v>
      </c>
      <c r="L31" s="2668"/>
      <c r="M31" s="2667">
        <v>1560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97" t="s">
        <v>2281</v>
      </c>
      <c r="B1" s="3598"/>
      <c r="C1" s="3598"/>
      <c r="D1" s="3598"/>
      <c r="E1" s="3598"/>
      <c r="F1" s="3598"/>
      <c r="G1" s="359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33759.019999999997</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45457</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135439</v>
      </c>
      <c r="C5" s="2508">
        <f ca="1">IF(B5=D14,结果表!H102,ROUND(B5*10000/$B$1,0))</f>
        <v>26938</v>
      </c>
      <c r="D5" s="2508" t="e">
        <f ca="1">ROUND(B5*10000/$B$2,0)</f>
        <v>#DIV/0!</v>
      </c>
      <c r="E5" s="2682"/>
      <c r="F5" s="2683"/>
      <c r="G5" s="2683"/>
      <c r="H5" s="2684"/>
      <c r="I5" s="2684"/>
      <c r="J5" s="2684"/>
      <c r="K5" s="2684"/>
    </row>
    <row r="6" spans="1:11" ht="16.5">
      <c r="A6" s="2508" t="s">
        <v>655</v>
      </c>
      <c r="B6" s="2508">
        <f ca="1">SUM(G14:G23)</f>
        <v>135439</v>
      </c>
      <c r="C6" s="2508">
        <f ca="1">IF(B6=G14,结果表!H108,ROUND(B6*10000/$B$1,0))</f>
        <v>26938</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20197</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7"/>
      <c r="F10" s="3441" t="s">
        <v>3355</v>
      </c>
      <c r="G10" s="3438"/>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33759.019999999997</v>
      </c>
      <c r="C14" s="2514"/>
      <c r="D14" s="2514">
        <f ca="1">结果表!H107</f>
        <v>135439</v>
      </c>
      <c r="E14" s="2514">
        <f ca="1">ROUND(D14*10000/B14,0)</f>
        <v>40119</v>
      </c>
      <c r="F14" s="2514" t="e">
        <f ca="1">ROUND(D14*10000/C14,0)</f>
        <v>#DIV/0!</v>
      </c>
      <c r="G14" s="2514">
        <f ca="1">D14</f>
        <v>135439</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37" zoomScale="85" zoomScaleNormal="100" zoomScaleSheetLayoutView="85" zoomScalePageLayoutView="80" workbookViewId="0">
      <selection activeCell="H91" sqref="H91"/>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66" t="str">
        <f>项目基本情况!S2</f>
        <v>北京市房地产</v>
      </c>
      <c r="B2" s="3667"/>
      <c r="C2" s="3667"/>
      <c r="D2" s="3667"/>
      <c r="E2" s="3667"/>
      <c r="F2" s="3667"/>
      <c r="G2" s="3667"/>
      <c r="H2" s="3667"/>
      <c r="I2" s="3668"/>
    </row>
    <row r="3" spans="1:12" ht="12.75">
      <c r="A3" s="3670" t="s">
        <v>1261</v>
      </c>
      <c r="B3" s="3671"/>
      <c r="C3" s="3671"/>
      <c r="D3" s="3671"/>
      <c r="E3" s="3671"/>
      <c r="F3" s="3671"/>
      <c r="G3" s="3671"/>
      <c r="H3" s="3671"/>
      <c r="I3" s="3671"/>
    </row>
    <row r="4" spans="1:12" ht="14.25">
      <c r="A4" s="1750" t="s">
        <v>1262</v>
      </c>
      <c r="B4" s="1751" t="s">
        <v>1263</v>
      </c>
      <c r="C4" s="1752" t="s">
        <v>3466</v>
      </c>
      <c r="D4" s="1752" t="s">
        <v>3480</v>
      </c>
      <c r="E4" s="3675" t="s">
        <v>1264</v>
      </c>
      <c r="F4" s="3676"/>
      <c r="G4" s="3676"/>
      <c r="H4" s="3676"/>
      <c r="I4" s="367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4" t="s">
        <v>1265</v>
      </c>
      <c r="B5" s="3669">
        <v>25</v>
      </c>
      <c r="C5" s="3672"/>
      <c r="D5" s="3660"/>
      <c r="E5" s="131" t="s">
        <v>1266</v>
      </c>
      <c r="F5" s="1753"/>
      <c r="G5" s="1753"/>
      <c r="H5" s="1753"/>
      <c r="I5" s="1369"/>
    </row>
    <row r="6" spans="1:12" ht="12.75">
      <c r="A6" s="3614"/>
      <c r="B6" s="3669"/>
      <c r="C6" s="3674"/>
      <c r="D6" s="3660"/>
      <c r="E6" s="131" t="s">
        <v>1267</v>
      </c>
      <c r="F6" s="1753"/>
      <c r="G6" s="1753"/>
      <c r="H6" s="1753"/>
      <c r="I6" s="1369"/>
    </row>
    <row r="7" spans="1:12" ht="12.75">
      <c r="A7" s="3614"/>
      <c r="B7" s="3669"/>
      <c r="C7" s="3673"/>
      <c r="D7" s="3660"/>
      <c r="E7" s="131" t="s">
        <v>1268</v>
      </c>
      <c r="F7" s="1753"/>
      <c r="G7" s="1753"/>
      <c r="H7" s="1753"/>
      <c r="I7" s="1369"/>
    </row>
    <row r="8" spans="1:12" ht="12.75">
      <c r="A8" s="3614" t="s">
        <v>1269</v>
      </c>
      <c r="B8" s="3669">
        <v>15</v>
      </c>
      <c r="C8" s="3672"/>
      <c r="D8" s="3660"/>
      <c r="E8" s="131" t="s">
        <v>1270</v>
      </c>
      <c r="F8" s="1753"/>
      <c r="G8" s="1753"/>
      <c r="H8" s="1753"/>
      <c r="I8" s="1369"/>
    </row>
    <row r="9" spans="1:12" ht="12.75">
      <c r="A9" s="3614"/>
      <c r="B9" s="3669"/>
      <c r="C9" s="3673"/>
      <c r="D9" s="3660"/>
      <c r="E9" s="131" t="s">
        <v>1271</v>
      </c>
      <c r="F9" s="1753"/>
      <c r="G9" s="1753"/>
      <c r="H9" s="1753"/>
      <c r="I9" s="1369"/>
    </row>
    <row r="10" spans="1:12" ht="12.75">
      <c r="A10" s="3614" t="s">
        <v>1272</v>
      </c>
      <c r="B10" s="3669">
        <v>15</v>
      </c>
      <c r="C10" s="3672"/>
      <c r="D10" s="3660"/>
      <c r="E10" s="131" t="s">
        <v>1273</v>
      </c>
      <c r="F10" s="1753"/>
      <c r="G10" s="1753"/>
      <c r="H10" s="1753"/>
      <c r="I10" s="1369"/>
    </row>
    <row r="11" spans="1:12" ht="12.75">
      <c r="A11" s="3614"/>
      <c r="B11" s="3669"/>
      <c r="C11" s="3673"/>
      <c r="D11" s="3660"/>
      <c r="E11" s="131" t="s">
        <v>1274</v>
      </c>
      <c r="F11" s="1753"/>
      <c r="G11" s="1753"/>
      <c r="H11" s="1753"/>
      <c r="I11" s="1369"/>
    </row>
    <row r="12" spans="1:12" ht="12.75">
      <c r="A12" s="3614" t="s">
        <v>1275</v>
      </c>
      <c r="B12" s="3669">
        <v>15</v>
      </c>
      <c r="C12" s="3672"/>
      <c r="D12" s="3660"/>
      <c r="E12" s="131" t="s">
        <v>1276</v>
      </c>
      <c r="F12" s="1753"/>
      <c r="G12" s="1753"/>
      <c r="H12" s="1753"/>
      <c r="I12" s="1369"/>
    </row>
    <row r="13" spans="1:12" ht="12.75">
      <c r="A13" s="3614"/>
      <c r="B13" s="3669"/>
      <c r="C13" s="3673"/>
      <c r="D13" s="3660"/>
      <c r="E13" s="131" t="s">
        <v>1277</v>
      </c>
      <c r="F13" s="1753"/>
      <c r="G13" s="1753"/>
      <c r="H13" s="1753"/>
      <c r="I13" s="1369"/>
    </row>
    <row r="14" spans="1:12" ht="12.75">
      <c r="A14" s="3614" t="s">
        <v>1278</v>
      </c>
      <c r="B14" s="3669">
        <v>30</v>
      </c>
      <c r="C14" s="3672">
        <v>5</v>
      </c>
      <c r="D14" s="3660">
        <v>5</v>
      </c>
      <c r="E14" s="131" t="s">
        <v>1279</v>
      </c>
      <c r="F14" s="1753"/>
      <c r="G14" s="1753"/>
      <c r="H14" s="1753"/>
      <c r="I14" s="1369"/>
    </row>
    <row r="15" spans="1:12" ht="12.75">
      <c r="A15" s="3614"/>
      <c r="B15" s="3669"/>
      <c r="C15" s="3674"/>
      <c r="D15" s="3660"/>
      <c r="E15" s="131" t="s">
        <v>1280</v>
      </c>
      <c r="F15" s="1753"/>
      <c r="G15" s="1753"/>
      <c r="H15" s="1753"/>
      <c r="I15" s="1369"/>
    </row>
    <row r="16" spans="1:12" ht="12.75">
      <c r="A16" s="3614"/>
      <c r="B16" s="3669"/>
      <c r="C16" s="3673"/>
      <c r="D16" s="3660"/>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91" t="s">
        <v>2126</v>
      </c>
      <c r="F18" s="3692"/>
      <c r="G18" s="3692"/>
      <c r="H18" s="3692"/>
      <c r="I18" s="3692"/>
      <c r="K18" s="302" t="s">
        <v>1286</v>
      </c>
      <c r="L18" s="302">
        <f>IF(C1="",'数据-汇总表'!E3,SUMIF(项目类型,C1,'数据-汇总表'!E17:E26)+SUMIF(项目类型,C1,'数据-汇总表'!I17:I26))</f>
        <v>50278.1</v>
      </c>
      <c r="M18" s="302">
        <f>IF(C1="",'数据-汇总表'!E3,SUMIF(项目类型,C1,'数据-汇总表'!E17:E26))</f>
        <v>50278.1</v>
      </c>
    </row>
    <row r="19" spans="1:36" ht="15">
      <c r="A19" s="1757" t="s">
        <v>1287</v>
      </c>
      <c r="B19" s="1758" t="s">
        <v>1288</v>
      </c>
      <c r="C19" s="134">
        <f ca="1">SUMIF(INDIRECT("'"&amp;C4&amp;"'"&amp;"!A:A"),结果表!B19,INDIRECT("'"&amp;C4&amp;"'"&amp;"!B:B"))</f>
        <v>143971</v>
      </c>
      <c r="D19" s="135">
        <f ca="1">SUMIF(INDIRECT("'"&amp;D4&amp;"'"&amp;"!A:A"),结果表!B19,INDIRECT("'"&amp;D4&amp;"'"&amp;"!B:B"))</f>
        <v>126906</v>
      </c>
      <c r="E19" s="1757" t="s">
        <v>1289</v>
      </c>
      <c r="F19" s="1758" t="s">
        <v>1288</v>
      </c>
      <c r="G19" s="136">
        <f ca="1">ROUND(C19*$C$18+D19*$D$18,0)</f>
        <v>135439</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28635</v>
      </c>
      <c r="D20" s="138">
        <f ca="1">SUMIF(INDIRECT("'"&amp;D4&amp;"'"&amp;"!A:A"),结果表!B20,INDIRECT("'"&amp;D4&amp;"'"&amp;"!B:B"))</f>
        <v>25241</v>
      </c>
      <c r="E20" s="1760"/>
      <c r="F20" s="1022" t="s">
        <v>1292</v>
      </c>
      <c r="G20" s="139">
        <f ca="1">ROUND(C20*$C$18+D20*$D$18,0)</f>
        <v>26938</v>
      </c>
      <c r="H20" s="804" t="s">
        <v>1293</v>
      </c>
      <c r="I20" s="129"/>
    </row>
    <row r="21" spans="1:36" ht="15" customHeight="1" thickBot="1">
      <c r="A21" s="824"/>
      <c r="B21" s="1761" t="s">
        <v>1294</v>
      </c>
      <c r="C21" s="718">
        <f ca="1">ROUND(C19*10000/L19,0)</f>
        <v>139423</v>
      </c>
      <c r="D21" s="719">
        <f ca="1">ROUND(D19*10000/L19,0)</f>
        <v>122897</v>
      </c>
      <c r="E21" s="824"/>
      <c r="F21" s="1761" t="s">
        <v>1294</v>
      </c>
      <c r="G21" s="140">
        <f ca="1">ROUND(G19*10000/L19,0)</f>
        <v>131161</v>
      </c>
      <c r="H21" s="1762" t="s">
        <v>1293</v>
      </c>
      <c r="I21" s="129"/>
    </row>
    <row r="22" spans="1:36" ht="15" thickBot="1">
      <c r="A22" s="1684" t="s">
        <v>1295</v>
      </c>
      <c r="B22" s="1763"/>
      <c r="C22" s="1764"/>
      <c r="D22" s="720">
        <f ca="1">IF(C19&lt;D19,D19/C19-1,C19/D19-1)</f>
        <v>0.13446960742596881</v>
      </c>
      <c r="E22" s="129"/>
      <c r="F22" s="129"/>
      <c r="G22" s="129"/>
      <c r="H22" s="129"/>
      <c r="I22" s="129"/>
    </row>
    <row r="23" spans="1:36" ht="13.5" thickBot="1">
      <c r="A23" s="1743"/>
      <c r="B23" s="1743"/>
      <c r="C23" s="1743"/>
      <c r="D23" s="1743"/>
      <c r="E23" s="129"/>
      <c r="F23" s="129"/>
      <c r="G23" s="129"/>
      <c r="H23" s="129"/>
      <c r="I23" s="129"/>
    </row>
    <row r="24" spans="1:36" ht="14.25">
      <c r="A24" s="3684" t="s">
        <v>1296</v>
      </c>
      <c r="B24" s="1758" t="s">
        <v>1288</v>
      </c>
      <c r="C24" s="136">
        <f>IF(B30=0,0,D30)</f>
        <v>0</v>
      </c>
      <c r="D24" s="1765"/>
      <c r="E24" s="129"/>
      <c r="F24" s="129"/>
      <c r="G24" s="129"/>
      <c r="H24" s="129"/>
      <c r="I24" s="129"/>
    </row>
    <row r="25" spans="1:36" ht="14.25">
      <c r="A25" s="3685"/>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40815.151515151512</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135439</v>
      </c>
      <c r="D32" s="1771" t="s">
        <v>3482</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105507</v>
      </c>
      <c r="D34" s="857">
        <f ca="1">IF(C33="自定义",ROUND(C34/C32,3),IF(C33="收益比率",SUMIF(INDIRECT("'"&amp;D33&amp;"'"&amp;"!b:b"),"土地收益比率",INDIRECT("'"&amp;D33&amp;"'"&amp;"!c:c")),SUMIF(INDIRECT("'"&amp;D33&amp;"'"&amp;"!b:b"),"土地成本比率",INDIRECT("'"&amp;D33&amp;"'"&amp;"!c:c"))))</f>
        <v>0.77900000000000003</v>
      </c>
      <c r="E34" s="1779" t="s">
        <v>1306</v>
      </c>
      <c r="F34" s="1326"/>
      <c r="G34" s="129"/>
      <c r="H34" s="129"/>
      <c r="I34" s="129"/>
    </row>
    <row r="35" spans="1:15" ht="15.75" thickBot="1">
      <c r="A35" s="1780"/>
      <c r="B35" s="1781" t="s">
        <v>1307</v>
      </c>
      <c r="C35" s="1166">
        <f ca="1">IF(C33="自定义",F35,ROUND(C32*D35,0))</f>
        <v>29932</v>
      </c>
      <c r="D35" s="1167">
        <f ca="1">IF(C33="自定义",ROUND(C35/C32,3),IF(C33="收益比率",SUMIF(INDIRECT("'"&amp;D33&amp;"'"&amp;"!b:b"),"建筑物收益比率",INDIRECT("'"&amp;D33&amp;"'"&amp;"!c:c")),SUMIF(INDIRECT("'"&amp;D33&amp;"'"&amp;"!b:b"),"建筑物成本比率",INDIRECT("'"&amp;D33&amp;"'"&amp;"!c:c"))))</f>
        <v>0.221</v>
      </c>
      <c r="E35" s="1782" t="s">
        <v>1308</v>
      </c>
      <c r="F35" s="154"/>
      <c r="G35" s="129"/>
      <c r="H35" s="129"/>
      <c r="I35" s="129"/>
    </row>
    <row r="36" spans="1:15" ht="15.75" thickBot="1">
      <c r="A36" s="3661" t="s">
        <v>1309</v>
      </c>
      <c r="B36" s="1783" t="s">
        <v>1310</v>
      </c>
      <c r="C36" s="145"/>
      <c r="D36" s="1784"/>
      <c r="E36" s="1785"/>
      <c r="F36" s="1786"/>
      <c r="G36" s="129"/>
      <c r="H36" s="129"/>
      <c r="I36" s="129"/>
    </row>
    <row r="37" spans="1:15" ht="15.75" thickBot="1">
      <c r="A37" s="3662"/>
      <c r="B37" s="1670" t="s">
        <v>1311</v>
      </c>
      <c r="C37" s="147"/>
      <c r="D37" s="1135"/>
      <c r="E37" s="1135"/>
      <c r="F37" s="1786"/>
      <c r="G37" s="129"/>
      <c r="H37" s="129"/>
      <c r="I37" s="129"/>
    </row>
    <row r="38" spans="1:15" ht="15.75" thickBot="1">
      <c r="A38" s="3663"/>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1" t="s">
        <v>1323</v>
      </c>
      <c r="B45" s="3682"/>
      <c r="C45" s="3683"/>
      <c r="D45" s="155">
        <f ca="1">ROUND(H101*F45,0)</f>
        <v>135439</v>
      </c>
      <c r="E45" s="156" t="s">
        <v>1324</v>
      </c>
      <c r="F45" s="157">
        <v>1</v>
      </c>
      <c r="G45" s="158" t="s">
        <v>1325</v>
      </c>
      <c r="H45" s="129"/>
      <c r="I45" s="129"/>
      <c r="J45" s="3601" t="s">
        <v>1326</v>
      </c>
      <c r="K45" s="3601"/>
      <c r="L45" s="3601"/>
      <c r="M45" s="3601"/>
      <c r="N45" s="3601"/>
      <c r="O45" s="3601"/>
    </row>
    <row r="46" spans="1:15" ht="14.25" customHeight="1">
      <c r="A46" s="3678" t="s">
        <v>1327</v>
      </c>
      <c r="B46" s="3679"/>
      <c r="C46" s="3679"/>
      <c r="D46" s="3679"/>
      <c r="E46" s="3679"/>
      <c r="F46" s="3679"/>
      <c r="G46" s="3680"/>
      <c r="H46" s="1802"/>
      <c r="I46" s="159"/>
      <c r="J46" s="2519">
        <v>1</v>
      </c>
      <c r="K46" s="3602" t="s">
        <v>1328</v>
      </c>
      <c r="L46" s="3602"/>
      <c r="M46" s="3603"/>
      <c r="N46" s="3603"/>
      <c r="O46" s="3603"/>
    </row>
    <row r="47" spans="1:15" ht="12" customHeight="1">
      <c r="A47" s="160" t="s">
        <v>1329</v>
      </c>
      <c r="B47" s="161"/>
      <c r="C47" s="162"/>
      <c r="D47" s="1083" t="s">
        <v>1330</v>
      </c>
      <c r="E47" s="302" t="s">
        <v>1331</v>
      </c>
      <c r="F47" s="163" t="s">
        <v>1332</v>
      </c>
      <c r="G47" s="2542" t="s">
        <v>1333</v>
      </c>
      <c r="H47" s="2543"/>
      <c r="I47" s="159"/>
      <c r="J47" s="2519">
        <v>2</v>
      </c>
      <c r="K47" s="3602" t="s">
        <v>1334</v>
      </c>
      <c r="L47" s="3602"/>
      <c r="M47" s="3604">
        <f>'数据-取费表'!B2</f>
        <v>45457</v>
      </c>
      <c r="N47" s="3604"/>
      <c r="O47" s="3604"/>
    </row>
    <row r="48" spans="1:15" ht="25.5">
      <c r="A48" s="3664" t="s">
        <v>1335</v>
      </c>
      <c r="B48" s="3665"/>
      <c r="C48" s="3665"/>
      <c r="D48" s="2320">
        <f ca="1">IF(H48="情况1",0,IF(H48="情况2",D52,IF(H48="情况3",D53,IF(H48="情况4",D54))))</f>
        <v>7223</v>
      </c>
      <c r="E48" s="2330" t="str">
        <f>IF(H48="情况4","(销售额-原购置价)×税（费）率","销售额×税（费）率")</f>
        <v>销售额×税（费）率</v>
      </c>
      <c r="F48" s="2544">
        <f>IF(H48="情况1","免征",'数据-取费表'!B41)</f>
        <v>5.6000000000000001E-2</v>
      </c>
      <c r="G48" s="2545" t="s">
        <v>1336</v>
      </c>
      <c r="H48" s="2546" t="s">
        <v>3490</v>
      </c>
      <c r="I48" s="1802"/>
      <c r="J48" s="2519">
        <v>3</v>
      </c>
      <c r="K48" s="3602" t="s">
        <v>1337</v>
      </c>
      <c r="L48" s="3602"/>
      <c r="M48" s="3605">
        <f ca="1">H101</f>
        <v>135439</v>
      </c>
      <c r="N48" s="3605"/>
      <c r="O48" s="3605"/>
    </row>
    <row r="49" spans="1:35" ht="25.5" customHeight="1">
      <c r="A49" s="2329" t="s">
        <v>1338</v>
      </c>
      <c r="B49" s="3650" t="s">
        <v>1339</v>
      </c>
      <c r="C49" s="3650"/>
      <c r="D49" s="1586">
        <v>0</v>
      </c>
      <c r="E49" s="324" t="s">
        <v>1340</v>
      </c>
      <c r="F49" s="2420" t="s">
        <v>28</v>
      </c>
      <c r="G49" s="3633"/>
      <c r="H49" s="2306" t="s">
        <v>2129</v>
      </c>
      <c r="I49" s="2307"/>
      <c r="J49" s="2519">
        <v>4</v>
      </c>
      <c r="K49" s="3602" t="str">
        <f>IF(项目基本情况!E8="房地产抵押价值","房地产抵押价值","抵押担保权已注销时的房地产抵押价值")</f>
        <v>房地产抵押价值</v>
      </c>
      <c r="L49" s="3602"/>
      <c r="M49" s="3605">
        <f ca="1">IF(项目基本情况!E8="房地产抵押价值",H107,H109)</f>
        <v>135439</v>
      </c>
      <c r="N49" s="3605"/>
      <c r="O49" s="3605"/>
    </row>
    <row r="50" spans="1:35" ht="25.5" customHeight="1">
      <c r="A50" s="2547"/>
      <c r="B50" s="3650" t="s">
        <v>1341</v>
      </c>
      <c r="C50" s="3650"/>
      <c r="D50" s="2548"/>
      <c r="E50" s="332"/>
      <c r="F50" s="2420"/>
      <c r="G50" s="3634"/>
      <c r="H50" s="2308" t="s">
        <v>2130</v>
      </c>
      <c r="I50" s="2307"/>
      <c r="J50" s="3601" t="s">
        <v>1342</v>
      </c>
      <c r="K50" s="3601"/>
      <c r="L50" s="3601"/>
      <c r="M50" s="3601"/>
      <c r="N50" s="3601"/>
      <c r="O50" s="3601"/>
    </row>
    <row r="51" spans="1:35" ht="20.45" customHeight="1">
      <c r="A51" s="2549"/>
      <c r="B51" s="3650" t="s">
        <v>1343</v>
      </c>
      <c r="C51" s="3650"/>
      <c r="D51" s="1083"/>
      <c r="E51" s="327"/>
      <c r="F51" s="2420"/>
      <c r="G51" s="3635"/>
      <c r="H51" s="2308" t="s">
        <v>2131</v>
      </c>
      <c r="I51" s="2307"/>
      <c r="J51" s="2520" t="s">
        <v>1344</v>
      </c>
      <c r="K51" s="3602" t="s">
        <v>1345</v>
      </c>
      <c r="L51" s="3602"/>
      <c r="M51" s="2520" t="s">
        <v>1346</v>
      </c>
      <c r="N51" s="2520" t="s">
        <v>1347</v>
      </c>
      <c r="O51" s="2520" t="s">
        <v>1348</v>
      </c>
    </row>
    <row r="52" spans="1:35" ht="24" customHeight="1">
      <c r="A52" s="2331" t="s">
        <v>1349</v>
      </c>
      <c r="B52" s="3650" t="s">
        <v>1350</v>
      </c>
      <c r="C52" s="3650"/>
      <c r="D52" s="1083">
        <f ca="1">ROUND(D45*'数据-取费表'!B41/(1+'数据-取费表'!C42),0)</f>
        <v>7223</v>
      </c>
      <c r="E52" s="2330" t="s">
        <v>1351</v>
      </c>
      <c r="F52" s="2550">
        <f>'数据-取费表'!B41</f>
        <v>5.6000000000000001E-2</v>
      </c>
      <c r="G52" s="2551"/>
      <c r="H52" s="2540"/>
      <c r="I52" s="1803"/>
      <c r="J52" s="2519">
        <v>1</v>
      </c>
      <c r="K52" s="3627" t="s">
        <v>1352</v>
      </c>
      <c r="L52" s="3627"/>
      <c r="M52" s="2521">
        <f ca="1">D48</f>
        <v>7223</v>
      </c>
      <c r="N52" s="2519" t="str">
        <f>E48</f>
        <v>销售额×税（费）率</v>
      </c>
      <c r="O52" s="2522">
        <f>F48</f>
        <v>5.6000000000000001E-2</v>
      </c>
    </row>
    <row r="53" spans="1:35" ht="12" customHeight="1">
      <c r="A53" s="2331" t="s">
        <v>1353</v>
      </c>
      <c r="B53" s="3651" t="s">
        <v>2286</v>
      </c>
      <c r="C53" s="3652"/>
      <c r="D53" s="1083">
        <f ca="1">ROUND(D45*'数据-取费表'!B41/(1+'数据-取费表'!C42),0)</f>
        <v>7223</v>
      </c>
      <c r="E53" s="2330" t="s">
        <v>1351</v>
      </c>
      <c r="F53" s="2550">
        <f>'数据-取费表'!B41</f>
        <v>5.6000000000000001E-2</v>
      </c>
      <c r="G53" s="2551"/>
      <c r="H53" s="2540"/>
      <c r="I53" s="1803"/>
      <c r="J53" s="2519">
        <v>2</v>
      </c>
      <c r="K53" s="3627" t="s">
        <v>1354</v>
      </c>
      <c r="L53" s="3627"/>
      <c r="M53" s="2521">
        <f t="shared" ref="M53:O54" ca="1" si="0">D55</f>
        <v>68</v>
      </c>
      <c r="N53" s="2519" t="str">
        <f t="shared" si="0"/>
        <v>销售额×税（费）率</v>
      </c>
      <c r="O53" s="2522">
        <f t="shared" si="0"/>
        <v>5.0000000000000001E-4</v>
      </c>
    </row>
    <row r="54" spans="1:35" ht="12" customHeight="1">
      <c r="A54" s="2331" t="s">
        <v>1355</v>
      </c>
      <c r="B54" s="3651" t="s">
        <v>2287</v>
      </c>
      <c r="C54" s="3652"/>
      <c r="D54" s="1083">
        <f ca="1">C68</f>
        <v>7223</v>
      </c>
      <c r="E54" s="327" t="s">
        <v>1356</v>
      </c>
      <c r="F54" s="2550">
        <f>'数据-取费表'!B41</f>
        <v>5.6000000000000001E-2</v>
      </c>
      <c r="G54" s="2551"/>
      <c r="H54" s="2552"/>
      <c r="I54" s="1803"/>
      <c r="J54" s="2519">
        <v>3</v>
      </c>
      <c r="K54" s="3627" t="s">
        <v>1357</v>
      </c>
      <c r="L54" s="3627"/>
      <c r="M54" s="2521">
        <f t="shared" ca="1" si="0"/>
        <v>26603</v>
      </c>
      <c r="N54" s="2519" t="str">
        <f t="shared" si="0"/>
        <v>增值额×税（费）率</v>
      </c>
      <c r="O54" s="2523" t="str">
        <f t="shared" si="0"/>
        <v>——</v>
      </c>
    </row>
    <row r="55" spans="1:35" ht="24" customHeight="1">
      <c r="A55" s="3687" t="s">
        <v>1358</v>
      </c>
      <c r="B55" s="3665"/>
      <c r="C55" s="3665"/>
      <c r="D55" s="2320">
        <f ca="1">IF(H55="个人住宅",0,ROUND(D45*I55,0))</f>
        <v>68</v>
      </c>
      <c r="E55" s="2330" t="s">
        <v>1359</v>
      </c>
      <c r="F55" s="2550">
        <f>IF(H55="正常",I55,"免征")</f>
        <v>5.0000000000000001E-4</v>
      </c>
      <c r="G55" s="2551"/>
      <c r="H55" s="2546" t="s">
        <v>3392</v>
      </c>
      <c r="I55" s="165">
        <f>'数据-取费表'!B49</f>
        <v>5.0000000000000001E-4</v>
      </c>
      <c r="J55" s="2519" t="str">
        <f>IF(H59="非个人房产","",4)</f>
        <v/>
      </c>
      <c r="K55" s="3627" t="str">
        <f>IF(H59="非个人房产","——","个人所得税")</f>
        <v>——</v>
      </c>
      <c r="L55" s="3627"/>
      <c r="M55" s="2524" t="str">
        <f>D59</f>
        <v>——</v>
      </c>
      <c r="N55" s="2036" t="str">
        <f>E59</f>
        <v>——</v>
      </c>
      <c r="O55" s="2525" t="str">
        <f>F59</f>
        <v>——</v>
      </c>
    </row>
    <row r="56" spans="1:35" ht="24.75">
      <c r="A56" s="3687" t="s">
        <v>1360</v>
      </c>
      <c r="B56" s="3665"/>
      <c r="C56" s="3665"/>
      <c r="D56" s="2320">
        <f ca="1">IF(H56="个人住宅",D57,D58)</f>
        <v>26603</v>
      </c>
      <c r="E56" s="2330" t="s">
        <v>1361</v>
      </c>
      <c r="F56" s="2550" t="str">
        <f>IF(H56="正常",F58,"免征")</f>
        <v>——</v>
      </c>
      <c r="G56" s="2553" t="s">
        <v>1362</v>
      </c>
      <c r="H56" s="2554" t="s">
        <v>3392</v>
      </c>
      <c r="I56" s="1804"/>
      <c r="J56" s="2519" t="str">
        <f>IF(项目基本情况!K6="上海银行",IF(J55="",4,J55+1),"")</f>
        <v/>
      </c>
      <c r="K56" s="3608" t="str">
        <f>IF(项目基本情况!K6="上海银行","其他处置费用","")</f>
        <v/>
      </c>
      <c r="L56" s="3609"/>
      <c r="M56" s="2521" t="str">
        <f>IF(项目基本情况!K6="上海银行",M69,"")</f>
        <v/>
      </c>
      <c r="N56" s="3608" t="str">
        <f>IF(项目基本情况!K6="上海银行","包含处置中涉及的律师、诉讼、拍卖、评估等费用","")</f>
        <v/>
      </c>
      <c r="O56" s="3611"/>
    </row>
    <row r="57" spans="1:35" ht="12.75">
      <c r="A57" s="2331" t="s">
        <v>1338</v>
      </c>
      <c r="B57" s="3651" t="s">
        <v>1363</v>
      </c>
      <c r="C57" s="3652"/>
      <c r="D57" s="1586">
        <v>0</v>
      </c>
      <c r="E57" s="324" t="s">
        <v>1340</v>
      </c>
      <c r="F57" s="302"/>
      <c r="G57" s="2551"/>
      <c r="H57" s="2555"/>
      <c r="I57" s="1804"/>
      <c r="J57" s="3627">
        <f>IF(AND(J55="",J56=""),4,IF(项目基本情况!K6="上海银行",结果表!J56+1,结果表!J55+1))</f>
        <v>4</v>
      </c>
      <c r="K57" s="3627" t="s">
        <v>1364</v>
      </c>
      <c r="L57" s="2526" t="s">
        <v>1365</v>
      </c>
      <c r="M57" s="2527"/>
      <c r="N57" s="2528">
        <f ca="1">SUMIF(M52:M56,"&lt;9e307")</f>
        <v>33894</v>
      </c>
      <c r="O57" s="2529"/>
      <c r="P57" s="2686">
        <f ca="1">N57/M49</f>
        <v>0.25025288137094931</v>
      </c>
    </row>
    <row r="58" spans="1:35" ht="24.75">
      <c r="A58" s="2331" t="s">
        <v>1349</v>
      </c>
      <c r="B58" s="3651" t="s">
        <v>1366</v>
      </c>
      <c r="C58" s="3650"/>
      <c r="D58" s="2320">
        <f ca="1">IF(H58="转让取得",C81,C97)</f>
        <v>26603</v>
      </c>
      <c r="E58" s="2330" t="s">
        <v>1361</v>
      </c>
      <c r="F58" s="302" t="s">
        <v>28</v>
      </c>
      <c r="G58" s="2551"/>
      <c r="H58" s="2554" t="s">
        <v>3491</v>
      </c>
      <c r="I58" s="1804"/>
      <c r="J58" s="3627"/>
      <c r="K58" s="3627"/>
      <c r="L58" s="2526" t="s">
        <v>1367</v>
      </c>
      <c r="M58" s="2530"/>
      <c r="N58" s="2531" t="str">
        <f ca="1">NUMBERSTRING(INT(N57*10000),2)&amp;"元整"</f>
        <v>叁亿叁仟捌佰玖拾肆万元整</v>
      </c>
      <c r="O58" s="2532"/>
    </row>
    <row r="59" spans="1:35" ht="24.75" thickBot="1">
      <c r="A59" s="3631" t="s">
        <v>1368</v>
      </c>
      <c r="B59" s="3632"/>
      <c r="C59" s="3632"/>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3492</v>
      </c>
      <c r="I59" s="2309" t="s">
        <v>2132</v>
      </c>
      <c r="J59" s="3629">
        <f>J57+1</f>
        <v>5</v>
      </c>
      <c r="K59" s="3627" t="s">
        <v>1369</v>
      </c>
      <c r="L59" s="2519" t="s">
        <v>1365</v>
      </c>
      <c r="M59" s="2533"/>
      <c r="N59" s="2534">
        <f ca="1">M49-N57</f>
        <v>101545</v>
      </c>
      <c r="O59" s="2535"/>
    </row>
    <row r="60" spans="1:35" ht="12" customHeight="1">
      <c r="A60" s="1805"/>
      <c r="B60" s="1743"/>
      <c r="C60" s="1743"/>
      <c r="D60" s="1743"/>
      <c r="E60" s="1574"/>
      <c r="F60" s="1804"/>
      <c r="G60" s="1804"/>
      <c r="H60" s="1806"/>
      <c r="I60" s="129"/>
      <c r="J60" s="3630"/>
      <c r="K60" s="3627"/>
      <c r="L60" s="2526" t="s">
        <v>1367</v>
      </c>
      <c r="M60" s="2530"/>
      <c r="N60" s="2531" t="str">
        <f ca="1">NUMBERSTRING(INT(N59*10000),2)&amp;"元整"</f>
        <v>壹拾亿壹仟伍佰肆拾伍万元整</v>
      </c>
      <c r="O60" s="2532"/>
    </row>
    <row r="61" spans="1:35" ht="13.5" thickBot="1">
      <c r="A61" s="3686" t="s">
        <v>1370</v>
      </c>
      <c r="B61" s="3686"/>
      <c r="C61" s="3686"/>
      <c r="D61" s="3686"/>
      <c r="E61" s="3686"/>
      <c r="F61" s="1804"/>
      <c r="G61" s="1804"/>
      <c r="H61" s="1806"/>
      <c r="I61" s="129"/>
      <c r="J61" s="2519">
        <f>J59+1</f>
        <v>6</v>
      </c>
      <c r="K61" s="3627" t="s">
        <v>1371</v>
      </c>
      <c r="L61" s="3627"/>
      <c r="M61" s="2536"/>
      <c r="N61" s="2537">
        <f ca="1">ROUND(N59*10000/'数据-汇总表'!E3,0)</f>
        <v>20197</v>
      </c>
      <c r="O61" s="2538"/>
    </row>
    <row r="62" spans="1:35" ht="12.75">
      <c r="A62" s="3646" t="s">
        <v>1372</v>
      </c>
      <c r="B62" s="3647"/>
      <c r="C62" s="2017"/>
      <c r="D62" s="2017" t="s">
        <v>1373</v>
      </c>
      <c r="E62" s="166" t="s">
        <v>1374</v>
      </c>
      <c r="F62" s="1804"/>
      <c r="G62" s="1804"/>
      <c r="H62" s="1806"/>
      <c r="I62" s="129"/>
    </row>
    <row r="63" spans="1:35" ht="12.75">
      <c r="A63" s="173" t="s">
        <v>329</v>
      </c>
      <c r="B63" s="167" t="s">
        <v>1375</v>
      </c>
      <c r="C63" s="2560">
        <f ca="1">ROUND((C64+C65)/(1+'数据-取费表'!C42),0)</f>
        <v>128990</v>
      </c>
      <c r="D63" s="167"/>
      <c r="E63" s="168"/>
      <c r="F63" s="1804"/>
      <c r="G63" s="1804"/>
      <c r="H63" s="1806"/>
      <c r="I63" s="129"/>
      <c r="J63" s="3610" t="s">
        <v>1376</v>
      </c>
      <c r="K63" s="1328" t="s">
        <v>1377</v>
      </c>
      <c r="L63" s="1328">
        <f ca="1">IF(M49&gt;10000,M49*0.5%,IF(AND(M49&gt;1000,M49&lt;=10000),M49*1%,IF(AND(M49&gt;100,M49&lt;=1000),M49*3%,IF(AND(M49&gt;10,M49&lt;=100),M49*5%,M49*8%))))</f>
        <v>677.19500000000005</v>
      </c>
      <c r="M63" s="302">
        <f ca="1">ROUND(L63,1)</f>
        <v>677.2</v>
      </c>
      <c r="N63" s="2539"/>
      <c r="Z63" s="1748"/>
      <c r="AI63" s="1749"/>
    </row>
    <row r="64" spans="1:35" ht="14.25" customHeight="1">
      <c r="A64" s="169" t="s">
        <v>324</v>
      </c>
      <c r="B64" s="170" t="s">
        <v>1378</v>
      </c>
      <c r="C64" s="2561">
        <f ca="1">D45</f>
        <v>135439</v>
      </c>
      <c r="D64" s="170" t="s">
        <v>26</v>
      </c>
      <c r="E64" s="172"/>
      <c r="F64" s="1804"/>
      <c r="G64" s="1804"/>
      <c r="H64" s="1806"/>
      <c r="I64" s="129"/>
      <c r="J64" s="3610"/>
      <c r="K64" s="1328" t="s">
        <v>1379</v>
      </c>
      <c r="L64" s="1328">
        <f ca="1">IF(M49&gt;2000,M49*0.5%,IF(AND(M49&gt;1000,M49&lt;=2000),M49*0.6%,IF(AND(M49&gt;500,M49&lt;=1000),M49*0.7%,IF(AND(M49&gt;200,M49&lt;=500),M49*0.8%,IF(AND(M49&gt;100,M49&lt;=200),M49*0.9%,IF(AND(M49&gt;50,M49&lt;=100),M49*1%,IF(AND(M49&gt;20,M49&lt;=50),M49*1.5%,IF(AND(M49&gt;10,M49&lt;=20),M49*2%,IF(AND(M49&gt;1,M49&lt;=10),M49*2.5%)))))))))</f>
        <v>677.19500000000005</v>
      </c>
      <c r="M64" s="302">
        <f t="shared" ref="M64:M65" ca="1" si="1">ROUND(L64,1)</f>
        <v>677.2</v>
      </c>
      <c r="N64" s="2540" t="s">
        <v>1380</v>
      </c>
      <c r="Z64" s="1748"/>
      <c r="AI64" s="1749"/>
    </row>
    <row r="65" spans="1:35" ht="14.25" customHeight="1">
      <c r="A65" s="169" t="s">
        <v>325</v>
      </c>
      <c r="B65" s="170" t="s">
        <v>1381</v>
      </c>
      <c r="C65" s="2562"/>
      <c r="D65" s="170"/>
      <c r="E65" s="172"/>
      <c r="F65" s="1804"/>
      <c r="G65" s="1804"/>
      <c r="H65" s="1806"/>
      <c r="I65" s="129"/>
      <c r="J65" s="3610"/>
      <c r="K65" s="1328" t="s">
        <v>1382</v>
      </c>
      <c r="L65" s="1328">
        <f ca="1">IF(M49&gt;1000,M49*0.1%,IF(AND(M49&gt;500,M49&lt;=1000),M49*0.5%,IF(AND(M49&gt;50,M49&lt;=500),M49*1%,IF(AND(M49&gt;1,M49&lt;=50),M49*1.5%))))</f>
        <v>135.43899999999999</v>
      </c>
      <c r="M65" s="302">
        <f t="shared" ca="1" si="1"/>
        <v>135.4</v>
      </c>
      <c r="N65" s="2540" t="s">
        <v>1380</v>
      </c>
      <c r="Z65" s="1748"/>
      <c r="AI65" s="1749"/>
    </row>
    <row r="66" spans="1:35" ht="14.25" customHeight="1">
      <c r="A66" s="173" t="s">
        <v>326</v>
      </c>
      <c r="B66" s="174" t="s">
        <v>1383</v>
      </c>
      <c r="C66" s="2563"/>
      <c r="D66" s="174" t="s">
        <v>26</v>
      </c>
      <c r="E66" s="1334" t="s">
        <v>670</v>
      </c>
      <c r="F66" s="1804"/>
      <c r="G66" s="1804"/>
      <c r="H66" s="1806"/>
      <c r="I66" s="129"/>
      <c r="J66" s="3610"/>
      <c r="K66" s="1328" t="s">
        <v>1384</v>
      </c>
      <c r="L66" s="1328">
        <f ca="1">M49*0.5%</f>
        <v>677.19500000000005</v>
      </c>
      <c r="M66" s="302">
        <f ca="1">IF(L66&gt;0.5,0.5,ROUND(L66,0))</f>
        <v>0.5</v>
      </c>
      <c r="N66" s="2540" t="s">
        <v>1385</v>
      </c>
      <c r="Z66" s="1748"/>
      <c r="AI66" s="1749"/>
    </row>
    <row r="67" spans="1:35" ht="14.25" customHeight="1">
      <c r="A67" s="173" t="s">
        <v>327</v>
      </c>
      <c r="B67" s="174" t="s">
        <v>1386</v>
      </c>
      <c r="C67" s="2564">
        <f ca="1">C63-C66</f>
        <v>128990</v>
      </c>
      <c r="D67" s="170" t="s">
        <v>26</v>
      </c>
      <c r="E67" s="172"/>
      <c r="F67" s="1804"/>
      <c r="G67" s="1804"/>
      <c r="H67" s="1806"/>
      <c r="I67" s="129"/>
      <c r="J67" s="3610"/>
      <c r="K67" s="1328" t="s">
        <v>1387</v>
      </c>
      <c r="L67" s="1328">
        <f ca="1">IF(M49&gt;=10000,(8.25+(M49-10000)*0.01%),IF(AND(M49&gt;=8000,M49&lt;10000),(7.85+(M49-8000)*0.02%),IF(AND(M49&gt;=5000,M49&lt;8000),(6.65+(M49-5000)*0.04%),IF(AND(M49&gt;=2000,M49&lt;5000),(4.25+(PM49-2000)*0.08%),IF(AND(M49&gt;=1000,M49&lt;2000),(2.75+(M49-1000)*0.15%),IF(AND(M49&gt;=100,M49&lt;1000),(0.5+(M49-100)*0.25%),IF(AND(M49&gt;0,M49&lt;100),M49*0.5%)))))))</f>
        <v>20.793900000000001</v>
      </c>
      <c r="M67" s="302">
        <f ca="1">ROUND(L67*0.9,1)</f>
        <v>18.7</v>
      </c>
      <c r="N67" s="2539"/>
      <c r="Z67" s="1748"/>
      <c r="AI67" s="1749"/>
    </row>
    <row r="68" spans="1:35" ht="14.25" customHeight="1" thickBot="1">
      <c r="A68" s="176" t="s">
        <v>328</v>
      </c>
      <c r="B68" s="177" t="s">
        <v>1388</v>
      </c>
      <c r="C68" s="2565">
        <f ca="1">IF(C67&lt;=0,0,ROUND(C67*D68,0))</f>
        <v>7223</v>
      </c>
      <c r="D68" s="2566">
        <f>'数据-取费表'!B41</f>
        <v>5.6000000000000001E-2</v>
      </c>
      <c r="E68" s="178"/>
      <c r="F68" s="1804"/>
      <c r="G68" s="1804"/>
      <c r="H68" s="1806"/>
      <c r="I68" s="129"/>
      <c r="J68" s="3610"/>
      <c r="K68" s="1328" t="s">
        <v>1389</v>
      </c>
      <c r="L68" s="1328">
        <f ca="1">IF(M49&gt;10000,M49*0.5%,IF(AND(M49&gt;5000,M49&lt;=10000),M49*1%,IF(AND(M49&gt;1000,M49&lt;=5000),M49*2%,IF(AND(M49&gt;200,M49&lt;=1000),M49*3%,M49*5%))))</f>
        <v>677.19500000000005</v>
      </c>
      <c r="M68" s="302">
        <f ca="1">ROUND(L68,1)</f>
        <v>677.2</v>
      </c>
      <c r="N68" s="2539"/>
      <c r="Z68" s="1748"/>
      <c r="AI68" s="1749"/>
    </row>
    <row r="69" spans="1:35" s="1768" customFormat="1" ht="16.5" customHeight="1">
      <c r="A69" s="1807"/>
      <c r="B69" s="1808"/>
      <c r="C69" s="1809"/>
      <c r="D69" s="1810"/>
      <c r="E69" s="1811"/>
      <c r="F69" s="1574"/>
      <c r="G69" s="1574"/>
      <c r="H69" s="1573"/>
      <c r="I69" s="1743"/>
      <c r="J69" s="3610"/>
      <c r="K69" s="1328" t="s">
        <v>1390</v>
      </c>
      <c r="L69" s="1328"/>
      <c r="M69" s="302">
        <f ca="1">ROUND(SUM(M63:M68),0)</f>
        <v>2186</v>
      </c>
      <c r="N69" s="2541">
        <f ca="1">M69/M49</f>
        <v>1.6140107354602442E-2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4" t="s">
        <v>1391</v>
      </c>
      <c r="B70" s="3655"/>
      <c r="C70" s="3655"/>
      <c r="D70" s="3655"/>
      <c r="E70" s="3655"/>
      <c r="F70" s="3655"/>
      <c r="G70" s="3655"/>
      <c r="H70" s="365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6" t="s">
        <v>1372</v>
      </c>
      <c r="B71" s="3647"/>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128990</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774</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1" t="s">
        <v>1399</v>
      </c>
      <c r="F76" s="3650"/>
      <c r="G76" s="3650"/>
      <c r="H76" s="365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774</v>
      </c>
      <c r="D78" s="2573">
        <f>'数据-取费表'!B43</f>
        <v>6.000000000000001E-3</v>
      </c>
      <c r="E78" s="3643" t="s">
        <v>1403</v>
      </c>
      <c r="F78" s="3644"/>
      <c r="G78" s="3644"/>
      <c r="H78" s="364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128216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165.65374677002583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76659</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4" t="s">
        <v>1407</v>
      </c>
      <c r="B83" s="3655"/>
      <c r="C83" s="3655"/>
      <c r="D83" s="3655"/>
      <c r="E83" s="3655"/>
      <c r="F83" s="3655"/>
      <c r="G83" s="3655"/>
      <c r="H83" s="365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6" t="s">
        <v>1372</v>
      </c>
      <c r="B84" s="3647"/>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128990</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58295.187000000005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3493</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12" t="s">
        <v>2124</v>
      </c>
      <c r="H90" s="3613"/>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26235</v>
      </c>
      <c r="D91" s="2573"/>
      <c r="E91" s="3643" t="s">
        <v>1416</v>
      </c>
      <c r="F91" s="3644"/>
      <c r="G91" s="3644"/>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4425</v>
      </c>
      <c r="D92" s="2579">
        <v>0.1</v>
      </c>
      <c r="E92" s="3643" t="s">
        <v>1419</v>
      </c>
      <c r="F92" s="3644"/>
      <c r="G92" s="3644"/>
      <c r="H92" s="364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774</v>
      </c>
      <c r="D93" s="2573">
        <f>'数据-取费表'!B43</f>
        <v>6.000000000000001E-3</v>
      </c>
      <c r="E93" s="3643" t="s">
        <v>1403</v>
      </c>
      <c r="F93" s="3644"/>
      <c r="G93" s="3644"/>
      <c r="H93" s="364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8849</v>
      </c>
      <c r="D94" s="2573">
        <v>0.2</v>
      </c>
      <c r="E94" s="3688" t="s">
        <v>1423</v>
      </c>
      <c r="F94" s="3689"/>
      <c r="G94" s="3689"/>
      <c r="H94" s="369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70695</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1.2127073200742968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26603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3" t="s">
        <v>1425</v>
      </c>
      <c r="B100" s="3594"/>
      <c r="C100" s="3594"/>
      <c r="D100" s="3628"/>
      <c r="E100" s="3594" t="s">
        <v>1426</v>
      </c>
      <c r="F100" s="3594"/>
      <c r="G100" s="3594"/>
      <c r="H100" s="3628"/>
      <c r="I100" s="129"/>
    </row>
    <row r="101" spans="1:35" ht="18.75" customHeight="1">
      <c r="A101" s="3636" t="s">
        <v>1427</v>
      </c>
      <c r="B101" s="3637"/>
      <c r="C101" s="2581" t="str">
        <f>C4</f>
        <v>成本法</v>
      </c>
      <c r="D101" s="2582" t="str">
        <f>D4</f>
        <v>收益法（汇总）</v>
      </c>
      <c r="E101" s="3606" t="s">
        <v>1428</v>
      </c>
      <c r="F101" s="3607"/>
      <c r="G101" s="1823" t="s">
        <v>1429</v>
      </c>
      <c r="H101" s="2591">
        <f ca="1">H118</f>
        <v>135439</v>
      </c>
      <c r="I101" s="129"/>
    </row>
    <row r="102" spans="1:35" ht="18.75" customHeight="1">
      <c r="A102" s="3638" t="s">
        <v>1430</v>
      </c>
      <c r="B102" s="2580" t="s">
        <v>1429</v>
      </c>
      <c r="C102" s="2581">
        <f ca="1">IF(D32="楼面单价",ROUND(C19,0),C19)</f>
        <v>143971</v>
      </c>
      <c r="D102" s="2582">
        <f ca="1">IF(D32="楼面单价",ROUND(D19,0),D19)</f>
        <v>126906</v>
      </c>
      <c r="E102" s="3606"/>
      <c r="F102" s="3607"/>
      <c r="G102" s="1823" t="s">
        <v>1431</v>
      </c>
      <c r="H102" s="2551">
        <f ca="1">I118</f>
        <v>26938</v>
      </c>
      <c r="I102" s="129"/>
    </row>
    <row r="103" spans="1:35" ht="42.75" customHeight="1">
      <c r="A103" s="3638"/>
      <c r="B103" s="2580" t="s">
        <v>1431</v>
      </c>
      <c r="C103" s="2583">
        <f ca="1">C20</f>
        <v>28635</v>
      </c>
      <c r="D103" s="2584">
        <f ca="1">D20</f>
        <v>25241</v>
      </c>
      <c r="E103" s="3599" t="s">
        <v>1432</v>
      </c>
      <c r="F103" s="3600"/>
      <c r="G103" s="1824" t="s">
        <v>1433</v>
      </c>
      <c r="H103" s="2591">
        <f>IF(D36="正常操作",H104+H105+H106,H105+H106)</f>
        <v>0</v>
      </c>
      <c r="I103" s="129"/>
    </row>
    <row r="104" spans="1:35" ht="18.75" customHeight="1">
      <c r="A104" s="3638" t="s">
        <v>1434</v>
      </c>
      <c r="B104" s="2585" t="s">
        <v>1429</v>
      </c>
      <c r="C104" s="2586">
        <f ca="1">H118</f>
        <v>135439</v>
      </c>
      <c r="D104" s="2587"/>
      <c r="E104" s="1670" t="s">
        <v>1435</v>
      </c>
      <c r="F104" s="1662"/>
      <c r="G104" s="1824" t="s">
        <v>1433</v>
      </c>
      <c r="H104" s="2592">
        <f>IF(D36="同一抵押权人同一抵押物续贷",C36&amp;"（续贷，未扣减，详见特别提示）",C36)</f>
        <v>0</v>
      </c>
      <c r="I104" s="129"/>
    </row>
    <row r="105" spans="1:35" ht="18.75" customHeight="1" thickBot="1">
      <c r="A105" s="3648"/>
      <c r="B105" s="2588" t="s">
        <v>1431</v>
      </c>
      <c r="C105" s="2589">
        <f ca="1">I118</f>
        <v>26938</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39" t="str">
        <f>IF(项目基本情况!E8="已注销","——","3.房地产抵押价值")</f>
        <v>3.房地产抵押价值</v>
      </c>
      <c r="F107" s="3607"/>
      <c r="G107" s="1823" t="s">
        <v>1429</v>
      </c>
      <c r="H107" s="2591">
        <f ca="1">IF(E107="——","——",H101-H103)</f>
        <v>135439</v>
      </c>
      <c r="I107" s="129"/>
    </row>
    <row r="108" spans="1:35" ht="18.75" customHeight="1">
      <c r="A108" s="129"/>
      <c r="B108" s="129"/>
      <c r="C108" s="129"/>
      <c r="D108" s="129"/>
      <c r="E108" s="3639"/>
      <c r="F108" s="3607"/>
      <c r="G108" s="1823" t="s">
        <v>1431</v>
      </c>
      <c r="H108" s="2551">
        <f ca="1">IF(H107=H101,H102,ROUND(H107*10000/'数据-汇总表'!E3,0))</f>
        <v>26938</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07"/>
      <c r="G109" s="1823" t="s">
        <v>1429</v>
      </c>
      <c r="H109" s="2594" t="str">
        <f>IF(E109="——","——",H101-H105-H106)</f>
        <v>——</v>
      </c>
      <c r="I109" s="129"/>
    </row>
    <row r="110" spans="1:35" ht="18.75" customHeight="1">
      <c r="A110" s="129"/>
      <c r="B110" s="129"/>
      <c r="C110" s="129"/>
      <c r="D110" s="129"/>
      <c r="E110" s="3639"/>
      <c r="F110" s="3607"/>
      <c r="G110" s="1823" t="s">
        <v>1431</v>
      </c>
      <c r="H110" s="2551"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4.抵押净值</v>
      </c>
      <c r="F111" s="3626"/>
      <c r="G111" s="1823" t="s">
        <v>1429</v>
      </c>
      <c r="H111" s="2591">
        <f ca="1">IF(E111="——","——",N59)</f>
        <v>101545</v>
      </c>
      <c r="I111" s="129"/>
    </row>
    <row r="112" spans="1:35" ht="18.75" customHeight="1" thickBot="1">
      <c r="A112" s="129"/>
      <c r="B112" s="129"/>
      <c r="C112" s="129"/>
      <c r="D112" s="129"/>
      <c r="E112" s="3641"/>
      <c r="F112" s="3642"/>
      <c r="G112" s="1826" t="s">
        <v>1431</v>
      </c>
      <c r="H112" s="2595">
        <f ca="1">IF(E111="——","——",N61)</f>
        <v>20197</v>
      </c>
      <c r="I112" s="129"/>
    </row>
    <row r="113" spans="1:27" ht="18.75" customHeight="1">
      <c r="A113" s="129"/>
      <c r="B113" s="129"/>
      <c r="C113" s="129"/>
      <c r="D113" s="129"/>
      <c r="E113" s="3649" t="s">
        <v>1437</v>
      </c>
      <c r="F113" s="3649"/>
      <c r="G113" s="3649"/>
      <c r="H113" s="3649"/>
      <c r="I113" s="129"/>
    </row>
    <row r="114" spans="1:27" ht="3.75" customHeight="1">
      <c r="A114" s="1743"/>
      <c r="B114" s="1743"/>
      <c r="C114" s="1743"/>
      <c r="D114" s="1743"/>
      <c r="E114" s="1805"/>
      <c r="F114" s="1805"/>
      <c r="G114" s="1805"/>
      <c r="H114" s="1805"/>
      <c r="I114" s="1743"/>
    </row>
    <row r="115" spans="1:27" ht="18.75" customHeight="1">
      <c r="A115" s="3657" t="s">
        <v>1439</v>
      </c>
      <c r="B115" s="3658"/>
      <c r="C115" s="3658"/>
      <c r="D115" s="3658"/>
      <c r="E115" s="3658"/>
      <c r="F115" s="3658"/>
      <c r="G115" s="3658"/>
      <c r="H115" s="3658"/>
      <c r="I115" s="3659"/>
    </row>
    <row r="116" spans="1:27" ht="27" customHeight="1">
      <c r="A116" s="3614" t="s">
        <v>1440</v>
      </c>
      <c r="B116" s="3618" t="s">
        <v>1441</v>
      </c>
      <c r="C116" s="3618" t="s">
        <v>1442</v>
      </c>
      <c r="D116" s="3624" t="s">
        <v>1443</v>
      </c>
      <c r="E116" s="3625"/>
      <c r="F116" s="3656" t="s">
        <v>1444</v>
      </c>
      <c r="G116" s="3656"/>
      <c r="H116" s="3614" t="s">
        <v>1445</v>
      </c>
      <c r="I116" s="3614"/>
    </row>
    <row r="117" spans="1:27" ht="18.75" customHeight="1">
      <c r="A117" s="3614"/>
      <c r="B117" s="3619"/>
      <c r="C117" s="3619"/>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v>
      </c>
      <c r="C118" s="2325">
        <f>M19</f>
        <v>10326.19</v>
      </c>
      <c r="D118" s="2325">
        <f ca="1">ROUND(IF(D32="总价",C34,E118*B118/10000),0)</f>
        <v>105507</v>
      </c>
      <c r="E118" s="2325">
        <f ca="1">ROUND(IF(C33="自定义",IF(D32="楼面单价",C34,D118*10000/B118),I118-G118),0)</f>
        <v>20985</v>
      </c>
      <c r="F118" s="2325">
        <f ca="1">ROUND(IF(D32="总价",C35,G118*B118/10000),0)</f>
        <v>29932</v>
      </c>
      <c r="G118" s="2325">
        <f ca="1">ROUND(IF(D32="楼面单价",C35,F118*10000/B118),0)</f>
        <v>5953</v>
      </c>
      <c r="H118" s="2325">
        <f ca="1">ROUND(IF(D32="总价",C32,I118*B118/10000),0)</f>
        <v>135439</v>
      </c>
      <c r="I118" s="2325">
        <f ca="1">ROUND(IF(D32="楼面单价",C32,H118*10000/B118),0)</f>
        <v>26938</v>
      </c>
    </row>
    <row r="119" spans="1:27" ht="18.75" customHeight="1">
      <c r="A119" s="3614" t="s">
        <v>1449</v>
      </c>
      <c r="B119" s="3614"/>
      <c r="C119" s="3614"/>
      <c r="D119" s="3620" t="str">
        <f ca="1">NUMBERSTRING(INT(D118*10000),2)&amp;"元整"</f>
        <v>壹拾亿伍仟伍佰零柒万元整</v>
      </c>
      <c r="E119" s="3621"/>
      <c r="F119" s="3620" t="str">
        <f ca="1">NUMBERSTRING(INT(F118*10000),2)&amp;"元整"</f>
        <v>贰亿玖仟玖佰叁拾贰万元整</v>
      </c>
      <c r="G119" s="3621"/>
      <c r="H119" s="3620" t="str">
        <f ca="1">NUMBERSTRING(INT(H118*10000),2)&amp;"元整"</f>
        <v>壹拾叁亿伍仟肆佰叁拾玖万元整</v>
      </c>
      <c r="I119" s="3621"/>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1449</v>
      </c>
      <c r="B121" s="3622"/>
      <c r="C121" s="3621"/>
      <c r="D121" s="3620" t="str">
        <f>IF(D120=0,"零元整",NUMBERSTRING(INT(D120*10000),2)&amp;"元整")</f>
        <v>零元整</v>
      </c>
      <c r="E121" s="3622"/>
      <c r="F121" s="3622"/>
      <c r="G121" s="3622"/>
      <c r="H121" s="3622"/>
      <c r="I121" s="3621"/>
      <c r="AA121" s="724"/>
    </row>
    <row r="122" spans="1:27" ht="18.75" customHeight="1">
      <c r="A122" s="3626" t="str">
        <f>IF(项目基本情况!B9="房地产市场价值","",MID(E107,3,LEN(E107)-2))</f>
        <v>房地产抵押价值</v>
      </c>
      <c r="B122" s="3626"/>
      <c r="C122" s="3626"/>
      <c r="D122" s="3615">
        <f ca="1">H107</f>
        <v>135439</v>
      </c>
      <c r="E122" s="3616"/>
      <c r="F122" s="3616"/>
      <c r="G122" s="3616"/>
      <c r="H122" s="3616"/>
      <c r="I122" s="3617"/>
      <c r="AA122" s="724"/>
    </row>
    <row r="123" spans="1:27" ht="18.75" customHeight="1">
      <c r="A123" s="3614" t="s">
        <v>1449</v>
      </c>
      <c r="B123" s="3614"/>
      <c r="C123" s="3614"/>
      <c r="D123" s="3620" t="str">
        <f ca="1">NUMBERSTRING(INT(D122*10000),2)&amp;"元整"</f>
        <v>壹拾叁亿伍仟肆佰叁拾玖万元整</v>
      </c>
      <c r="E123" s="3622"/>
      <c r="F123" s="3622"/>
      <c r="G123" s="3622"/>
      <c r="H123" s="3622"/>
      <c r="I123" s="3621"/>
      <c r="AA123" s="724"/>
    </row>
    <row r="124" spans="1:27" ht="18.75" customHeight="1">
      <c r="A124" s="3626" t="str">
        <f>IF(项目基本情况!B9="房地产市场价值","",MID(E109,3,LEN(E109)-2))</f>
        <v/>
      </c>
      <c r="B124" s="3626"/>
      <c r="C124" s="3626"/>
      <c r="D124" s="3615" t="str">
        <f>H109</f>
        <v>——</v>
      </c>
      <c r="E124" s="3616"/>
      <c r="F124" s="3616"/>
      <c r="G124" s="3616"/>
      <c r="H124" s="3616"/>
      <c r="I124" s="3617"/>
      <c r="AA124" s="724"/>
    </row>
    <row r="125" spans="1:27" ht="18.75" customHeight="1">
      <c r="A125" s="3614" t="s">
        <v>1449</v>
      </c>
      <c r="B125" s="3614"/>
      <c r="C125" s="3614"/>
      <c r="D125" s="3620" t="e">
        <f>NUMBERSTRING(INT(D124*10000),2)&amp;"元整"</f>
        <v>#VALUE!</v>
      </c>
      <c r="E125" s="3622"/>
      <c r="F125" s="3622"/>
      <c r="G125" s="3622"/>
      <c r="H125" s="3622"/>
      <c r="I125" s="3621"/>
      <c r="AA125" s="724"/>
    </row>
    <row r="126" spans="1:27" ht="18.75" customHeight="1">
      <c r="A126" s="3626" t="str">
        <f>IF(项目基本情况!B9="房地产市场价值","",MID(E111,3,LEN(E111)-2))</f>
        <v>抵押净值</v>
      </c>
      <c r="B126" s="3626"/>
      <c r="C126" s="3626"/>
      <c r="D126" s="3615">
        <f ca="1">H111</f>
        <v>101545</v>
      </c>
      <c r="E126" s="3616"/>
      <c r="F126" s="3616"/>
      <c r="G126" s="3616"/>
      <c r="H126" s="3616"/>
      <c r="I126" s="3617"/>
      <c r="AA126" s="724"/>
    </row>
    <row r="127" spans="1:27" ht="18.75" customHeight="1">
      <c r="A127" s="3614" t="s">
        <v>1449</v>
      </c>
      <c r="B127" s="3614"/>
      <c r="C127" s="3614"/>
      <c r="D127" s="3620" t="str">
        <f ca="1">NUMBERSTRING(INT(D126*10000),2)&amp;"元整"</f>
        <v>壹拾亿壹仟伍佰肆拾伍万元整</v>
      </c>
      <c r="E127" s="3622"/>
      <c r="F127" s="3622"/>
      <c r="G127" s="3622"/>
      <c r="H127" s="3622"/>
      <c r="I127" s="3621"/>
      <c r="AA127" s="724"/>
    </row>
    <row r="128" spans="1:27" ht="21.75" customHeight="1">
      <c r="A128" s="3623" t="s">
        <v>1450</v>
      </c>
      <c r="B128" s="3623"/>
      <c r="C128" s="3623"/>
      <c r="D128" s="3623"/>
      <c r="E128" s="3623"/>
      <c r="F128" s="3623"/>
      <c r="G128" s="3623"/>
      <c r="H128" s="3623"/>
      <c r="I128" s="3623"/>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143971</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28635</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85405</v>
      </c>
      <c r="D5" s="211" t="s">
        <v>1466</v>
      </c>
      <c r="E5" s="212" t="s">
        <v>1467</v>
      </c>
      <c r="F5" s="212" t="s">
        <v>1468</v>
      </c>
      <c r="G5" s="213"/>
    </row>
    <row r="6" spans="1:9" s="214" customFormat="1" ht="13.5" customHeight="1">
      <c r="A6" s="774" t="s">
        <v>1469</v>
      </c>
      <c r="B6" s="215" t="s">
        <v>1470</v>
      </c>
      <c r="C6" s="216">
        <f ca="1">'基准地价（汇总）'!B6+'基准地价（汇总）'!B7</f>
        <v>81901</v>
      </c>
      <c r="D6" s="217"/>
      <c r="E6" s="218"/>
      <c r="F6" s="218"/>
      <c r="G6" s="219"/>
    </row>
    <row r="7" spans="1:9" s="214" customFormat="1" ht="13.5" customHeight="1">
      <c r="A7" s="774" t="s">
        <v>1471</v>
      </c>
      <c r="B7" s="215" t="s">
        <v>1472</v>
      </c>
      <c r="C7" s="220">
        <f ca="1">ROUND(C6*F7,0)</f>
        <v>2498</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v>
      </c>
      <c r="E19" s="211">
        <f>'数据-取费表'!B31</f>
        <v>200</v>
      </c>
      <c r="F19" s="231"/>
      <c r="G19" s="1852" t="s">
        <v>3434</v>
      </c>
    </row>
    <row r="20" spans="1:7" s="214" customFormat="1" ht="13.5" customHeight="1">
      <c r="A20" s="255" t="s">
        <v>1490</v>
      </c>
      <c r="B20" s="210" t="s">
        <v>1491</v>
      </c>
      <c r="C20" s="232">
        <f ca="1">ROUND((C5+C19)*F20,0)</f>
        <v>1708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6054</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5995</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59</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10454</v>
      </c>
      <c r="D27" s="235">
        <f ca="1">C29</f>
        <v>2.3999999999999998E-3</v>
      </c>
      <c r="E27" s="236" t="s">
        <v>1511</v>
      </c>
      <c r="F27" s="246">
        <f ca="1">IF(B1="",'数据-取费表'!Q16,INDIRECT("'数据-取费表'!q"&amp;$G$1))</f>
        <v>0.12</v>
      </c>
      <c r="G27" s="247" t="s">
        <v>1512</v>
      </c>
    </row>
    <row r="28" spans="1:7" s="214" customFormat="1" ht="13.5" customHeight="1">
      <c r="A28" s="776" t="s">
        <v>345</v>
      </c>
      <c r="B28" s="248" t="s">
        <v>1513</v>
      </c>
      <c r="C28" s="249">
        <f ca="1">ROUND((C5+C19+C20)*F27*'数据-取费表'!B21/'数据-取费表'!B20,0)</f>
        <v>10454</v>
      </c>
      <c r="D28" s="235"/>
      <c r="E28" s="236"/>
      <c r="F28" s="246"/>
      <c r="G28" s="247"/>
    </row>
    <row r="29" spans="1:7" s="214" customFormat="1" ht="13.5" customHeight="1">
      <c r="A29" s="776" t="s">
        <v>346</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112193</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26235</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24027</v>
      </c>
      <c r="D34" s="217"/>
      <c r="E34" s="220"/>
      <c r="F34" s="257">
        <f ca="1">IF('数据-取费表'!B24=0,1,IF(B1="",'数据-取费表'!N16,INDIRECT("'数据-取费表'!n"&amp;$G$1)))</f>
        <v>1</v>
      </c>
      <c r="G34" s="219" t="s">
        <v>1523</v>
      </c>
    </row>
    <row r="35" spans="1:7" ht="13.5" customHeight="1">
      <c r="A35" s="776" t="s">
        <v>350</v>
      </c>
      <c r="B35" s="215" t="s">
        <v>1524</v>
      </c>
      <c r="C35" s="220">
        <f ca="1">ROUND(C34*F35,0)</f>
        <v>721</v>
      </c>
      <c r="D35" s="220"/>
      <c r="E35" s="220"/>
      <c r="F35" s="259">
        <f>'数据-取费表'!B33</f>
        <v>0.03</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v>
      </c>
      <c r="E37" s="249">
        <f>'数据-取费表'!B35</f>
        <v>200</v>
      </c>
      <c r="F37" s="259"/>
      <c r="G37" s="261" t="s">
        <v>1529</v>
      </c>
    </row>
    <row r="38" spans="1:7" ht="13.5" customHeight="1">
      <c r="A38" s="776" t="s">
        <v>353</v>
      </c>
      <c r="B38" s="215" t="s">
        <v>1530</v>
      </c>
      <c r="C38" s="220">
        <f ca="1">ROUND(C34*F38,0)</f>
        <v>481</v>
      </c>
      <c r="D38" s="220"/>
      <c r="E38" s="220"/>
      <c r="F38" s="259">
        <f>'数据-取费表'!B36</f>
        <v>0.02</v>
      </c>
      <c r="G38" s="219" t="s">
        <v>1525</v>
      </c>
    </row>
    <row r="39" spans="1:7" s="214" customFormat="1" ht="13.5" customHeight="1">
      <c r="A39" s="255" t="s">
        <v>1531</v>
      </c>
      <c r="B39" s="210" t="s">
        <v>1532</v>
      </c>
      <c r="C39" s="232">
        <f ca="1">ROUND(C33*F20,0)</f>
        <v>525</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923</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905</v>
      </c>
      <c r="D42" s="238"/>
      <c r="E42" s="238"/>
      <c r="F42" s="239"/>
      <c r="G42" s="3693" t="s">
        <v>1541</v>
      </c>
    </row>
    <row r="43" spans="1:7" ht="13.5" customHeight="1">
      <c r="A43" s="776" t="s">
        <v>346</v>
      </c>
      <c r="B43" s="215" t="s">
        <v>1542</v>
      </c>
      <c r="C43" s="238">
        <f ca="1">ROUND(IF('数据-取费表'!B22&lt;=1,C39*F22*'数据-取费表'!B21/2,C39*(POWER((1+F22),'数据-取费表'!B21/2)-1)),0)</f>
        <v>18</v>
      </c>
      <c r="D43" s="238"/>
      <c r="E43" s="238"/>
      <c r="F43" s="239"/>
      <c r="G43" s="3694"/>
    </row>
    <row r="44" spans="1:7" ht="13.5" customHeight="1">
      <c r="A44" s="776" t="s">
        <v>347</v>
      </c>
      <c r="B44" s="215" t="s">
        <v>1543</v>
      </c>
      <c r="C44" s="238">
        <f ca="1">ROUND(IF('数据-取费表'!B22&lt;=1,C40*F22*'数据-取费表'!B21/2,C40*(POWER((1+F22),'数据-取费表'!B21/2)-1)),4)</f>
        <v>6.9999999999999999E-4</v>
      </c>
      <c r="D44" s="238"/>
      <c r="E44" s="238"/>
      <c r="F44" s="239"/>
      <c r="G44" s="3695"/>
    </row>
    <row r="45" spans="1:7" s="214" customFormat="1" ht="13.5" customHeight="1">
      <c r="A45" s="255" t="s">
        <v>1544</v>
      </c>
      <c r="B45" s="244" t="s">
        <v>1510</v>
      </c>
      <c r="C45" s="245">
        <f ca="1">C46</f>
        <v>3211</v>
      </c>
      <c r="D45" s="235">
        <f ca="1">C47</f>
        <v>2.3999999999999998E-3</v>
      </c>
      <c r="E45" s="236" t="s">
        <v>1536</v>
      </c>
      <c r="F45" s="246">
        <f ca="1">F27</f>
        <v>0.12</v>
      </c>
      <c r="G45" s="247" t="s">
        <v>1545</v>
      </c>
    </row>
    <row r="46" spans="1:7" s="214" customFormat="1" ht="13.5" customHeight="1">
      <c r="A46" s="776" t="s">
        <v>345</v>
      </c>
      <c r="B46" s="248" t="s">
        <v>1546</v>
      </c>
      <c r="C46" s="249">
        <f ca="1">ROUND((C33+C39)*F27,0)</f>
        <v>3211</v>
      </c>
      <c r="D46" s="263"/>
      <c r="E46" s="236"/>
      <c r="F46" s="246"/>
      <c r="G46" s="247"/>
    </row>
    <row r="47" spans="1:7" s="214" customFormat="1" ht="13.5" customHeight="1">
      <c r="A47" s="776" t="s">
        <v>346</v>
      </c>
      <c r="B47" s="248" t="s">
        <v>1547</v>
      </c>
      <c r="C47" s="238">
        <f ca="1">ROUND(C40*F27,4)</f>
        <v>2.3999999999999998E-3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33450</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31778</v>
      </c>
      <c r="D51" s="232"/>
      <c r="E51" s="232"/>
      <c r="F51" s="264"/>
      <c r="G51" s="234" t="s">
        <v>1557</v>
      </c>
    </row>
    <row r="52" spans="1:7" s="208" customFormat="1" ht="16.5" thickBot="1">
      <c r="A52" s="265" t="s">
        <v>1558</v>
      </c>
      <c r="B52" s="266"/>
      <c r="C52" s="267">
        <f ca="1">C31+C51</f>
        <v>143971</v>
      </c>
      <c r="D52" s="266"/>
      <c r="E52" s="266"/>
      <c r="F52" s="266"/>
      <c r="G52" s="268"/>
    </row>
    <row r="55" spans="1:7" ht="15">
      <c r="B55" s="270" t="s">
        <v>1559</v>
      </c>
      <c r="C55" s="271"/>
    </row>
    <row r="56" spans="1:7">
      <c r="B56" s="273" t="s">
        <v>801</v>
      </c>
      <c r="C56" s="275">
        <f ca="1">1-C57</f>
        <v>0.77900000000000003</v>
      </c>
    </row>
    <row r="57" spans="1:7">
      <c r="B57" s="273" t="s">
        <v>802</v>
      </c>
      <c r="C57" s="274">
        <f ca="1">ROUND(C51/C52,3)</f>
        <v>0.221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0" t="str">
        <f>项目基本情况!B1</f>
        <v>北京市房地产抵押价值预评估</v>
      </c>
      <c r="C37" s="3510"/>
      <c r="D37" s="3510"/>
      <c r="E37" s="3510"/>
      <c r="F37" s="3510"/>
      <c r="G37" s="3510"/>
      <c r="H37" s="3510"/>
      <c r="I37" s="3510"/>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项目基本情况!K4</f>
        <v>（注册号：0)、（注册号：0)</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0.03</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0.02</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0.12</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126906</v>
      </c>
      <c r="C2" s="1868" t="s">
        <v>1648</v>
      </c>
      <c r="D2" s="1869" t="s">
        <v>1649</v>
      </c>
      <c r="E2" s="2603">
        <f>SUM(E6:E13)</f>
        <v>50278.1</v>
      </c>
      <c r="F2" s="2703"/>
      <c r="G2" s="1485"/>
      <c r="H2" s="1485"/>
      <c r="I2" s="1485"/>
      <c r="J2" s="1485"/>
      <c r="K2" s="1485"/>
      <c r="L2" s="1485"/>
      <c r="M2" s="1485"/>
      <c r="N2" s="1485"/>
      <c r="O2" s="1485"/>
      <c r="P2" s="1485"/>
      <c r="Q2" s="1485"/>
      <c r="R2" s="1485"/>
      <c r="S2" s="1485"/>
    </row>
    <row r="3" spans="1:22" ht="15.75">
      <c r="A3" s="1866" t="s">
        <v>685</v>
      </c>
      <c r="B3" s="2597">
        <f ca="1">ROUND(B2*10000/E2,0)</f>
        <v>25241</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696" t="s">
        <v>1651</v>
      </c>
      <c r="C5" s="3697"/>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116358</v>
      </c>
      <c r="C6" s="1868" t="s">
        <v>1648</v>
      </c>
      <c r="D6" s="2705"/>
      <c r="E6" s="2602">
        <f>IF(OR(A6=0,F6="否"),0,'数据-取费表'!K6+'数据-取费表'!S6)</f>
        <v>33821.57</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3982</v>
      </c>
      <c r="C7" s="1868" t="s">
        <v>1648</v>
      </c>
      <c r="D7" s="2705"/>
      <c r="E7" s="2602">
        <f>IF(OR(A7=0,F7="否"),0,'数据-取费表'!K7+'数据-取费表'!S7)</f>
        <v>1116.56</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6566</v>
      </c>
      <c r="C8" s="1868" t="s">
        <v>1648</v>
      </c>
      <c r="D8" s="2705"/>
      <c r="E8" s="2602">
        <f>IF(OR(A8=0,F8="否"),0,'数据-取费表'!K8+'数据-取费表'!S8)</f>
        <v>15339.970000000003</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K44" sqref="K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43.65</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116358</v>
      </c>
      <c r="C2" s="1383" t="s">
        <v>804</v>
      </c>
      <c r="D2" s="1383"/>
      <c r="E2" s="1384"/>
      <c r="F2" s="1385"/>
      <c r="G2" s="2702"/>
      <c r="H2" s="2691"/>
      <c r="I2" s="2691"/>
      <c r="J2" s="2691"/>
      <c r="K2" s="2692"/>
      <c r="L2" s="2691"/>
      <c r="M2" s="2691"/>
    </row>
    <row r="3" spans="1:37" ht="18" customHeight="1" thickBot="1">
      <c r="A3" s="1386" t="s">
        <v>805</v>
      </c>
      <c r="B3" s="1387">
        <f ca="1">IF(ISERROR(B2*10000/F43),0,ROUND(B2*10000/F43,0))</f>
        <v>34467</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6064</v>
      </c>
      <c r="D5" s="1360" t="s">
        <v>692</v>
      </c>
      <c r="E5" s="1067"/>
      <c r="F5" s="1068"/>
      <c r="G5" s="1380"/>
      <c r="H5" s="299">
        <v>1</v>
      </c>
      <c r="I5" s="300" t="s">
        <v>691</v>
      </c>
      <c r="J5" s="1066">
        <f ca="1">J6+J10+J12</f>
        <v>0</v>
      </c>
      <c r="K5" s="1360" t="s">
        <v>692</v>
      </c>
      <c r="L5" s="1067"/>
      <c r="M5" s="1068"/>
    </row>
    <row r="6" spans="1:37" ht="18" customHeight="1">
      <c r="A6" s="1065" t="s">
        <v>397</v>
      </c>
      <c r="B6" s="3698" t="s">
        <v>693</v>
      </c>
      <c r="C6" s="1070">
        <f ca="1">ROUND(F6*F8*F7*(1-F9)/10000,0)</f>
        <v>6056</v>
      </c>
      <c r="D6" s="155" t="s">
        <v>2104</v>
      </c>
      <c r="E6" s="302" t="s">
        <v>695</v>
      </c>
      <c r="F6" s="303">
        <f ca="1">INDIRECT("'数据-取费表'!u"&amp;$G$1)</f>
        <v>5.5</v>
      </c>
      <c r="G6" s="1380"/>
      <c r="H6" s="1065" t="s">
        <v>397</v>
      </c>
      <c r="I6" s="3698" t="s">
        <v>693</v>
      </c>
      <c r="J6" s="301">
        <f ca="1">ROUND(M6*M8*M7*(1-M9)/10000,0)</f>
        <v>0</v>
      </c>
      <c r="K6" s="155" t="s">
        <v>2103</v>
      </c>
      <c r="L6" s="302" t="s">
        <v>695</v>
      </c>
      <c r="M6" s="303">
        <f ca="1">INDIRECT("'数据-取费表'!z"&amp;$G$1)</f>
        <v>0</v>
      </c>
    </row>
    <row r="7" spans="1:37" ht="18" customHeight="1">
      <c r="A7" s="1069"/>
      <c r="B7" s="3699"/>
      <c r="C7" s="1071"/>
      <c r="D7" s="307"/>
      <c r="E7" s="3490" t="s">
        <v>696</v>
      </c>
      <c r="F7" s="303">
        <f ca="1">IF(INDIRECT("'数据-取费表'!ah"&amp;$G$1)="",INDIRECT("'数据-取费表'!k"&amp;$G$1),INDIRECT("'数据-取费表'!ah"&amp;$G$1))</f>
        <v>33521.360000000001</v>
      </c>
      <c r="G7" s="1380"/>
      <c r="H7" s="304"/>
      <c r="I7" s="3699"/>
      <c r="J7" s="306"/>
      <c r="K7" s="307"/>
      <c r="L7" s="302" t="s">
        <v>696</v>
      </c>
      <c r="M7" s="303">
        <f ca="1">F7</f>
        <v>33521.360000000001</v>
      </c>
    </row>
    <row r="8" spans="1:37" ht="18" customHeight="1">
      <c r="A8" s="304"/>
      <c r="B8" s="3699"/>
      <c r="C8" s="306"/>
      <c r="D8" s="307"/>
      <c r="E8" s="302" t="s">
        <v>697</v>
      </c>
      <c r="F8" s="303">
        <f ca="1">INDIRECT("'数据-取费表'!ai"&amp;$G$1)</f>
        <v>365</v>
      </c>
      <c r="G8" s="1380"/>
      <c r="H8" s="304"/>
      <c r="I8" s="3699"/>
      <c r="J8" s="306"/>
      <c r="K8" s="307"/>
      <c r="L8" s="302" t="s">
        <v>697</v>
      </c>
      <c r="M8" s="303">
        <f ca="1">INDIRECT("'数据-取费表'!ai"&amp;$G$1)</f>
        <v>365</v>
      </c>
    </row>
    <row r="9" spans="1:37" ht="18" customHeight="1">
      <c r="A9" s="304"/>
      <c r="B9" s="3700"/>
      <c r="C9" s="306"/>
      <c r="D9" s="307"/>
      <c r="E9" s="302" t="s">
        <v>698</v>
      </c>
      <c r="F9" s="312">
        <f ca="1">INDIRECT("'数据-取费表'!w"&amp;$G$1)</f>
        <v>0.1</v>
      </c>
      <c r="G9" s="1380"/>
      <c r="H9" s="304"/>
      <c r="I9" s="3700"/>
      <c r="J9" s="306"/>
      <c r="K9" s="307"/>
      <c r="L9" s="313" t="s">
        <v>698</v>
      </c>
      <c r="M9" s="314">
        <f ca="1">INDIRECT("'数据-取费表'!ab"&amp;$G$1)</f>
        <v>0</v>
      </c>
    </row>
    <row r="10" spans="1:37" ht="18" customHeight="1">
      <c r="A10" s="1065" t="s">
        <v>401</v>
      </c>
      <c r="B10" s="1361" t="s">
        <v>699</v>
      </c>
      <c r="C10" s="316">
        <f ca="1">ROUND(IF(F10="押一",C6/12*F11,IF(F10="押二",C6/12*2*F11,IF(F10="押三",C6/12*3*F11,C11*F11))),0)</f>
        <v>8</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21945</v>
      </c>
      <c r="D13" s="3487" t="s">
        <v>704</v>
      </c>
      <c r="E13" s="348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16163</v>
      </c>
      <c r="D14" s="3497" t="s">
        <v>707</v>
      </c>
      <c r="E14" s="3496"/>
      <c r="F14" s="319"/>
      <c r="G14" s="1380"/>
      <c r="H14" s="978" t="s">
        <v>397</v>
      </c>
      <c r="I14" s="302" t="s">
        <v>708</v>
      </c>
      <c r="J14" s="21">
        <f ca="1">C29</f>
        <v>23100</v>
      </c>
      <c r="K14" s="3489"/>
      <c r="L14" s="803"/>
      <c r="M14" s="804"/>
    </row>
    <row r="15" spans="1:37" s="1393" customFormat="1" ht="18" customHeight="1" thickBot="1">
      <c r="A15" s="978" t="s">
        <v>398</v>
      </c>
      <c r="B15" s="302" t="s">
        <v>709</v>
      </c>
      <c r="C15" s="21">
        <f ca="1">ROUND(C14*F15,0)</f>
        <v>485</v>
      </c>
      <c r="D15" s="3488" t="s">
        <v>710</v>
      </c>
      <c r="E15" s="3488"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128</v>
      </c>
      <c r="K16" s="1083" t="s">
        <v>714</v>
      </c>
      <c r="L16" s="3499"/>
      <c r="M16" s="1068"/>
    </row>
    <row r="17" spans="1:37" s="1393" customFormat="1" ht="18" customHeight="1">
      <c r="A17" s="978" t="s">
        <v>680</v>
      </c>
      <c r="B17" s="302" t="s">
        <v>715</v>
      </c>
      <c r="C17" s="21">
        <f ca="1">ROUND(F17*(F43+INDIRECT("'数据-取费表'!S"&amp;$G$1))/10000,0)</f>
        <v>676</v>
      </c>
      <c r="D17" s="302" t="s">
        <v>716</v>
      </c>
      <c r="E17" s="302" t="s">
        <v>717</v>
      </c>
      <c r="F17" s="23">
        <f>'数据-取费表'!B35</f>
        <v>200</v>
      </c>
      <c r="G17" s="1392"/>
      <c r="H17" s="978" t="s">
        <v>397</v>
      </c>
      <c r="I17" s="302" t="s">
        <v>718</v>
      </c>
      <c r="J17" s="2312">
        <f ca="1">ROUND(IF(AND(项目基本情况!B11="自然人",项目基本情况!B10="北京市"),J6*M17/(1+'数据-取费表'!C42),J18+J19+J20),2)</f>
        <v>12.5</v>
      </c>
      <c r="K17" s="3497" t="s">
        <v>719</v>
      </c>
      <c r="L17" s="3498"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323</v>
      </c>
      <c r="D18" s="302" t="s">
        <v>710</v>
      </c>
      <c r="E18" s="302" t="s">
        <v>711</v>
      </c>
      <c r="F18" s="322">
        <f>'数据-取费表'!B36</f>
        <v>0.02</v>
      </c>
      <c r="G18" s="1392"/>
      <c r="H18" s="978" t="s">
        <v>396</v>
      </c>
      <c r="I18" s="302" t="s">
        <v>722</v>
      </c>
      <c r="J18" s="21">
        <f ca="1">ROUND(J6*M18/(1+'数据-取费表'!C42),2)</f>
        <v>0</v>
      </c>
      <c r="K18" s="3498"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17647</v>
      </c>
      <c r="D19" s="131" t="s">
        <v>725</v>
      </c>
      <c r="E19" s="3508"/>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353</v>
      </c>
      <c r="D20" s="2424" t="s">
        <v>728</v>
      </c>
      <c r="E20" s="302" t="s">
        <v>711</v>
      </c>
      <c r="F20" s="322">
        <f>'数据-取费表'!B37</f>
        <v>0.02</v>
      </c>
      <c r="G20" s="1392"/>
      <c r="H20" s="978" t="s">
        <v>679</v>
      </c>
      <c r="I20" s="155" t="s">
        <v>729</v>
      </c>
      <c r="J20" s="22">
        <f ca="1">ROUND(M20*M21/10000,2)</f>
        <v>12.5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6946.33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8"/>
      <c r="F22" s="23"/>
      <c r="G22" s="1380"/>
      <c r="H22" s="978" t="s">
        <v>401</v>
      </c>
      <c r="I22" s="302" t="s">
        <v>737</v>
      </c>
      <c r="J22" s="21">
        <f ca="1">ROUND(J14*M22,2)</f>
        <v>115.5</v>
      </c>
      <c r="K22" s="3498"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621</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8"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8"/>
      <c r="F25" s="23"/>
      <c r="G25" s="1380"/>
      <c r="H25" s="1075" t="s">
        <v>393</v>
      </c>
      <c r="I25" s="1090" t="s">
        <v>751</v>
      </c>
      <c r="J25" s="310">
        <f ca="1">J5-J16</f>
        <v>-128</v>
      </c>
      <c r="K25" s="1091" t="s">
        <v>752</v>
      </c>
      <c r="L25" s="1092"/>
      <c r="M25" s="1093"/>
    </row>
    <row r="26" spans="1:37">
      <c r="A26" s="978" t="s">
        <v>396</v>
      </c>
      <c r="B26" s="302" t="s">
        <v>753</v>
      </c>
      <c r="C26" s="21">
        <f ca="1">ROUND((C19+C20)*F26,0)</f>
        <v>2700</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8"/>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23100</v>
      </c>
      <c r="D29" s="1088"/>
      <c r="E29" s="1086"/>
      <c r="F29" s="1089"/>
      <c r="G29" s="1392"/>
      <c r="H29" s="334" t="s">
        <v>395</v>
      </c>
      <c r="I29" s="335" t="s">
        <v>767</v>
      </c>
      <c r="J29" s="336">
        <f ca="1">ROUND(J26/(1+F40)^F41,0)</f>
        <v>0</v>
      </c>
      <c r="K29" s="337" t="s">
        <v>768</v>
      </c>
      <c r="L29" s="338"/>
      <c r="M29" s="339">
        <f ca="1">INDIRECT("'数据-取费表'!k"&amp;$G$1)</f>
        <v>33759.019999999997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1206</v>
      </c>
      <c r="D30" s="1083" t="s">
        <v>714</v>
      </c>
      <c r="E30" s="3499"/>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1027.5999999999999</v>
      </c>
      <c r="D31" s="3497" t="s">
        <v>719</v>
      </c>
      <c r="E31" s="3498"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322.99</v>
      </c>
      <c r="D32" s="3498"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692.11</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12.5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6946.33</v>
      </c>
      <c r="G35" s="1380"/>
      <c r="H35" s="2693"/>
      <c r="I35" s="1394"/>
      <c r="J35" s="1395"/>
      <c r="K35" s="2697"/>
      <c r="L35" s="2696"/>
      <c r="M35" s="2696"/>
    </row>
    <row r="36" spans="1:18" ht="18" customHeight="1">
      <c r="A36" s="1098" t="s">
        <v>401</v>
      </c>
      <c r="B36" s="302" t="s">
        <v>737</v>
      </c>
      <c r="C36" s="21">
        <f ca="1">ROUND(C29*F36,2)</f>
        <v>115.5</v>
      </c>
      <c r="D36" s="3498"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32.92</v>
      </c>
      <c r="D37" s="3498"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30.32</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4858</v>
      </c>
      <c r="D39" s="1091" t="s">
        <v>772</v>
      </c>
      <c r="E39" s="1092"/>
      <c r="F39" s="1093"/>
      <c r="G39" s="1380"/>
      <c r="H39" s="2696"/>
      <c r="I39" s="1394"/>
      <c r="J39" s="1395"/>
      <c r="K39" s="2700"/>
      <c r="L39" s="2696"/>
      <c r="M39" s="2696"/>
    </row>
    <row r="40" spans="1:18" ht="18" customHeight="1">
      <c r="A40" s="299" t="s">
        <v>394</v>
      </c>
      <c r="B40" s="300" t="s">
        <v>773</v>
      </c>
      <c r="C40" s="301">
        <f ca="1">ROUND(C39*(1-((1+F42)/(1+F40))^F41)/(F40-F42),0)</f>
        <v>115965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34351</v>
      </c>
      <c r="D43" s="337" t="s">
        <v>776</v>
      </c>
      <c r="E43" s="338" t="s">
        <v>777</v>
      </c>
      <c r="F43" s="339">
        <f ca="1">INDIRECT("'数据-取费表'!k"&amp;$G$1)</f>
        <v>33759.019999999997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-118609</v>
      </c>
      <c r="D46" s="1402" t="str">
        <f>C2</f>
        <v>万元</v>
      </c>
      <c r="E46" s="1396"/>
      <c r="F46" s="1396"/>
      <c r="I46" s="1403" t="s">
        <v>809</v>
      </c>
      <c r="J46" s="1404"/>
      <c r="K46" s="1405"/>
      <c r="L46" s="1406">
        <f ca="1">IF(M47="住宅",0,IF(L48&gt;J51,L60,J60))</f>
        <v>393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115965</v>
      </c>
      <c r="R47" s="1416" t="s">
        <v>817</v>
      </c>
    </row>
    <row r="48" spans="1:18" s="1380" customFormat="1" ht="28.5" thickBot="1">
      <c r="A48" s="1106" t="s">
        <v>437</v>
      </c>
      <c r="B48" s="300" t="s">
        <v>691</v>
      </c>
      <c r="C48" s="3507">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393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23100</v>
      </c>
      <c r="R49" s="1416" t="s">
        <v>817</v>
      </c>
    </row>
    <row r="50" spans="1:18" s="1380" customFormat="1" ht="13.5" thickBot="1">
      <c r="A50" s="972"/>
      <c r="B50" s="975"/>
      <c r="C50" s="1114"/>
      <c r="D50" s="949"/>
      <c r="E50" s="1052" t="s">
        <v>696</v>
      </c>
      <c r="F50" s="1053">
        <f ca="1">F7</f>
        <v>33521.360000000001</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62320</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1" t="s">
        <v>836</v>
      </c>
      <c r="L53" s="3702"/>
      <c r="O53" s="1414" t="s">
        <v>408</v>
      </c>
      <c r="P53" s="1415" t="s">
        <v>837</v>
      </c>
      <c r="Q53" s="1416">
        <f ca="1">Q47+Q48</f>
        <v>116358</v>
      </c>
      <c r="R53" s="1416" t="s">
        <v>409</v>
      </c>
    </row>
    <row r="54" spans="1:18" s="1380" customFormat="1" ht="13.5" thickBot="1">
      <c r="A54" s="1149"/>
      <c r="B54" s="1363" t="s">
        <v>678</v>
      </c>
      <c r="C54" s="955"/>
      <c r="D54" s="1362"/>
      <c r="E54" s="349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1"/>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21945</v>
      </c>
      <c r="D56" s="1443"/>
      <c r="E56" s="1444"/>
      <c r="F56" s="1436"/>
      <c r="I56" s="1445" t="s">
        <v>841</v>
      </c>
      <c r="J56" s="1446" t="s">
        <v>3380</v>
      </c>
      <c r="K56" s="1417" t="s">
        <v>842</v>
      </c>
      <c r="L56" s="1420" t="str">
        <f ca="1">IF(L48&lt;J51,"——",L48-J53)</f>
        <v>——</v>
      </c>
      <c r="O56" s="1414" t="s">
        <v>402</v>
      </c>
      <c r="P56" s="1415" t="s">
        <v>816</v>
      </c>
      <c r="Q56" s="1416">
        <f ca="1">C40+J29</f>
        <v>115965</v>
      </c>
      <c r="R56" s="1416" t="s">
        <v>817</v>
      </c>
    </row>
    <row r="57" spans="1:18" s="1380" customFormat="1" ht="24.75" thickBot="1">
      <c r="A57" s="1447"/>
      <c r="B57" s="946" t="s">
        <v>766</v>
      </c>
      <c r="C57" s="238">
        <f ca="1">C29</f>
        <v>23100</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161</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13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9240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393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12.5</v>
      </c>
      <c r="D62" s="961" t="s">
        <v>785</v>
      </c>
      <c r="E62" s="946" t="s">
        <v>786</v>
      </c>
      <c r="F62" s="325">
        <f t="shared" si="0"/>
        <v>18</v>
      </c>
      <c r="I62" s="1458" t="s">
        <v>857</v>
      </c>
      <c r="J62" s="1459" t="s">
        <v>858</v>
      </c>
      <c r="K62" s="1459" t="s">
        <v>859</v>
      </c>
      <c r="L62" s="1459" t="s">
        <v>860</v>
      </c>
      <c r="M62" s="1460" t="s">
        <v>861</v>
      </c>
      <c r="O62" s="1414" t="s">
        <v>408</v>
      </c>
      <c r="P62" s="1415" t="s">
        <v>862</v>
      </c>
      <c r="Q62" s="1416">
        <f ca="1">Q56+Q57</f>
        <v>115965</v>
      </c>
      <c r="R62" s="1416" t="s">
        <v>409</v>
      </c>
    </row>
    <row r="63" spans="1:18" s="1380" customFormat="1" ht="13.5" thickBot="1">
      <c r="A63" s="326"/>
      <c r="B63" s="952"/>
      <c r="C63" s="26"/>
      <c r="D63" s="962"/>
      <c r="E63" s="946" t="s">
        <v>787</v>
      </c>
      <c r="F63" s="303">
        <f t="shared" ca="1" si="0"/>
        <v>6946.33</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115.5</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32.92</v>
      </c>
      <c r="D65" s="960" t="s">
        <v>742</v>
      </c>
      <c r="E65" s="946" t="s">
        <v>743</v>
      </c>
      <c r="F65" s="330">
        <f t="shared" ca="1" si="0"/>
        <v>1.5E-3</v>
      </c>
      <c r="I65" s="1458" t="s">
        <v>866</v>
      </c>
      <c r="J65" s="1459">
        <v>40</v>
      </c>
      <c r="K65" s="1459">
        <v>30</v>
      </c>
      <c r="L65" s="1459">
        <v>50</v>
      </c>
      <c r="M65" s="1461">
        <v>0.02</v>
      </c>
      <c r="O65" s="1414" t="s">
        <v>402</v>
      </c>
      <c r="P65" s="1415" t="s">
        <v>867</v>
      </c>
      <c r="Q65" s="1416">
        <f ca="1">C40+J29</f>
        <v>115965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-161</v>
      </c>
      <c r="D67" s="959" t="s">
        <v>752</v>
      </c>
      <c r="E67" s="964"/>
      <c r="F67" s="965"/>
      <c r="O67" s="1424" t="s">
        <v>404</v>
      </c>
      <c r="P67" s="1415" t="s">
        <v>849</v>
      </c>
      <c r="Q67" s="1462">
        <f ca="1">L51</f>
        <v>62320</v>
      </c>
      <c r="R67" s="1416" t="s">
        <v>869</v>
      </c>
    </row>
    <row r="68" spans="1:18" s="1380" customFormat="1" ht="16.5" thickBot="1">
      <c r="A68" s="943" t="s">
        <v>394</v>
      </c>
      <c r="B68" s="944" t="s">
        <v>773</v>
      </c>
      <c r="C68" s="301">
        <f ca="1">ROUND(C67*(1-((1+F70)/(1+F68))^F69)/(F68-F70),0)</f>
        <v>-2644</v>
      </c>
      <c r="D68" s="961" t="s">
        <v>757</v>
      </c>
      <c r="E68" s="946" t="s">
        <v>758</v>
      </c>
      <c r="F68" s="312">
        <f ca="1">F40</f>
        <v>5.5E-2</v>
      </c>
      <c r="O68" s="1424" t="s">
        <v>405</v>
      </c>
      <c r="P68" s="1463" t="s">
        <v>870</v>
      </c>
      <c r="Q68" s="1416">
        <f ca="1">ROUND(Q69-Q70*Q71,0)</f>
        <v>3322</v>
      </c>
      <c r="R68" s="1416" t="s">
        <v>413</v>
      </c>
    </row>
    <row r="69" spans="1:18" s="1380" customFormat="1" ht="13.5" thickBot="1">
      <c r="A69" s="947"/>
      <c r="B69" s="948"/>
      <c r="C69" s="306"/>
      <c r="D69" s="966" t="s">
        <v>761</v>
      </c>
      <c r="E69" s="946" t="s">
        <v>762</v>
      </c>
      <c r="F69" s="333">
        <f ca="1">F41</f>
        <v>43.65</v>
      </c>
      <c r="O69" s="1424" t="s">
        <v>410</v>
      </c>
      <c r="P69" s="1463" t="s">
        <v>871</v>
      </c>
      <c r="Q69" s="1416">
        <f ca="1">C39</f>
        <v>4858</v>
      </c>
      <c r="R69" s="1416" t="s">
        <v>817</v>
      </c>
    </row>
    <row r="70" spans="1:18" s="1380" customFormat="1" ht="13.5" thickBot="1">
      <c r="A70" s="950"/>
      <c r="B70" s="951"/>
      <c r="C70" s="310"/>
      <c r="D70" s="962"/>
      <c r="E70" s="946" t="s">
        <v>765</v>
      </c>
      <c r="F70" s="1050"/>
      <c r="O70" s="1424" t="s">
        <v>411</v>
      </c>
      <c r="P70" s="1463" t="s">
        <v>872</v>
      </c>
      <c r="Q70" s="1416">
        <f ca="1">C13</f>
        <v>21945</v>
      </c>
      <c r="R70" s="1416" t="s">
        <v>817</v>
      </c>
    </row>
    <row r="71" spans="1:18" s="1380" customFormat="1" ht="13.5" thickBot="1">
      <c r="A71" s="967" t="s">
        <v>395</v>
      </c>
      <c r="B71" s="968" t="s">
        <v>775</v>
      </c>
      <c r="C71" s="336">
        <f ca="1">ROUND(C68*10000/F71,0)</f>
        <v>-783</v>
      </c>
      <c r="D71" s="969" t="s">
        <v>776</v>
      </c>
      <c r="E71" s="970" t="s">
        <v>777</v>
      </c>
      <c r="F71" s="339">
        <f ca="1">F43</f>
        <v>33759.019999999997</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1536</v>
      </c>
      <c r="D75" s="1380"/>
      <c r="E75" s="1380"/>
      <c r="F75" s="1380"/>
      <c r="K75" s="1398"/>
      <c r="L75" s="1380"/>
      <c r="O75" s="1414" t="s">
        <v>408</v>
      </c>
      <c r="P75" s="1415" t="s">
        <v>837</v>
      </c>
      <c r="Q75" s="1416">
        <f ca="1">Q65+Q66</f>
        <v>115965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0.68399999999999994</v>
      </c>
    </row>
    <row r="80" spans="1:18">
      <c r="B80" s="340" t="s">
        <v>799</v>
      </c>
      <c r="C80" s="274">
        <f ca="1">ROUND(C75/C39,3)</f>
        <v>0.316</v>
      </c>
    </row>
    <row r="81" spans="2:3">
      <c r="B81" s="270" t="s">
        <v>800</v>
      </c>
      <c r="C81" s="238"/>
    </row>
    <row r="82" spans="2:3">
      <c r="B82" s="273" t="s">
        <v>801</v>
      </c>
      <c r="C82" s="275">
        <f ca="1">1-C83</f>
        <v>0.81099999999999994</v>
      </c>
    </row>
    <row r="83" spans="2:3">
      <c r="B83" s="273" t="s">
        <v>802</v>
      </c>
      <c r="C83" s="274">
        <f ca="1">ROUND(C13/C40,3)</f>
        <v>0.189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70" sqref="D7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3982</v>
      </c>
      <c r="C2" s="1383" t="s">
        <v>804</v>
      </c>
      <c r="D2" s="1383"/>
      <c r="E2" s="1384"/>
      <c r="F2" s="1385"/>
      <c r="G2" s="2702"/>
      <c r="H2" s="2691"/>
      <c r="I2" s="2691"/>
      <c r="J2" s="2691"/>
      <c r="K2" s="2692"/>
      <c r="L2" s="2691"/>
      <c r="M2" s="2691"/>
    </row>
    <row r="3" spans="1:37" ht="18" customHeight="1" thickBot="1">
      <c r="A3" s="1386" t="s">
        <v>805</v>
      </c>
      <c r="B3" s="1387">
        <f ca="1">IF(ISERROR(B2*10000/F43),0,ROUND(B2*10000/F43,0))</f>
        <v>35729</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698" t="s">
        <v>693</v>
      </c>
      <c r="C6" s="1070">
        <f ca="1">ROUND(F6*F8*F7*(1-F9)/10000,0)</f>
        <v>238</v>
      </c>
      <c r="D6" s="155" t="s">
        <v>2104</v>
      </c>
      <c r="E6" s="302" t="s">
        <v>695</v>
      </c>
      <c r="F6" s="303">
        <f ca="1">INDIRECT("'数据-取费表'!u"&amp;$G$1)</f>
        <v>6.5</v>
      </c>
      <c r="G6" s="1380"/>
      <c r="H6" s="1065" t="s">
        <v>397</v>
      </c>
      <c r="I6" s="3698" t="s">
        <v>693</v>
      </c>
      <c r="J6" s="301">
        <f ca="1">ROUND(M6*M8*M7*(1-M9)/10000,0)</f>
        <v>0</v>
      </c>
      <c r="K6" s="155" t="s">
        <v>2103</v>
      </c>
      <c r="L6" s="302" t="s">
        <v>695</v>
      </c>
      <c r="M6" s="303">
        <f ca="1">INDIRECT("'数据-取费表'!z"&amp;$G$1)</f>
        <v>0</v>
      </c>
    </row>
    <row r="7" spans="1:37" ht="18" customHeight="1">
      <c r="A7" s="1069"/>
      <c r="B7" s="3699"/>
      <c r="C7" s="1071"/>
      <c r="D7" s="307"/>
      <c r="E7" s="1072" t="s">
        <v>696</v>
      </c>
      <c r="F7" s="303">
        <f ca="1">IF(INDIRECT("'数据-取费表'!ah"&amp;$G$1)="",INDIRECT("'数据-取费表'!k"&amp;$G$1),INDIRECT("'数据-取费表'!ah"&amp;$G$1))</f>
        <v>1114.5</v>
      </c>
      <c r="G7" s="1380"/>
      <c r="H7" s="304"/>
      <c r="I7" s="3699"/>
      <c r="J7" s="306"/>
      <c r="K7" s="307"/>
      <c r="L7" s="302" t="s">
        <v>696</v>
      </c>
      <c r="M7" s="303">
        <f ca="1">F7</f>
        <v>1114.5</v>
      </c>
    </row>
    <row r="8" spans="1:37" ht="18" customHeight="1">
      <c r="A8" s="304"/>
      <c r="B8" s="3699"/>
      <c r="C8" s="306"/>
      <c r="D8" s="307"/>
      <c r="E8" s="302" t="s">
        <v>697</v>
      </c>
      <c r="F8" s="303">
        <f ca="1">INDIRECT("'数据-取费表'!ai"&amp;$G$1)</f>
        <v>365</v>
      </c>
      <c r="G8" s="1380"/>
      <c r="H8" s="304"/>
      <c r="I8" s="3699"/>
      <c r="J8" s="306"/>
      <c r="K8" s="307"/>
      <c r="L8" s="302" t="s">
        <v>697</v>
      </c>
      <c r="M8" s="303">
        <f ca="1">INDIRECT("'数据-取费表'!ai"&amp;$G$1)</f>
        <v>365</v>
      </c>
    </row>
    <row r="9" spans="1:37" ht="18" customHeight="1">
      <c r="A9" s="304"/>
      <c r="B9" s="3700"/>
      <c r="C9" s="306"/>
      <c r="D9" s="307"/>
      <c r="E9" s="302" t="s">
        <v>698</v>
      </c>
      <c r="F9" s="312">
        <f ca="1">INDIRECT("'数据-取费表'!w"&amp;$G$1)</f>
        <v>0.1</v>
      </c>
      <c r="G9" s="1380"/>
      <c r="H9" s="304"/>
      <c r="I9" s="3700"/>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756</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534</v>
      </c>
      <c r="D14" s="1341" t="s">
        <v>707</v>
      </c>
      <c r="E14" s="1338"/>
      <c r="F14" s="319"/>
      <c r="G14" s="1380"/>
      <c r="H14" s="978" t="s">
        <v>397</v>
      </c>
      <c r="I14" s="302" t="s">
        <v>708</v>
      </c>
      <c r="J14" s="21">
        <f ca="1">C29</f>
        <v>796</v>
      </c>
      <c r="K14" s="12"/>
      <c r="L14" s="803"/>
      <c r="M14" s="804"/>
    </row>
    <row r="15" spans="1:37" s="1393" customFormat="1" ht="18" customHeight="1" thickBot="1">
      <c r="A15" s="978" t="s">
        <v>398</v>
      </c>
      <c r="B15" s="302" t="s">
        <v>709</v>
      </c>
      <c r="C15" s="21">
        <f ca="1">ROUND(C14*F15,0)</f>
        <v>16</v>
      </c>
      <c r="D15" s="320" t="s">
        <v>710</v>
      </c>
      <c r="E15" s="320"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4</v>
      </c>
      <c r="K16" s="1083" t="s">
        <v>714</v>
      </c>
      <c r="L16" s="1084"/>
      <c r="M16" s="1068"/>
    </row>
    <row r="17" spans="1:37" s="1393" customFormat="1" ht="18" customHeight="1">
      <c r="A17" s="978" t="s">
        <v>680</v>
      </c>
      <c r="B17" s="302" t="s">
        <v>715</v>
      </c>
      <c r="C17" s="21">
        <f ca="1">ROUND(F17*(F43+INDIRECT("'数据-取费表'!S"&amp;$G$1))/10000,0)</f>
        <v>22</v>
      </c>
      <c r="D17" s="302" t="s">
        <v>716</v>
      </c>
      <c r="E17" s="302" t="s">
        <v>717</v>
      </c>
      <c r="F17" s="23">
        <f>'数据-取费表'!B35</f>
        <v>200</v>
      </c>
      <c r="G17" s="1392"/>
      <c r="H17" s="978" t="s">
        <v>397</v>
      </c>
      <c r="I17" s="302" t="s">
        <v>718</v>
      </c>
      <c r="J17" s="2312">
        <f ca="1">ROUND(IF(AND(项目基本情况!B11="自然人",项目基本情况!B10="北京市"),J6*M17/(1+'数据-取费表'!C42),J18+J19+J20),2)</f>
        <v>0.41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11</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583</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12</v>
      </c>
      <c r="D20" s="323" t="s">
        <v>728</v>
      </c>
      <c r="E20" s="302" t="s">
        <v>711</v>
      </c>
      <c r="F20" s="322">
        <f>'数据-取费表'!B37</f>
        <v>0.02</v>
      </c>
      <c r="G20" s="1392"/>
      <c r="H20" s="978" t="s">
        <v>679</v>
      </c>
      <c r="I20" s="155" t="s">
        <v>729</v>
      </c>
      <c r="J20" s="22">
        <f ca="1">ROUND(M20*M21/10000,2)</f>
        <v>0.41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229.32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3.98</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20</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-4</v>
      </c>
      <c r="K25" s="1091" t="s">
        <v>752</v>
      </c>
      <c r="L25" s="1092"/>
      <c r="M25" s="1093"/>
    </row>
    <row r="26" spans="1:37">
      <c r="A26" s="978" t="s">
        <v>396</v>
      </c>
      <c r="B26" s="302" t="s">
        <v>753</v>
      </c>
      <c r="C26" s="21">
        <f ca="1">ROUND((C19+C20)*F26,0)</f>
        <v>119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796</v>
      </c>
      <c r="D29" s="1088"/>
      <c r="E29" s="1086"/>
      <c r="F29" s="1089"/>
      <c r="G29" s="1392"/>
      <c r="H29" s="334" t="s">
        <v>395</v>
      </c>
      <c r="I29" s="335" t="s">
        <v>767</v>
      </c>
      <c r="J29" s="336">
        <f ca="1">ROUND(J26/(1+F40)^F41,0)</f>
        <v>0</v>
      </c>
      <c r="K29" s="337" t="s">
        <v>768</v>
      </c>
      <c r="L29" s="338"/>
      <c r="M29" s="339">
        <f ca="1">INDIRECT("'数据-取费表'!k"&amp;$G$1)</f>
        <v>1114.5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47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40.299999999999997</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0.41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229.32</v>
      </c>
      <c r="G35" s="1380"/>
      <c r="H35" s="2693"/>
      <c r="I35" s="1394"/>
      <c r="J35" s="1395"/>
      <c r="K35" s="2697"/>
      <c r="L35" s="2696"/>
      <c r="M35" s="2696"/>
    </row>
    <row r="36" spans="1:18" ht="18" customHeight="1">
      <c r="A36" s="1098" t="s">
        <v>401</v>
      </c>
      <c r="B36" s="302" t="s">
        <v>737</v>
      </c>
      <c r="C36" s="21">
        <f ca="1">ROUND(C29*F36,2)</f>
        <v>3.98</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1.1299999999999999</v>
      </c>
      <c r="D37" s="1340"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191</v>
      </c>
      <c r="D39" s="1091" t="s">
        <v>772</v>
      </c>
      <c r="E39" s="1092"/>
      <c r="F39" s="1093"/>
      <c r="G39" s="1380"/>
      <c r="H39" s="2696"/>
      <c r="I39" s="1394"/>
      <c r="J39" s="1395"/>
      <c r="K39" s="2700"/>
      <c r="L39" s="2696"/>
      <c r="M39" s="2696"/>
    </row>
    <row r="40" spans="1:18" ht="18" customHeight="1">
      <c r="A40" s="299" t="s">
        <v>394</v>
      </c>
      <c r="B40" s="300" t="s">
        <v>773</v>
      </c>
      <c r="C40" s="301">
        <f ca="1">ROUND(C39*(1-((1+F42)/(1+F40))^F41)/(F40-F42),0)</f>
        <v>3954</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35478</v>
      </c>
      <c r="D43" s="337" t="s">
        <v>776</v>
      </c>
      <c r="E43" s="338" t="s">
        <v>777</v>
      </c>
      <c r="F43" s="339">
        <f ca="1">INDIRECT("'数据-取费表'!k"&amp;$G$1)</f>
        <v>1114.5</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-4030</v>
      </c>
      <c r="D46" s="1402" t="str">
        <f>C2</f>
        <v>万元</v>
      </c>
      <c r="E46" s="1396"/>
      <c r="F46" s="1396"/>
      <c r="I46" s="1403" t="s">
        <v>809</v>
      </c>
      <c r="J46" s="1404"/>
      <c r="K46" s="1405"/>
      <c r="L46" s="1406">
        <f ca="1">IF(M47="住宅",0,IF(L48&gt;J51,L60,J60))</f>
        <v>28</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3954</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28</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796</v>
      </c>
      <c r="R49" s="1416" t="s">
        <v>817</v>
      </c>
    </row>
    <row r="50" spans="1:18" s="1380" customFormat="1" ht="13.5" thickBot="1">
      <c r="A50" s="972"/>
      <c r="B50" s="975"/>
      <c r="C50" s="1114"/>
      <c r="D50" s="949"/>
      <c r="E50" s="1052" t="s">
        <v>696</v>
      </c>
      <c r="F50" s="1053">
        <f ca="1">F7</f>
        <v>1114.5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2590</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33.64</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33.64</v>
      </c>
      <c r="K53" s="3701" t="s">
        <v>836</v>
      </c>
      <c r="L53" s="3702"/>
      <c r="O53" s="1414" t="s">
        <v>408</v>
      </c>
      <c r="P53" s="1415" t="s">
        <v>837</v>
      </c>
      <c r="Q53" s="1416">
        <f ca="1">Q47+Q48</f>
        <v>3982</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25.5" thickTop="1" thickBot="1">
      <c r="A56" s="953">
        <v>2</v>
      </c>
      <c r="B56" s="954" t="s">
        <v>703</v>
      </c>
      <c r="C56" s="232">
        <f ca="1">C13</f>
        <v>756</v>
      </c>
      <c r="D56" s="1443"/>
      <c r="E56" s="1444"/>
      <c r="F56" s="1436"/>
      <c r="I56" s="1445" t="s">
        <v>841</v>
      </c>
      <c r="J56" s="1446" t="s">
        <v>3380</v>
      </c>
      <c r="K56" s="1417" t="s">
        <v>842</v>
      </c>
      <c r="L56" s="1420" t="str">
        <f ca="1">IF(L48&lt;J51,"——",L48-J53)</f>
        <v>——</v>
      </c>
      <c r="O56" s="1414" t="s">
        <v>402</v>
      </c>
      <c r="P56" s="1415" t="s">
        <v>816</v>
      </c>
      <c r="Q56" s="1416">
        <f ca="1">C40+J29</f>
        <v>3954</v>
      </c>
      <c r="R56" s="1416" t="s">
        <v>817</v>
      </c>
    </row>
    <row r="57" spans="1:18" s="1380" customFormat="1" ht="24.75" thickBot="1">
      <c r="A57" s="1447"/>
      <c r="B57" s="946" t="s">
        <v>766</v>
      </c>
      <c r="C57" s="238">
        <f ca="1">C29</f>
        <v>796</v>
      </c>
      <c r="D57" s="1448"/>
      <c r="E57" s="1449"/>
      <c r="F57" s="1450"/>
      <c r="I57" s="1451" t="s">
        <v>843</v>
      </c>
      <c r="J57" s="1452">
        <f ca="1">IF(OR(M47="住宅",J51&lt;L48,J56="是"),"——",J51-L48)</f>
        <v>23.36</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0</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318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0.41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3954</v>
      </c>
      <c r="R62" s="1416" t="s">
        <v>409</v>
      </c>
    </row>
    <row r="63" spans="1:18" s="1380" customFormat="1" ht="13.5" thickBot="1">
      <c r="A63" s="326"/>
      <c r="B63" s="952"/>
      <c r="C63" s="26"/>
      <c r="D63" s="962"/>
      <c r="E63" s="946" t="s">
        <v>787</v>
      </c>
      <c r="F63" s="303">
        <f t="shared" ca="1" si="0"/>
        <v>229.32</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3.98</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1.1299999999999999</v>
      </c>
      <c r="D65" s="960" t="s">
        <v>742</v>
      </c>
      <c r="E65" s="946" t="s">
        <v>743</v>
      </c>
      <c r="F65" s="330">
        <f t="shared" ca="1" si="0"/>
        <v>1.5E-3</v>
      </c>
      <c r="I65" s="1458" t="s">
        <v>866</v>
      </c>
      <c r="J65" s="1459">
        <v>40</v>
      </c>
      <c r="K65" s="1459">
        <v>30</v>
      </c>
      <c r="L65" s="1459">
        <v>50</v>
      </c>
      <c r="M65" s="1461">
        <v>0.02</v>
      </c>
      <c r="O65" s="1414" t="s">
        <v>402</v>
      </c>
      <c r="P65" s="1415" t="s">
        <v>867</v>
      </c>
      <c r="Q65" s="1416">
        <f ca="1">C40+J29</f>
        <v>3954</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-5</v>
      </c>
      <c r="D67" s="959" t="s">
        <v>752</v>
      </c>
      <c r="E67" s="964"/>
      <c r="F67" s="965"/>
      <c r="O67" s="1424" t="s">
        <v>404</v>
      </c>
      <c r="P67" s="1415" t="s">
        <v>849</v>
      </c>
      <c r="Q67" s="1462">
        <f ca="1">L51</f>
        <v>2590</v>
      </c>
      <c r="R67" s="1416" t="s">
        <v>869</v>
      </c>
    </row>
    <row r="68" spans="1:18" s="1380" customFormat="1" ht="16.5" thickBot="1">
      <c r="A68" s="943" t="s">
        <v>394</v>
      </c>
      <c r="B68" s="944" t="s">
        <v>773</v>
      </c>
      <c r="C68" s="301">
        <f ca="1">ROUND(C67*(1-((1+F70)/(1+F68))^F69)/(F68-F70),0)</f>
        <v>-76</v>
      </c>
      <c r="D68" s="961" t="s">
        <v>757</v>
      </c>
      <c r="E68" s="946" t="s">
        <v>758</v>
      </c>
      <c r="F68" s="312">
        <f ca="1">F40</f>
        <v>5.5E-2</v>
      </c>
      <c r="O68" s="1424" t="s">
        <v>405</v>
      </c>
      <c r="P68" s="1463" t="s">
        <v>870</v>
      </c>
      <c r="Q68" s="1416">
        <f ca="1">ROUND(Q69-Q70*Q71,0)</f>
        <v>138</v>
      </c>
      <c r="R68" s="1416" t="s">
        <v>413</v>
      </c>
    </row>
    <row r="69" spans="1:18" s="1380" customFormat="1" ht="13.5" thickBot="1">
      <c r="A69" s="947"/>
      <c r="B69" s="948"/>
      <c r="C69" s="306"/>
      <c r="D69" s="966" t="s">
        <v>761</v>
      </c>
      <c r="E69" s="946" t="s">
        <v>762</v>
      </c>
      <c r="F69" s="333">
        <f ca="1">F41</f>
        <v>33.64</v>
      </c>
      <c r="O69" s="1424" t="s">
        <v>410</v>
      </c>
      <c r="P69" s="1463" t="s">
        <v>871</v>
      </c>
      <c r="Q69" s="1416">
        <f ca="1">C39</f>
        <v>191</v>
      </c>
      <c r="R69" s="1416" t="s">
        <v>817</v>
      </c>
    </row>
    <row r="70" spans="1:18" s="1380" customFormat="1" ht="13.5" thickBot="1">
      <c r="A70" s="950"/>
      <c r="B70" s="951"/>
      <c r="C70" s="310"/>
      <c r="D70" s="962"/>
      <c r="E70" s="946" t="s">
        <v>765</v>
      </c>
      <c r="F70" s="1050"/>
      <c r="O70" s="1424" t="s">
        <v>411</v>
      </c>
      <c r="P70" s="1463" t="s">
        <v>872</v>
      </c>
      <c r="Q70" s="1416">
        <f ca="1">C13</f>
        <v>756</v>
      </c>
      <c r="R70" s="1416" t="s">
        <v>817</v>
      </c>
    </row>
    <row r="71" spans="1:18" s="1380" customFormat="1" ht="13.5" thickBot="1">
      <c r="A71" s="967" t="s">
        <v>395</v>
      </c>
      <c r="B71" s="968" t="s">
        <v>775</v>
      </c>
      <c r="C71" s="336">
        <f ca="1">ROUND(C68*10000/F71,0)</f>
        <v>-682</v>
      </c>
      <c r="D71" s="969" t="s">
        <v>776</v>
      </c>
      <c r="E71" s="970" t="s">
        <v>777</v>
      </c>
      <c r="F71" s="339">
        <f ca="1">F43</f>
        <v>1114.5</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53</v>
      </c>
      <c r="D75" s="1380"/>
      <c r="E75" s="1380"/>
      <c r="F75" s="1380"/>
      <c r="K75" s="1398"/>
      <c r="L75" s="1380"/>
      <c r="O75" s="1414" t="s">
        <v>408</v>
      </c>
      <c r="P75" s="1415" t="s">
        <v>837</v>
      </c>
      <c r="Q75" s="1416">
        <f ca="1">Q65+Q66</f>
        <v>3954</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0.72299999999999998</v>
      </c>
    </row>
    <row r="80" spans="1:18">
      <c r="B80" s="340" t="s">
        <v>799</v>
      </c>
      <c r="C80" s="274">
        <f ca="1">ROUND(C75/C39,3)</f>
        <v>0.27700000000000002</v>
      </c>
    </row>
    <row r="81" spans="2:3">
      <c r="B81" s="270" t="s">
        <v>800</v>
      </c>
      <c r="C81" s="238"/>
    </row>
    <row r="82" spans="2:3">
      <c r="B82" s="273" t="s">
        <v>801</v>
      </c>
      <c r="C82" s="275">
        <f ca="1">1-C83</f>
        <v>0.80899999999999994</v>
      </c>
    </row>
    <row r="83" spans="2:3">
      <c r="B83" s="273" t="s">
        <v>802</v>
      </c>
      <c r="C83" s="274">
        <f ca="1">ROUND(C13/C40,3)</f>
        <v>0.191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5441.2119000000002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1114.5</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22" t="s">
        <v>1767</v>
      </c>
      <c r="D4" s="3723"/>
      <c r="E4" s="3724" t="s">
        <v>1768</v>
      </c>
      <c r="F4" s="3725"/>
      <c r="G4" s="3722" t="s">
        <v>1769</v>
      </c>
      <c r="H4" s="3723"/>
      <c r="I4" s="3722" t="s">
        <v>1770</v>
      </c>
      <c r="J4" s="3723"/>
      <c r="K4" s="559" t="s">
        <v>1771</v>
      </c>
      <c r="L4" s="2711"/>
      <c r="M4" s="2712"/>
      <c r="N4" s="2712"/>
      <c r="O4" s="2712"/>
      <c r="P4" s="3726" t="s">
        <v>1772</v>
      </c>
      <c r="Q4" s="3727"/>
      <c r="R4" s="3709" t="s">
        <v>1768</v>
      </c>
      <c r="S4" s="3710"/>
      <c r="T4" s="3709" t="s">
        <v>1769</v>
      </c>
      <c r="U4" s="3710"/>
      <c r="V4" s="3706" t="s">
        <v>1770</v>
      </c>
      <c r="W4" s="3706"/>
      <c r="X4" s="1351"/>
      <c r="Y4" s="3709" t="s">
        <v>1772</v>
      </c>
      <c r="Z4" s="3710"/>
      <c r="AA4" s="3703" t="s">
        <v>1768</v>
      </c>
      <c r="AB4" s="3706" t="s">
        <v>1769</v>
      </c>
      <c r="AC4" s="3703" t="s">
        <v>1770</v>
      </c>
    </row>
    <row r="5" spans="1:29" ht="15">
      <c r="A5" s="358"/>
      <c r="B5" s="359"/>
      <c r="C5" s="3715" t="s">
        <v>1670</v>
      </c>
      <c r="D5" s="3716"/>
      <c r="E5" s="3713" t="s">
        <v>1671</v>
      </c>
      <c r="F5" s="3714"/>
      <c r="G5" s="3715" t="s">
        <v>1672</v>
      </c>
      <c r="H5" s="3716"/>
      <c r="I5" s="3715" t="s">
        <v>1673</v>
      </c>
      <c r="J5" s="3716"/>
      <c r="K5" s="559"/>
      <c r="L5" s="2711"/>
      <c r="M5" s="2712"/>
      <c r="N5" s="2712"/>
      <c r="O5" s="2712"/>
      <c r="P5" s="3728"/>
      <c r="Q5" s="3729"/>
      <c r="R5" s="3711"/>
      <c r="S5" s="3712"/>
      <c r="T5" s="3711"/>
      <c r="U5" s="3712"/>
      <c r="V5" s="3706"/>
      <c r="W5" s="3706"/>
      <c r="X5" s="1351"/>
      <c r="Y5" s="3711"/>
      <c r="Z5" s="3712"/>
      <c r="AA5" s="3704"/>
      <c r="AB5" s="3706"/>
      <c r="AC5" s="3704"/>
    </row>
    <row r="6" spans="1:29" ht="15.75" thickBot="1">
      <c r="A6" s="360"/>
      <c r="B6" s="361"/>
      <c r="C6" s="3717" t="s">
        <v>1674</v>
      </c>
      <c r="D6" s="3718"/>
      <c r="E6" s="3719" t="s">
        <v>1674</v>
      </c>
      <c r="F6" s="3720"/>
      <c r="G6" s="3717" t="s">
        <v>1674</v>
      </c>
      <c r="H6" s="3718"/>
      <c r="I6" s="3717" t="s">
        <v>1674</v>
      </c>
      <c r="J6" s="3718"/>
      <c r="K6" s="559" t="s">
        <v>1675</v>
      </c>
      <c r="L6" s="2711"/>
      <c r="M6" s="2712"/>
      <c r="N6" s="2712"/>
      <c r="O6" s="2712"/>
      <c r="P6" s="3730"/>
      <c r="Q6" s="3731"/>
      <c r="R6" s="3711"/>
      <c r="S6" s="3712"/>
      <c r="T6" s="3732"/>
      <c r="U6" s="3733"/>
      <c r="V6" s="3706"/>
      <c r="W6" s="3706"/>
      <c r="X6" s="1351"/>
      <c r="Y6" s="3732"/>
      <c r="Z6" s="3733"/>
      <c r="AA6" s="3705"/>
      <c r="AB6" s="3706"/>
      <c r="AC6" s="3705"/>
    </row>
    <row r="7" spans="1:29" s="108" customFormat="1" ht="15.75" thickBot="1">
      <c r="A7" s="362" t="s">
        <v>1676</v>
      </c>
      <c r="B7" s="363"/>
      <c r="C7" s="364">
        <f>'数据-取费表'!B2</f>
        <v>45457</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07" t="s">
        <v>1677</v>
      </c>
      <c r="Q7" s="3734"/>
      <c r="R7" s="700" t="s">
        <v>14</v>
      </c>
      <c r="S7" s="701">
        <f t="shared" ref="S7:S15" si="0">F7</f>
        <v>100</v>
      </c>
      <c r="T7" s="700" t="s">
        <v>14</v>
      </c>
      <c r="U7" s="701">
        <f t="shared" ref="U7:U15" si="1">H7</f>
        <v>100</v>
      </c>
      <c r="V7" s="700" t="s">
        <v>14</v>
      </c>
      <c r="W7" s="701">
        <f t="shared" ref="W7:W15" si="2">J7</f>
        <v>100</v>
      </c>
      <c r="X7" s="702"/>
      <c r="Y7" s="3707" t="s">
        <v>1677</v>
      </c>
      <c r="Z7" s="3708"/>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07" t="s">
        <v>1680</v>
      </c>
      <c r="Q8" s="3708"/>
      <c r="R8" s="700" t="s">
        <v>14</v>
      </c>
      <c r="S8" s="701">
        <f t="shared" si="0"/>
        <v>100</v>
      </c>
      <c r="T8" s="700" t="s">
        <v>14</v>
      </c>
      <c r="U8" s="701">
        <f t="shared" si="1"/>
        <v>100</v>
      </c>
      <c r="V8" s="700" t="s">
        <v>14</v>
      </c>
      <c r="W8" s="701">
        <f t="shared" si="2"/>
        <v>100</v>
      </c>
      <c r="X8" s="702"/>
      <c r="Y8" s="3707" t="s">
        <v>1680</v>
      </c>
      <c r="Z8" s="3708"/>
      <c r="AA8" s="703">
        <f t="shared" ref="AA8:AA46" si="3">D8/F8</f>
        <v>1</v>
      </c>
      <c r="AB8" s="703">
        <f t="shared" ref="AB8:AB46" si="4">D8/H8</f>
        <v>1</v>
      </c>
      <c r="AC8" s="703">
        <f t="shared" ref="AC8:AC46" si="5">D8/J8</f>
        <v>1</v>
      </c>
    </row>
    <row r="9" spans="1:29" s="108" customFormat="1">
      <c r="A9" s="369" t="s">
        <v>1681</v>
      </c>
      <c r="B9" s="63" t="s">
        <v>1682</v>
      </c>
      <c r="C9" s="3445"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1" t="s">
        <v>1683</v>
      </c>
      <c r="Q9" s="1339" t="str">
        <f t="shared" ref="Q9:Q15" si="6">B9</f>
        <v>用途</v>
      </c>
      <c r="R9" s="700" t="s">
        <v>14</v>
      </c>
      <c r="S9" s="701">
        <f t="shared" si="0"/>
        <v>100</v>
      </c>
      <c r="T9" s="700" t="s">
        <v>14</v>
      </c>
      <c r="U9" s="701">
        <f t="shared" si="1"/>
        <v>100</v>
      </c>
      <c r="V9" s="700" t="s">
        <v>14</v>
      </c>
      <c r="W9" s="701">
        <f t="shared" si="2"/>
        <v>100</v>
      </c>
      <c r="X9" s="702"/>
      <c r="Y9" s="3669" t="s">
        <v>1684</v>
      </c>
      <c r="Z9" s="52" t="str">
        <f t="shared" ref="Z9:Z15" si="7">Q9</f>
        <v>用途</v>
      </c>
      <c r="AA9" s="703">
        <f t="shared" si="3"/>
        <v>1</v>
      </c>
      <c r="AB9" s="703">
        <f t="shared" si="4"/>
        <v>1</v>
      </c>
      <c r="AC9" s="703">
        <f t="shared" si="5"/>
        <v>1</v>
      </c>
    </row>
    <row r="10" spans="1:29" s="378" customFormat="1" ht="27">
      <c r="A10" s="374"/>
      <c r="B10" s="375" t="s">
        <v>1685</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1"/>
      <c r="Q10" s="1339" t="str">
        <f t="shared" si="6"/>
        <v>土地使用年限（年）</v>
      </c>
      <c r="R10" s="700" t="s">
        <v>14</v>
      </c>
      <c r="S10" s="701">
        <f t="shared" si="0"/>
        <v>100</v>
      </c>
      <c r="T10" s="700" t="s">
        <v>14</v>
      </c>
      <c r="U10" s="701">
        <f t="shared" si="1"/>
        <v>100</v>
      </c>
      <c r="V10" s="700" t="s">
        <v>14</v>
      </c>
      <c r="W10" s="701">
        <f t="shared" si="2"/>
        <v>100</v>
      </c>
      <c r="X10" s="702"/>
      <c r="Y10" s="3669"/>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1"/>
      <c r="Q11" s="1339" t="str">
        <f t="shared" si="6"/>
        <v>容积率</v>
      </c>
      <c r="R11" s="700" t="s">
        <v>14</v>
      </c>
      <c r="S11" s="701">
        <f t="shared" si="0"/>
        <v>100</v>
      </c>
      <c r="T11" s="700" t="s">
        <v>14</v>
      </c>
      <c r="U11" s="701">
        <f t="shared" si="1"/>
        <v>100</v>
      </c>
      <c r="V11" s="700" t="s">
        <v>14</v>
      </c>
      <c r="W11" s="701">
        <f t="shared" si="2"/>
        <v>100</v>
      </c>
      <c r="X11" s="702"/>
      <c r="Y11" s="3669"/>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1"/>
      <c r="Q12" s="1339">
        <f t="shared" si="6"/>
        <v>111</v>
      </c>
      <c r="R12" s="700" t="s">
        <v>14</v>
      </c>
      <c r="S12" s="701">
        <f t="shared" si="0"/>
        <v>100</v>
      </c>
      <c r="T12" s="700" t="s">
        <v>14</v>
      </c>
      <c r="U12" s="701">
        <f t="shared" si="1"/>
        <v>100</v>
      </c>
      <c r="V12" s="700" t="s">
        <v>14</v>
      </c>
      <c r="W12" s="701">
        <f t="shared" si="2"/>
        <v>100</v>
      </c>
      <c r="X12" s="702"/>
      <c r="Y12" s="3669"/>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1"/>
      <c r="Q13" s="1339">
        <f t="shared" si="6"/>
        <v>111</v>
      </c>
      <c r="R13" s="700" t="s">
        <v>14</v>
      </c>
      <c r="S13" s="701">
        <f t="shared" si="0"/>
        <v>100</v>
      </c>
      <c r="T13" s="700" t="s">
        <v>14</v>
      </c>
      <c r="U13" s="701">
        <f t="shared" si="1"/>
        <v>100</v>
      </c>
      <c r="V13" s="700" t="s">
        <v>14</v>
      </c>
      <c r="W13" s="701">
        <f t="shared" si="2"/>
        <v>100</v>
      </c>
      <c r="X13" s="702"/>
      <c r="Y13" s="3669"/>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1"/>
      <c r="Q14" s="1339">
        <f t="shared" si="6"/>
        <v>111</v>
      </c>
      <c r="R14" s="700" t="s">
        <v>14</v>
      </c>
      <c r="S14" s="701">
        <f t="shared" si="0"/>
        <v>100</v>
      </c>
      <c r="T14" s="700" t="s">
        <v>14</v>
      </c>
      <c r="U14" s="701">
        <f t="shared" si="1"/>
        <v>100</v>
      </c>
      <c r="V14" s="700" t="s">
        <v>14</v>
      </c>
      <c r="W14" s="701">
        <f t="shared" si="2"/>
        <v>100</v>
      </c>
      <c r="X14" s="702"/>
      <c r="Y14" s="3669"/>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35" t="s">
        <v>1688</v>
      </c>
      <c r="Q15" s="1348" t="str">
        <f t="shared" si="6"/>
        <v>商业繁华度</v>
      </c>
      <c r="R15" s="704" t="s">
        <v>14</v>
      </c>
      <c r="S15" s="705">
        <f t="shared" si="0"/>
        <v>100</v>
      </c>
      <c r="T15" s="704" t="s">
        <v>14</v>
      </c>
      <c r="U15" s="705">
        <f t="shared" si="1"/>
        <v>100</v>
      </c>
      <c r="V15" s="704" t="s">
        <v>14</v>
      </c>
      <c r="W15" s="705">
        <f t="shared" si="2"/>
        <v>100</v>
      </c>
      <c r="X15" s="1351"/>
      <c r="Y15" s="3737"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36"/>
      <c r="Q16" s="1348"/>
      <c r="R16" s="704"/>
      <c r="S16" s="705"/>
      <c r="T16" s="704"/>
      <c r="U16" s="705"/>
      <c r="V16" s="704"/>
      <c r="W16" s="705"/>
      <c r="X16" s="1351"/>
      <c r="Y16" s="3738"/>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36"/>
      <c r="Q17" s="1348" t="str">
        <f>B17</f>
        <v>交通便捷度</v>
      </c>
      <c r="R17" s="704" t="s">
        <v>14</v>
      </c>
      <c r="S17" s="705">
        <f>F17</f>
        <v>100</v>
      </c>
      <c r="T17" s="704" t="s">
        <v>14</v>
      </c>
      <c r="U17" s="705">
        <f>H17</f>
        <v>100</v>
      </c>
      <c r="V17" s="704" t="s">
        <v>14</v>
      </c>
      <c r="W17" s="705">
        <f>J17</f>
        <v>100</v>
      </c>
      <c r="X17" s="1351"/>
      <c r="Y17" s="3738"/>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36"/>
      <c r="Q18" s="1348"/>
      <c r="R18" s="704"/>
      <c r="S18" s="705"/>
      <c r="T18" s="704"/>
      <c r="U18" s="705"/>
      <c r="V18" s="704"/>
      <c r="W18" s="705"/>
      <c r="X18" s="1351"/>
      <c r="Y18" s="3738"/>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36"/>
      <c r="Q19" s="1348" t="str">
        <f>B19</f>
        <v>公共配套设施</v>
      </c>
      <c r="R19" s="704" t="s">
        <v>14</v>
      </c>
      <c r="S19" s="705">
        <f>F19</f>
        <v>100</v>
      </c>
      <c r="T19" s="704" t="s">
        <v>14</v>
      </c>
      <c r="U19" s="705">
        <f>H19</f>
        <v>100</v>
      </c>
      <c r="V19" s="704" t="s">
        <v>14</v>
      </c>
      <c r="W19" s="705">
        <f>J19</f>
        <v>100</v>
      </c>
      <c r="X19" s="1351"/>
      <c r="Y19" s="3738"/>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36"/>
      <c r="Q20" s="1348"/>
      <c r="R20" s="704"/>
      <c r="S20" s="705"/>
      <c r="T20" s="704"/>
      <c r="U20" s="705"/>
      <c r="V20" s="704"/>
      <c r="W20" s="705"/>
      <c r="X20" s="1351"/>
      <c r="Y20" s="3738"/>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36"/>
      <c r="Q21" s="1348" t="str">
        <f>B21</f>
        <v>基础设施水平</v>
      </c>
      <c r="R21" s="704" t="s">
        <v>14</v>
      </c>
      <c r="S21" s="705">
        <f>F21</f>
        <v>100</v>
      </c>
      <c r="T21" s="704" t="s">
        <v>14</v>
      </c>
      <c r="U21" s="705">
        <f>H21</f>
        <v>100</v>
      </c>
      <c r="V21" s="704" t="s">
        <v>14</v>
      </c>
      <c r="W21" s="705">
        <f>J21</f>
        <v>100</v>
      </c>
      <c r="X21" s="1351"/>
      <c r="Y21" s="3738"/>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36"/>
      <c r="Q22" s="1348"/>
      <c r="R22" s="704"/>
      <c r="S22" s="705"/>
      <c r="T22" s="704"/>
      <c r="U22" s="705"/>
      <c r="V22" s="704"/>
      <c r="W22" s="705"/>
      <c r="X22" s="1351"/>
      <c r="Y22" s="3738"/>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36"/>
      <c r="Q23" s="1348" t="str">
        <f>B23</f>
        <v>自然及人文环境</v>
      </c>
      <c r="R23" s="704" t="s">
        <v>14</v>
      </c>
      <c r="S23" s="705">
        <f>F23</f>
        <v>100</v>
      </c>
      <c r="T23" s="704" t="s">
        <v>14</v>
      </c>
      <c r="U23" s="705">
        <f>H23</f>
        <v>100</v>
      </c>
      <c r="V23" s="704" t="s">
        <v>14</v>
      </c>
      <c r="W23" s="705">
        <f>J23</f>
        <v>100</v>
      </c>
      <c r="X23" s="1351"/>
      <c r="Y23" s="3738"/>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36"/>
      <c r="Q24" s="1348"/>
      <c r="R24" s="704"/>
      <c r="S24" s="705"/>
      <c r="T24" s="704"/>
      <c r="U24" s="705"/>
      <c r="V24" s="704"/>
      <c r="W24" s="705"/>
      <c r="X24" s="1351"/>
      <c r="Y24" s="3738"/>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9">
        <v>0</v>
      </c>
      <c r="L25" s="2718"/>
      <c r="M25" s="2712"/>
      <c r="N25" s="2712"/>
      <c r="O25" s="2712"/>
      <c r="P25" s="3736"/>
      <c r="Q25" s="1348" t="str">
        <f t="shared" ref="Q25:Q46" si="11">B25</f>
        <v>临街状况</v>
      </c>
      <c r="R25" s="704" t="s">
        <v>14</v>
      </c>
      <c r="S25" s="705">
        <f>F25</f>
        <v>100</v>
      </c>
      <c r="T25" s="704" t="s">
        <v>14</v>
      </c>
      <c r="U25" s="705">
        <f>H25</f>
        <v>100</v>
      </c>
      <c r="V25" s="704" t="s">
        <v>14</v>
      </c>
      <c r="W25" s="705">
        <f>J25</f>
        <v>100</v>
      </c>
      <c r="X25" s="1351"/>
      <c r="Y25" s="3738"/>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6"/>
      <c r="Q26" s="1348" t="str">
        <f t="shared" si="11"/>
        <v>平面位置/可视性</v>
      </c>
      <c r="R26" s="704" t="s">
        <v>14</v>
      </c>
      <c r="S26" s="705">
        <f>F26</f>
        <v>100</v>
      </c>
      <c r="T26" s="704" t="s">
        <v>14</v>
      </c>
      <c r="U26" s="705">
        <f>H26</f>
        <v>100</v>
      </c>
      <c r="V26" s="704" t="s">
        <v>14</v>
      </c>
      <c r="W26" s="705">
        <f>J26</f>
        <v>100</v>
      </c>
      <c r="X26" s="1351"/>
      <c r="Y26" s="3738"/>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9">
        <v>0</v>
      </c>
      <c r="L27" s="2713"/>
      <c r="M27" s="2714"/>
      <c r="N27" s="2714"/>
      <c r="O27" s="2714"/>
      <c r="P27" s="3736"/>
      <c r="Q27" s="1339" t="str">
        <f t="shared" si="11"/>
        <v>人流量</v>
      </c>
      <c r="R27" s="700" t="s">
        <v>14</v>
      </c>
      <c r="S27" s="701">
        <f>F27</f>
        <v>100</v>
      </c>
      <c r="T27" s="700" t="s">
        <v>14</v>
      </c>
      <c r="U27" s="701">
        <f>H27</f>
        <v>100</v>
      </c>
      <c r="V27" s="700" t="s">
        <v>14</v>
      </c>
      <c r="W27" s="701">
        <f>J27</f>
        <v>100</v>
      </c>
      <c r="X27" s="702"/>
      <c r="Y27" s="3738"/>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36"/>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38"/>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6"/>
      <c r="Q29" s="1348">
        <f t="shared" si="11"/>
        <v>111</v>
      </c>
      <c r="R29" s="704" t="s">
        <v>14</v>
      </c>
      <c r="S29" s="705">
        <f t="shared" si="12"/>
        <v>100</v>
      </c>
      <c r="T29" s="704" t="s">
        <v>14</v>
      </c>
      <c r="U29" s="705">
        <f t="shared" si="13"/>
        <v>100</v>
      </c>
      <c r="V29" s="704" t="s">
        <v>14</v>
      </c>
      <c r="W29" s="705">
        <f t="shared" si="14"/>
        <v>100</v>
      </c>
      <c r="X29" s="1351"/>
      <c r="Y29" s="3738"/>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6"/>
      <c r="Q30" s="1348">
        <f t="shared" si="11"/>
        <v>111</v>
      </c>
      <c r="R30" s="704" t="s">
        <v>14</v>
      </c>
      <c r="S30" s="705">
        <f t="shared" si="12"/>
        <v>100</v>
      </c>
      <c r="T30" s="704" t="s">
        <v>14</v>
      </c>
      <c r="U30" s="705">
        <f t="shared" si="13"/>
        <v>100</v>
      </c>
      <c r="V30" s="704" t="s">
        <v>14</v>
      </c>
      <c r="W30" s="705">
        <f t="shared" si="14"/>
        <v>100</v>
      </c>
      <c r="X30" s="1351"/>
      <c r="Y30" s="3738"/>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6"/>
      <c r="Q31" s="1348">
        <f t="shared" si="11"/>
        <v>111</v>
      </c>
      <c r="R31" s="704" t="s">
        <v>14</v>
      </c>
      <c r="S31" s="705">
        <f t="shared" si="12"/>
        <v>100</v>
      </c>
      <c r="T31" s="704" t="s">
        <v>14</v>
      </c>
      <c r="U31" s="705">
        <f t="shared" si="13"/>
        <v>100</v>
      </c>
      <c r="V31" s="704" t="s">
        <v>14</v>
      </c>
      <c r="W31" s="705">
        <f t="shared" si="14"/>
        <v>100</v>
      </c>
      <c r="X31" s="1351"/>
      <c r="Y31" s="3738"/>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39" t="s">
        <v>1693</v>
      </c>
      <c r="Q32" s="1348" t="str">
        <f t="shared" si="11"/>
        <v>商业类型</v>
      </c>
      <c r="R32" s="704" t="s">
        <v>14</v>
      </c>
      <c r="S32" s="705">
        <f t="shared" si="12"/>
        <v>100</v>
      </c>
      <c r="T32" s="704" t="s">
        <v>14</v>
      </c>
      <c r="U32" s="705">
        <f t="shared" si="13"/>
        <v>100</v>
      </c>
      <c r="V32" s="704" t="s">
        <v>14</v>
      </c>
      <c r="W32" s="705">
        <f t="shared" si="14"/>
        <v>100</v>
      </c>
      <c r="X32" s="1351"/>
      <c r="Y32" s="3742"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33759.019999999997</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0"/>
      <c r="Q33" s="706" t="str">
        <f t="shared" si="11"/>
        <v>项目建筑规模</v>
      </c>
      <c r="R33" s="707" t="s">
        <v>14</v>
      </c>
      <c r="S33" s="708">
        <f t="shared" si="12"/>
        <v>103</v>
      </c>
      <c r="T33" s="707" t="s">
        <v>14</v>
      </c>
      <c r="U33" s="708">
        <f t="shared" si="13"/>
        <v>103</v>
      </c>
      <c r="V33" s="707" t="s">
        <v>14</v>
      </c>
      <c r="W33" s="708">
        <f t="shared" si="14"/>
        <v>104</v>
      </c>
      <c r="X33" s="709"/>
      <c r="Y33" s="3742"/>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0"/>
      <c r="Q34" s="1348" t="str">
        <f t="shared" si="11"/>
        <v>建筑结构</v>
      </c>
      <c r="R34" s="704" t="s">
        <v>14</v>
      </c>
      <c r="S34" s="705">
        <f t="shared" si="12"/>
        <v>100</v>
      </c>
      <c r="T34" s="704" t="s">
        <v>14</v>
      </c>
      <c r="U34" s="705">
        <f t="shared" si="13"/>
        <v>100</v>
      </c>
      <c r="V34" s="704" t="s">
        <v>14</v>
      </c>
      <c r="W34" s="705">
        <f t="shared" si="14"/>
        <v>100</v>
      </c>
      <c r="X34" s="1351"/>
      <c r="Y34" s="3742"/>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0"/>
      <c r="Q35" s="1348" t="str">
        <f t="shared" si="11"/>
        <v>公共部分装修</v>
      </c>
      <c r="R35" s="704" t="s">
        <v>14</v>
      </c>
      <c r="S35" s="705">
        <f t="shared" si="12"/>
        <v>100</v>
      </c>
      <c r="T35" s="704" t="s">
        <v>14</v>
      </c>
      <c r="U35" s="705">
        <f t="shared" si="13"/>
        <v>100</v>
      </c>
      <c r="V35" s="704" t="s">
        <v>14</v>
      </c>
      <c r="W35" s="705">
        <f t="shared" si="14"/>
        <v>100</v>
      </c>
      <c r="X35" s="1351"/>
      <c r="Y35" s="3742"/>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40"/>
      <c r="Q36" s="1348" t="str">
        <f t="shared" si="11"/>
        <v>成新度</v>
      </c>
      <c r="R36" s="704" t="s">
        <v>14</v>
      </c>
      <c r="S36" s="705">
        <f t="shared" si="12"/>
        <v>100</v>
      </c>
      <c r="T36" s="704" t="s">
        <v>14</v>
      </c>
      <c r="U36" s="705">
        <f t="shared" si="13"/>
        <v>100</v>
      </c>
      <c r="V36" s="704" t="s">
        <v>14</v>
      </c>
      <c r="W36" s="705">
        <f t="shared" si="14"/>
        <v>100</v>
      </c>
      <c r="X36" s="1351"/>
      <c r="Y36" s="3742"/>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0"/>
      <c r="Q37" s="1339" t="str">
        <f t="shared" si="11"/>
        <v>市政基础设施</v>
      </c>
      <c r="R37" s="700" t="s">
        <v>14</v>
      </c>
      <c r="S37" s="701">
        <f t="shared" si="12"/>
        <v>100</v>
      </c>
      <c r="T37" s="700" t="s">
        <v>14</v>
      </c>
      <c r="U37" s="701">
        <f t="shared" si="13"/>
        <v>100</v>
      </c>
      <c r="V37" s="700" t="s">
        <v>14</v>
      </c>
      <c r="W37" s="701">
        <f t="shared" si="14"/>
        <v>100</v>
      </c>
      <c r="X37" s="702"/>
      <c r="Y37" s="3742"/>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0" t="s">
        <v>1693</v>
      </c>
      <c r="Q38" s="1348" t="str">
        <f t="shared" si="11"/>
        <v>业态</v>
      </c>
      <c r="R38" s="704" t="s">
        <v>14</v>
      </c>
      <c r="S38" s="705">
        <f t="shared" si="12"/>
        <v>105</v>
      </c>
      <c r="T38" s="704" t="s">
        <v>14</v>
      </c>
      <c r="U38" s="705">
        <f t="shared" si="13"/>
        <v>100</v>
      </c>
      <c r="V38" s="704" t="s">
        <v>14</v>
      </c>
      <c r="W38" s="705">
        <f t="shared" si="14"/>
        <v>105</v>
      </c>
      <c r="X38" s="1351"/>
      <c r="Y38" s="3742"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0"/>
      <c r="Q39" s="1348" t="str">
        <f t="shared" si="11"/>
        <v>层高</v>
      </c>
      <c r="R39" s="704" t="s">
        <v>14</v>
      </c>
      <c r="S39" s="705">
        <f t="shared" si="12"/>
        <v>100</v>
      </c>
      <c r="T39" s="704" t="s">
        <v>14</v>
      </c>
      <c r="U39" s="705">
        <f t="shared" si="13"/>
        <v>100</v>
      </c>
      <c r="V39" s="704" t="s">
        <v>14</v>
      </c>
      <c r="W39" s="705">
        <f t="shared" si="14"/>
        <v>100</v>
      </c>
      <c r="X39" s="1351"/>
      <c r="Y39" s="3742"/>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0"/>
      <c r="Q40" s="1348" t="str">
        <f t="shared" si="11"/>
        <v>单套建筑面积</v>
      </c>
      <c r="R40" s="704" t="s">
        <v>14</v>
      </c>
      <c r="S40" s="705">
        <f t="shared" si="12"/>
        <v>100</v>
      </c>
      <c r="T40" s="704" t="s">
        <v>14</v>
      </c>
      <c r="U40" s="705">
        <f t="shared" si="13"/>
        <v>100</v>
      </c>
      <c r="V40" s="704" t="s">
        <v>14</v>
      </c>
      <c r="W40" s="705">
        <f t="shared" si="14"/>
        <v>100</v>
      </c>
      <c r="X40" s="1351"/>
      <c r="Y40" s="3742"/>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0"/>
      <c r="Q41" s="706" t="str">
        <f t="shared" si="11"/>
        <v>进深比</v>
      </c>
      <c r="R41" s="707" t="s">
        <v>14</v>
      </c>
      <c r="S41" s="708">
        <f t="shared" si="12"/>
        <v>100</v>
      </c>
      <c r="T41" s="707" t="s">
        <v>14</v>
      </c>
      <c r="U41" s="708">
        <f t="shared" si="13"/>
        <v>100</v>
      </c>
      <c r="V41" s="707" t="s">
        <v>14</v>
      </c>
      <c r="W41" s="708">
        <f t="shared" si="14"/>
        <v>100</v>
      </c>
      <c r="X41" s="709"/>
      <c r="Y41" s="3742"/>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0"/>
      <c r="Q42" s="1348" t="str">
        <f t="shared" si="11"/>
        <v>内部装修</v>
      </c>
      <c r="R42" s="704" t="s">
        <v>14</v>
      </c>
      <c r="S42" s="705">
        <f t="shared" si="12"/>
        <v>100</v>
      </c>
      <c r="T42" s="704" t="s">
        <v>14</v>
      </c>
      <c r="U42" s="705">
        <f t="shared" si="13"/>
        <v>100</v>
      </c>
      <c r="V42" s="704" t="s">
        <v>14</v>
      </c>
      <c r="W42" s="705">
        <f t="shared" si="14"/>
        <v>100</v>
      </c>
      <c r="X42" s="1351"/>
      <c r="Y42" s="3742"/>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0"/>
      <c r="Q43" s="1348" t="str">
        <f t="shared" si="11"/>
        <v>内部装修维护情况</v>
      </c>
      <c r="R43" s="704" t="s">
        <v>14</v>
      </c>
      <c r="S43" s="705">
        <f t="shared" si="12"/>
        <v>100</v>
      </c>
      <c r="T43" s="704" t="s">
        <v>14</v>
      </c>
      <c r="U43" s="705">
        <f t="shared" si="13"/>
        <v>100</v>
      </c>
      <c r="V43" s="704" t="s">
        <v>14</v>
      </c>
      <c r="W43" s="705">
        <f t="shared" si="14"/>
        <v>100</v>
      </c>
      <c r="X43" s="1351"/>
      <c r="Y43" s="3742"/>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0"/>
      <c r="Q44" s="1339">
        <f t="shared" si="11"/>
        <v>111</v>
      </c>
      <c r="R44" s="700" t="s">
        <v>14</v>
      </c>
      <c r="S44" s="701">
        <f t="shared" si="12"/>
        <v>100</v>
      </c>
      <c r="T44" s="700" t="s">
        <v>14</v>
      </c>
      <c r="U44" s="701">
        <f t="shared" si="13"/>
        <v>100</v>
      </c>
      <c r="V44" s="700" t="s">
        <v>14</v>
      </c>
      <c r="W44" s="701">
        <f t="shared" si="14"/>
        <v>100</v>
      </c>
      <c r="X44" s="702"/>
      <c r="Y44" s="3742"/>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0"/>
      <c r="Q45" s="1348">
        <f t="shared" si="11"/>
        <v>111</v>
      </c>
      <c r="R45" s="704" t="s">
        <v>14</v>
      </c>
      <c r="S45" s="705">
        <f t="shared" si="12"/>
        <v>100</v>
      </c>
      <c r="T45" s="704" t="s">
        <v>14</v>
      </c>
      <c r="U45" s="705">
        <f t="shared" si="13"/>
        <v>100</v>
      </c>
      <c r="V45" s="704" t="s">
        <v>14</v>
      </c>
      <c r="W45" s="705">
        <f t="shared" si="14"/>
        <v>100</v>
      </c>
      <c r="X45" s="1351"/>
      <c r="Y45" s="3742"/>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1"/>
      <c r="Q46" s="1348">
        <f t="shared" si="11"/>
        <v>111</v>
      </c>
      <c r="R46" s="704" t="s">
        <v>14</v>
      </c>
      <c r="S46" s="705">
        <f t="shared" si="12"/>
        <v>100</v>
      </c>
      <c r="T46" s="704" t="s">
        <v>14</v>
      </c>
      <c r="U46" s="705">
        <f t="shared" si="13"/>
        <v>100</v>
      </c>
      <c r="V46" s="704" t="s">
        <v>14</v>
      </c>
      <c r="W46" s="705">
        <f t="shared" si="14"/>
        <v>100</v>
      </c>
      <c r="X46" s="1351"/>
      <c r="Y46" s="3743"/>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44" t="str">
        <f>A47</f>
        <v>成交单价（元/平方米）</v>
      </c>
      <c r="Q47" s="3744"/>
      <c r="R47" s="3706">
        <f>E47</f>
        <v>48625</v>
      </c>
      <c r="S47" s="3706"/>
      <c r="T47" s="3706">
        <f>G47</f>
        <v>51160</v>
      </c>
      <c r="U47" s="3706"/>
      <c r="V47" s="3706">
        <f>I47</f>
        <v>56603</v>
      </c>
      <c r="W47" s="3706"/>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44" t="str">
        <f>A48</f>
        <v>比较价值（元/平方米）</v>
      </c>
      <c r="Q48" s="3744"/>
      <c r="R48" s="3745">
        <f>IF(F1="售价",ROUND(PRODUCT(R47,AA7:AA46),0),ROUND(PRODUCT(R47,AA7:AA46),1))</f>
        <v>44961</v>
      </c>
      <c r="S48" s="3745"/>
      <c r="T48" s="3745">
        <f>IF(F1="售价",ROUND(PRODUCT(T47,AB7:AB46),0),ROUND(PRODUCT(T47,AB7:AB46),1))</f>
        <v>49670</v>
      </c>
      <c r="U48" s="3745"/>
      <c r="V48" s="3745">
        <f>IF(F1="售价",ROUND(PRODUCT(V47,AC7:AC46),0),ROUND(PRODUCT(V47,AC7:AC46),1))</f>
        <v>51834</v>
      </c>
      <c r="W48" s="3745"/>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46" t="str">
        <f>A49</f>
        <v>估价对象XX用房的比较价值（楼面单价，元/平方米）</v>
      </c>
      <c r="Q49" s="3747"/>
      <c r="R49" s="3748">
        <f>IF(F1="售价",ROUND(IF(D48="简单平均",AVERAGE(R48:V48),R48*F48+T48*H48+V48*J48),0),ROUND(IF(D48="简单平均",AVERAGE(R48:V48),R48*F48+T48*H48+V48*J48),1))</f>
        <v>48822</v>
      </c>
      <c r="S49" s="3748"/>
      <c r="T49" s="3748"/>
      <c r="U49" s="3748"/>
      <c r="V49" s="3748"/>
      <c r="W49" s="3748"/>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8"/>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6" t="s">
        <v>3394</v>
      </c>
      <c r="D86" s="3446" t="s">
        <v>3396</v>
      </c>
      <c r="E86" s="3446"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7" t="s">
        <v>3403</v>
      </c>
      <c r="D100" s="3447" t="s">
        <v>3404</v>
      </c>
      <c r="E100" s="3447" t="s">
        <v>3416</v>
      </c>
      <c r="F100" s="3447"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6"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6" t="s">
        <v>3413</v>
      </c>
      <c r="D114" s="3446"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6" t="s">
        <v>3417</v>
      </c>
      <c r="D116" s="3446"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6" t="s">
        <v>3421</v>
      </c>
      <c r="D122" s="3446" t="s">
        <v>3422</v>
      </c>
      <c r="E122" s="3446"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133331.46479999999</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26519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773075522</v>
      </c>
      <c r="D5" s="211" t="s">
        <v>1466</v>
      </c>
      <c r="E5" s="212" t="s">
        <v>1467</v>
      </c>
      <c r="F5" s="212" t="s">
        <v>1468</v>
      </c>
      <c r="G5" s="213"/>
    </row>
    <row r="6" spans="1:8" s="214" customFormat="1" ht="13.5" customHeight="1">
      <c r="A6" s="774" t="s">
        <v>1469</v>
      </c>
      <c r="B6" s="215" t="s">
        <v>1470</v>
      </c>
      <c r="C6" s="216">
        <f>ROUND('基准地价修正-办公'!C33*'基准地价修正-办公'!D33,0)</f>
        <v>740436586</v>
      </c>
      <c r="D6" s="217"/>
      <c r="E6" s="218"/>
      <c r="F6" s="218"/>
      <c r="G6" s="219"/>
    </row>
    <row r="7" spans="1:8" s="214" customFormat="1" ht="13.5" customHeight="1">
      <c r="A7" s="774" t="s">
        <v>1471</v>
      </c>
      <c r="B7" s="215" t="s">
        <v>1472</v>
      </c>
      <c r="C7" s="220">
        <f>ROUND(C6*F7,0)</f>
        <v>22583316</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v>
      </c>
      <c r="E19" s="211">
        <f>'数据-取费表'!B31</f>
        <v>200</v>
      </c>
      <c r="F19" s="231"/>
      <c r="G19" s="1852" t="s">
        <v>3434</v>
      </c>
    </row>
    <row r="20" spans="1:7" s="214" customFormat="1" ht="13.5" customHeight="1">
      <c r="A20" s="255" t="s">
        <v>1571</v>
      </c>
      <c r="B20" s="210" t="s">
        <v>1572</v>
      </c>
      <c r="C20" s="232">
        <f ca="1">ROUND((C5+C19)*F20,0)</f>
        <v>15461510</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54795786</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54262364</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533422</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94624444</v>
      </c>
      <c r="D27" s="235">
        <f ca="1">C29</f>
        <v>2.3999999999999998E-3</v>
      </c>
      <c r="E27" s="236" t="s">
        <v>1511</v>
      </c>
      <c r="F27" s="246">
        <f ca="1">IF(B1="",'数据-取费表'!Q16,INDIRECT("'数据-取费表'!q"&amp;$G$1))</f>
        <v>0.12</v>
      </c>
      <c r="G27" s="247" t="s">
        <v>1512</v>
      </c>
    </row>
    <row r="28" spans="1:7" s="214" customFormat="1" ht="13.5" customHeight="1">
      <c r="A28" s="776" t="s">
        <v>345</v>
      </c>
      <c r="B28" s="248" t="s">
        <v>1513</v>
      </c>
      <c r="C28" s="249">
        <f ca="1">ROUND((C5+C19+C20)*F27,0)</f>
        <v>94624444</v>
      </c>
      <c r="D28" s="235"/>
      <c r="E28" s="236"/>
      <c r="F28" s="246"/>
      <c r="G28" s="247"/>
    </row>
    <row r="29" spans="1:7" s="214" customFormat="1" ht="13.5" customHeight="1">
      <c r="A29" s="776" t="s">
        <v>346</v>
      </c>
      <c r="B29" s="248" t="s">
        <v>1514</v>
      </c>
      <c r="C29" s="238">
        <f ca="1">ROUND(C21*F27,4)</f>
        <v>2.3999999999999998E-3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1015544892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262348612</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240279040</v>
      </c>
      <c r="D34" s="217"/>
      <c r="E34" s="220"/>
      <c r="F34" s="257"/>
      <c r="G34" s="219"/>
    </row>
    <row r="35" spans="1:7" ht="13.5" customHeight="1">
      <c r="A35" s="776" t="s">
        <v>350</v>
      </c>
      <c r="B35" s="215" t="s">
        <v>1524</v>
      </c>
      <c r="C35" s="220">
        <f ca="1">ROUND(C34*F35,0)</f>
        <v>7208371</v>
      </c>
      <c r="D35" s="220"/>
      <c r="E35" s="220"/>
      <c r="F35" s="259">
        <f>'数据-取费表'!B33</f>
        <v>0.03</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v>
      </c>
      <c r="E37" s="249">
        <f>'数据-取费表'!B35</f>
        <v>200</v>
      </c>
      <c r="F37" s="259"/>
      <c r="G37" s="261"/>
    </row>
    <row r="38" spans="1:7" ht="13.5" customHeight="1">
      <c r="A38" s="776" t="s">
        <v>353</v>
      </c>
      <c r="B38" s="215" t="s">
        <v>1530</v>
      </c>
      <c r="C38" s="220">
        <f ca="1">ROUND(C34*F38,0)</f>
        <v>4805581</v>
      </c>
      <c r="D38" s="220"/>
      <c r="E38" s="220"/>
      <c r="F38" s="259">
        <f>'数据-取费表'!B36</f>
        <v>0.02</v>
      </c>
      <c r="G38" s="219" t="s">
        <v>1525</v>
      </c>
    </row>
    <row r="39" spans="1:7" s="214" customFormat="1" ht="13.5" customHeight="1">
      <c r="A39" s="255" t="s">
        <v>1531</v>
      </c>
      <c r="B39" s="210" t="s">
        <v>1532</v>
      </c>
      <c r="C39" s="232">
        <f ca="1">ROUND(C33*F20,0)</f>
        <v>5246972</v>
      </c>
      <c r="D39" s="232"/>
      <c r="E39" s="232"/>
      <c r="F39" s="233">
        <f>F20</f>
        <v>0.02</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9232048</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9051027</v>
      </c>
      <c r="D42" s="238"/>
      <c r="E42" s="238"/>
      <c r="F42" s="239"/>
      <c r="G42" s="3693" t="s">
        <v>1588</v>
      </c>
    </row>
    <row r="43" spans="1:7" ht="13.5" customHeight="1">
      <c r="A43" s="776" t="s">
        <v>346</v>
      </c>
      <c r="B43" s="215" t="s">
        <v>1542</v>
      </c>
      <c r="C43" s="238">
        <f ca="1">ROUND(IF('数据-取费表'!B22&lt;=1,C39*F22*'数据-取费表'!B20/2,C39*(POWER((1+F22),'数据-取费表'!B20/2)-1)),0)</f>
        <v>181021</v>
      </c>
      <c r="D43" s="238"/>
      <c r="E43" s="238"/>
      <c r="F43" s="239"/>
      <c r="G43" s="3694"/>
    </row>
    <row r="44" spans="1:7" ht="13.5" customHeight="1">
      <c r="A44" s="776" t="s">
        <v>347</v>
      </c>
      <c r="B44" s="215" t="s">
        <v>1543</v>
      </c>
      <c r="C44" s="238">
        <f ca="1">ROUND(IF('数据-取费表'!B22&lt;=1,C40*F22*'数据-取费表'!B20/2,C40*(POWER((1+F22),'数据-取费表'!B20/2)-1)),4)</f>
        <v>6.9999999999999999E-4</v>
      </c>
      <c r="D44" s="238"/>
      <c r="E44" s="238"/>
      <c r="F44" s="239"/>
      <c r="G44" s="3695"/>
    </row>
    <row r="45" spans="1:7" s="214" customFormat="1" ht="13.5" customHeight="1">
      <c r="A45" s="255" t="s">
        <v>1544</v>
      </c>
      <c r="B45" s="244" t="s">
        <v>1510</v>
      </c>
      <c r="C45" s="245">
        <f ca="1">C46</f>
        <v>32111470</v>
      </c>
      <c r="D45" s="235">
        <f ca="1">C47</f>
        <v>2.3999999999999998E-3</v>
      </c>
      <c r="E45" s="236" t="s">
        <v>1536</v>
      </c>
      <c r="F45" s="246">
        <f ca="1">F27</f>
        <v>0.12</v>
      </c>
      <c r="G45" s="247" t="s">
        <v>1545</v>
      </c>
    </row>
    <row r="46" spans="1:7" s="214" customFormat="1" ht="13.5" customHeight="1">
      <c r="A46" s="776" t="s">
        <v>345</v>
      </c>
      <c r="B46" s="248" t="s">
        <v>1546</v>
      </c>
      <c r="C46" s="249">
        <f ca="1">ROUND((C33+C39)*F27,0)</f>
        <v>32111470</v>
      </c>
      <c r="D46" s="263"/>
      <c r="E46" s="236"/>
      <c r="F46" s="246"/>
      <c r="G46" s="247"/>
    </row>
    <row r="47" spans="1:7" s="214" customFormat="1" ht="13.5" customHeight="1">
      <c r="A47" s="776" t="s">
        <v>346</v>
      </c>
      <c r="B47" s="248" t="s">
        <v>1547</v>
      </c>
      <c r="C47" s="238">
        <f ca="1">ROUND(C40*F27,4)</f>
        <v>2.3999999999999998E-3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334494480</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317769756</v>
      </c>
      <c r="D51" s="232"/>
      <c r="E51" s="232"/>
      <c r="F51" s="264"/>
      <c r="G51" s="234" t="s">
        <v>1557</v>
      </c>
    </row>
    <row r="52" spans="1:7" s="208" customFormat="1" ht="16.5" thickBot="1">
      <c r="A52" s="265" t="s">
        <v>1558</v>
      </c>
      <c r="B52" s="266"/>
      <c r="C52" s="267">
        <f ca="1">C31+C51</f>
        <v>1333314648</v>
      </c>
      <c r="D52" s="266"/>
      <c r="E52" s="266"/>
      <c r="F52" s="266"/>
      <c r="G52" s="268"/>
    </row>
    <row r="55" spans="1:7" ht="15">
      <c r="B55" s="270" t="s">
        <v>1559</v>
      </c>
      <c r="C55" s="271"/>
    </row>
    <row r="56" spans="1:7">
      <c r="B56" s="273" t="s">
        <v>801</v>
      </c>
      <c r="C56" s="275">
        <f ca="1">1-C57</f>
        <v>0.76200000000000001</v>
      </c>
    </row>
    <row r="57" spans="1:7">
      <c r="B57" s="273" t="s">
        <v>802</v>
      </c>
      <c r="C57" s="274">
        <f ca="1">ROUND(C51/C52,3)</f>
        <v>0.23799999999999999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33.64</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3995.9834000000001</v>
      </c>
      <c r="C2" s="1383" t="s">
        <v>878</v>
      </c>
      <c r="D2" s="1467">
        <f ca="1">C40+J29+L46</f>
        <v>39959834</v>
      </c>
      <c r="E2" s="1384" t="s">
        <v>879</v>
      </c>
      <c r="F2" s="1385"/>
      <c r="G2" s="2702"/>
      <c r="H2" s="2691"/>
      <c r="I2" s="2691"/>
      <c r="J2" s="2691"/>
      <c r="K2" s="2692"/>
      <c r="L2" s="2691"/>
      <c r="M2" s="2691"/>
    </row>
    <row r="3" spans="1:37" ht="18" customHeight="1" thickBot="1">
      <c r="A3" s="1386" t="s">
        <v>880</v>
      </c>
      <c r="B3" s="1387">
        <f ca="1">IF(ISERROR(D2/F43),0,ROUND(D2/F43,0))</f>
        <v>35854</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2382711</v>
      </c>
      <c r="D5" s="1360" t="s">
        <v>888</v>
      </c>
      <c r="E5" s="1067"/>
      <c r="F5" s="1068"/>
      <c r="G5" s="1380"/>
      <c r="H5" s="299">
        <v>1</v>
      </c>
      <c r="I5" s="300" t="s">
        <v>887</v>
      </c>
      <c r="J5" s="1066">
        <f ca="1">J6+J10+J12</f>
        <v>0</v>
      </c>
      <c r="K5" s="1360" t="s">
        <v>888</v>
      </c>
      <c r="L5" s="1067"/>
      <c r="M5" s="1068"/>
    </row>
    <row r="6" spans="1:37" ht="18" customHeight="1">
      <c r="A6" s="1065" t="s">
        <v>397</v>
      </c>
      <c r="B6" s="3698" t="s">
        <v>693</v>
      </c>
      <c r="C6" s="1070">
        <f ca="1">ROUND(F6*F8*F7*(1-F9),0)</f>
        <v>2379736</v>
      </c>
      <c r="D6" s="155" t="s">
        <v>2101</v>
      </c>
      <c r="E6" s="302" t="s">
        <v>695</v>
      </c>
      <c r="F6" s="303">
        <f ca="1">INDIRECT("'数据-取费表'!u"&amp;$G$1)</f>
        <v>6.5</v>
      </c>
      <c r="G6" s="1380"/>
      <c r="H6" s="1065" t="s">
        <v>397</v>
      </c>
      <c r="I6" s="3698" t="s">
        <v>693</v>
      </c>
      <c r="J6" s="301">
        <f ca="1">ROUND(M6*M8*M7*(1-M9),0)</f>
        <v>0</v>
      </c>
      <c r="K6" s="1372" t="s">
        <v>2102</v>
      </c>
      <c r="L6" s="302" t="s">
        <v>695</v>
      </c>
      <c r="M6" s="303">
        <f ca="1">INDIRECT("'数据-取费表'!z"&amp;$G$1)</f>
        <v>0</v>
      </c>
    </row>
    <row r="7" spans="1:37" ht="18" customHeight="1">
      <c r="A7" s="1069"/>
      <c r="B7" s="3699"/>
      <c r="C7" s="1071"/>
      <c r="D7" s="307"/>
      <c r="E7" s="1072" t="s">
        <v>696</v>
      </c>
      <c r="F7" s="303">
        <f ca="1">IF(INDIRECT("'数据-取费表'!ah"&amp;$G$1)="",INDIRECT("'数据-取费表'!k"&amp;$G$1),INDIRECT("'数据-取费表'!ah"&amp;$G$1))</f>
        <v>1114.5</v>
      </c>
      <c r="G7" s="1380"/>
      <c r="H7" s="304"/>
      <c r="I7" s="3699"/>
      <c r="J7" s="306"/>
      <c r="K7" s="307"/>
      <c r="L7" s="302" t="s">
        <v>696</v>
      </c>
      <c r="M7" s="303">
        <f ca="1">F7</f>
        <v>1114.5</v>
      </c>
    </row>
    <row r="8" spans="1:37" ht="18" customHeight="1">
      <c r="A8" s="304"/>
      <c r="B8" s="3699"/>
      <c r="C8" s="306"/>
      <c r="D8" s="307"/>
      <c r="E8" s="302" t="s">
        <v>697</v>
      </c>
      <c r="F8" s="303">
        <f ca="1">INDIRECT("'数据-取费表'!ai"&amp;$G$1)</f>
        <v>365</v>
      </c>
      <c r="G8" s="1380"/>
      <c r="H8" s="304"/>
      <c r="I8" s="3699"/>
      <c r="J8" s="306"/>
      <c r="K8" s="307"/>
      <c r="L8" s="302" t="s">
        <v>697</v>
      </c>
      <c r="M8" s="303">
        <f ca="1">INDIRECT("'数据-取费表'!ai"&amp;$G$1)</f>
        <v>365</v>
      </c>
    </row>
    <row r="9" spans="1:37" ht="18" customHeight="1">
      <c r="A9" s="304"/>
      <c r="B9" s="3700"/>
      <c r="C9" s="306"/>
      <c r="D9" s="307"/>
      <c r="E9" s="302" t="s">
        <v>698</v>
      </c>
      <c r="F9" s="312">
        <f ca="1">INDIRECT("'数据-取费表'!w"&amp;$G$1)</f>
        <v>0.1</v>
      </c>
      <c r="G9" s="1380"/>
      <c r="H9" s="304"/>
      <c r="I9" s="3700"/>
      <c r="J9" s="306"/>
      <c r="K9" s="307"/>
      <c r="L9" s="313" t="s">
        <v>698</v>
      </c>
      <c r="M9" s="314">
        <f ca="1">INDIRECT("'数据-取费表'!ab"&amp;$G$1)</f>
        <v>0</v>
      </c>
    </row>
    <row r="10" spans="1:37" ht="18" customHeight="1">
      <c r="A10" s="1065" t="s">
        <v>401</v>
      </c>
      <c r="B10" s="1361" t="s">
        <v>699</v>
      </c>
      <c r="C10" s="316">
        <f ca="1">ROUND(IF(F10="押一",C6/12*F11,IF(F10="押二",C6/12*2*F11,IF(F10="押三",C6/12*3*F11,C11*F11))),0)</f>
        <v>2975</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7559027</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5336040</v>
      </c>
      <c r="D14" s="1341" t="s">
        <v>707</v>
      </c>
      <c r="E14" s="1338"/>
      <c r="F14" s="319"/>
      <c r="G14" s="1380"/>
      <c r="H14" s="978" t="s">
        <v>397</v>
      </c>
      <c r="I14" s="302" t="s">
        <v>708</v>
      </c>
      <c r="J14" s="21">
        <f ca="1">C29</f>
        <v>7956870</v>
      </c>
      <c r="K14" s="12"/>
      <c r="L14" s="803"/>
      <c r="M14" s="804"/>
    </row>
    <row r="15" spans="1:37" s="1393" customFormat="1" ht="18" customHeight="1" thickBot="1">
      <c r="A15" s="978" t="s">
        <v>398</v>
      </c>
      <c r="B15" s="302" t="s">
        <v>709</v>
      </c>
      <c r="C15" s="21">
        <f ca="1">ROUND(C14*F15,0)</f>
        <v>160081</v>
      </c>
      <c r="D15" s="320" t="s">
        <v>710</v>
      </c>
      <c r="E15" s="320"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43912</v>
      </c>
      <c r="K16" s="1083" t="s">
        <v>714</v>
      </c>
      <c r="L16" s="1084"/>
      <c r="M16" s="1068"/>
    </row>
    <row r="17" spans="1:37" s="1393" customFormat="1" ht="18" customHeight="1">
      <c r="A17" s="978" t="s">
        <v>680</v>
      </c>
      <c r="B17" s="302" t="s">
        <v>715</v>
      </c>
      <c r="C17" s="21">
        <f ca="1">ROUND(F17*(F43+INDIRECT("'数据-取费表'!S"&amp;$G$1)),0)</f>
        <v>223312</v>
      </c>
      <c r="D17" s="302" t="s">
        <v>716</v>
      </c>
      <c r="E17" s="302" t="s">
        <v>717</v>
      </c>
      <c r="F17" s="23">
        <f>'数据-取费表'!B35</f>
        <v>200</v>
      </c>
      <c r="G17" s="1392"/>
      <c r="H17" s="978" t="s">
        <v>397</v>
      </c>
      <c r="I17" s="302" t="s">
        <v>718</v>
      </c>
      <c r="J17" s="2312">
        <f ca="1">ROUND(IF(AND(项目基本情况!B11="自然人",项目基本情况!B10="北京市"),J6*M17/(1+'数据-取费表'!C42),J18+J19+J20),0)</f>
        <v>4128</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106721</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5826154</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116523</v>
      </c>
      <c r="D20" s="323" t="s">
        <v>728</v>
      </c>
      <c r="E20" s="302" t="s">
        <v>711</v>
      </c>
      <c r="F20" s="322">
        <f>'数据-取费表'!B37</f>
        <v>0.02</v>
      </c>
      <c r="G20" s="1392"/>
      <c r="H20" s="978" t="s">
        <v>679</v>
      </c>
      <c r="I20" s="155" t="s">
        <v>729</v>
      </c>
      <c r="J20" s="22">
        <f ca="1">ROUND(M20*M21,0)</f>
        <v>4128</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229.32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39784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205022</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-43912</v>
      </c>
      <c r="K25" s="1091" t="s">
        <v>752</v>
      </c>
      <c r="L25" s="1092"/>
      <c r="M25" s="1093"/>
    </row>
    <row r="26" spans="1:37" ht="18" customHeight="1">
      <c r="A26" s="978" t="s">
        <v>396</v>
      </c>
      <c r="B26" s="302" t="s">
        <v>753</v>
      </c>
      <c r="C26" s="21">
        <f ca="1">ROUND((C19+C20)*F26,0)</f>
        <v>1188535</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7956870</v>
      </c>
      <c r="D29" s="1088"/>
      <c r="E29" s="1086"/>
      <c r="F29" s="1089"/>
      <c r="G29" s="1392"/>
      <c r="H29" s="334" t="s">
        <v>395</v>
      </c>
      <c r="I29" s="335" t="s">
        <v>767</v>
      </c>
      <c r="J29" s="336">
        <f ca="1">ROUND(J26/(1+F40)^F41,0)</f>
        <v>0</v>
      </c>
      <c r="K29" s="337" t="s">
        <v>768</v>
      </c>
      <c r="L29" s="338"/>
      <c r="M29" s="339">
        <f ca="1">INDIRECT("'数据-取费表'!k"&amp;$G$1)</f>
        <v>1114.5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466054</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403017</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126919</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271970</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4128</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229.32</v>
      </c>
      <c r="G35" s="1380"/>
      <c r="H35" s="2693"/>
      <c r="I35" s="1394"/>
      <c r="J35" s="1395"/>
      <c r="K35" s="2697"/>
      <c r="L35" s="2696"/>
      <c r="M35" s="2696"/>
    </row>
    <row r="36" spans="1:18" ht="18" customHeight="1">
      <c r="A36" s="1098" t="s">
        <v>401</v>
      </c>
      <c r="B36" s="302" t="s">
        <v>737</v>
      </c>
      <c r="C36" s="21">
        <f ca="1">ROUND(C29*F36,0)</f>
        <v>39784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11339</v>
      </c>
      <c r="D37" s="1340"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ROUND(C5*F38,0)</f>
        <v>11914</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1916657</v>
      </c>
      <c r="D39" s="1091" t="s">
        <v>772</v>
      </c>
      <c r="E39" s="1092"/>
      <c r="F39" s="1093"/>
      <c r="G39" s="1380"/>
      <c r="H39" s="2696"/>
      <c r="I39" s="1394"/>
      <c r="J39" s="1395"/>
      <c r="K39" s="2700"/>
      <c r="L39" s="2696"/>
      <c r="M39" s="2696"/>
    </row>
    <row r="40" spans="1:18" ht="18" customHeight="1">
      <c r="A40" s="299" t="s">
        <v>394</v>
      </c>
      <c r="B40" s="300" t="s">
        <v>773</v>
      </c>
      <c r="C40" s="301">
        <f ca="1">ROUND(C39*(1-((1+F42)/(1+F40))^F41)/(F40-F42),0)</f>
        <v>39680437</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33.64</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ROUND(C40/F43,0)</f>
        <v>35604</v>
      </c>
      <c r="D43" s="337" t="s">
        <v>776</v>
      </c>
      <c r="E43" s="338" t="s">
        <v>777</v>
      </c>
      <c r="F43" s="339">
        <f ca="1">INDIRECT("'数据-取费表'!k"&amp;$G$1)</f>
        <v>1114.5</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3349</v>
      </c>
      <c r="B45" s="1396"/>
      <c r="C45" s="1468">
        <f ca="1">ROUND((C68-C40)/10000,4)</f>
        <v>-4051.9132</v>
      </c>
      <c r="D45" s="3428" t="s">
        <v>3350</v>
      </c>
      <c r="E45" s="1396"/>
      <c r="F45" s="1396"/>
      <c r="O45" s="1399" t="s">
        <v>807</v>
      </c>
      <c r="P45" s="1457"/>
      <c r="Q45" s="1457"/>
      <c r="R45" s="1457"/>
    </row>
    <row r="46" spans="1:18" s="1380" customFormat="1" ht="13.5" thickBot="1">
      <c r="A46" s="1400" t="s">
        <v>808</v>
      </c>
      <c r="C46" s="1401">
        <f ca="1">ROUND(C45,0)</f>
        <v>-4052</v>
      </c>
      <c r="D46" s="1402" t="str">
        <f>C2</f>
        <v>万元</v>
      </c>
      <c r="I46" s="1403" t="s">
        <v>809</v>
      </c>
      <c r="J46" s="1404"/>
      <c r="K46" s="1405"/>
      <c r="L46" s="1406">
        <f ca="1">IF(M47="住宅",0,IF(L48&gt;J51,L60,J60))</f>
        <v>279397</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39680437</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33.64</v>
      </c>
      <c r="O48" s="1414" t="s">
        <v>403</v>
      </c>
      <c r="P48" s="1415" t="s">
        <v>820</v>
      </c>
      <c r="Q48" s="1416">
        <f ca="1">J60</f>
        <v>279397</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7956870</v>
      </c>
      <c r="R49" s="1416" t="s">
        <v>817</v>
      </c>
    </row>
    <row r="50" spans="1:18" s="1380" customFormat="1" ht="13.5" thickBot="1">
      <c r="A50" s="972"/>
      <c r="B50" s="975"/>
      <c r="C50" s="976"/>
      <c r="D50" s="949"/>
      <c r="E50" s="1052" t="s">
        <v>696</v>
      </c>
      <c r="F50" s="1053">
        <f ca="1">F7</f>
        <v>1114.5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26030691</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33.64</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33.64</v>
      </c>
      <c r="K53" s="3701" t="s">
        <v>836</v>
      </c>
      <c r="L53" s="3702"/>
      <c r="O53" s="1414" t="s">
        <v>408</v>
      </c>
      <c r="P53" s="1415" t="s">
        <v>837</v>
      </c>
      <c r="Q53" s="1416">
        <f ca="1">Q47+Q48</f>
        <v>39959834</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0.38900000000000001</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7559027</v>
      </c>
      <c r="D56" s="1443"/>
      <c r="E56" s="1444"/>
      <c r="F56" s="1436"/>
      <c r="I56" s="1445" t="s">
        <v>841</v>
      </c>
      <c r="J56" s="1446" t="s">
        <v>3380</v>
      </c>
      <c r="K56" s="1417" t="s">
        <v>842</v>
      </c>
      <c r="L56" s="1420" t="str">
        <f ca="1">IF(L48&lt;J51,"——",L48-J51)</f>
        <v>——</v>
      </c>
      <c r="O56" s="1414" t="s">
        <v>402</v>
      </c>
      <c r="P56" s="1415" t="s">
        <v>816</v>
      </c>
      <c r="Q56" s="1416">
        <f ca="1">C40+J29</f>
        <v>39680437</v>
      </c>
      <c r="R56" s="1416" t="s">
        <v>817</v>
      </c>
    </row>
    <row r="57" spans="1:18" s="1380" customFormat="1" ht="24.75" thickBot="1">
      <c r="A57" s="1447"/>
      <c r="B57" s="946" t="s">
        <v>766</v>
      </c>
      <c r="C57" s="238">
        <f ca="1">C29</f>
        <v>7956870</v>
      </c>
      <c r="D57" s="1448"/>
      <c r="E57" s="1449"/>
      <c r="F57" s="1450"/>
      <c r="I57" s="1451" t="s">
        <v>843</v>
      </c>
      <c r="J57" s="1452">
        <f ca="1">IF(OR(M47="住宅",J51&lt;L48,J56="是"),"——",J51-L48)</f>
        <v>23.36</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55251</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4128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3182748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279397</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4128</v>
      </c>
      <c r="D62" s="961" t="s">
        <v>785</v>
      </c>
      <c r="E62" s="946" t="s">
        <v>786</v>
      </c>
      <c r="F62" s="325">
        <f t="shared" si="0"/>
        <v>18</v>
      </c>
      <c r="I62" s="1458" t="s">
        <v>857</v>
      </c>
      <c r="J62" s="1459" t="s">
        <v>858</v>
      </c>
      <c r="K62" s="1459" t="s">
        <v>859</v>
      </c>
      <c r="L62" s="1459" t="s">
        <v>860</v>
      </c>
      <c r="M62" s="1460" t="s">
        <v>861</v>
      </c>
      <c r="O62" s="1414" t="s">
        <v>408</v>
      </c>
      <c r="P62" s="1415" t="s">
        <v>862</v>
      </c>
      <c r="Q62" s="1416">
        <f ca="1">Q56+Q57</f>
        <v>39680437</v>
      </c>
      <c r="R62" s="1416" t="s">
        <v>409</v>
      </c>
    </row>
    <row r="63" spans="1:18" s="1380" customFormat="1" ht="13.5" thickBot="1">
      <c r="A63" s="326"/>
      <c r="B63" s="952"/>
      <c r="C63" s="26"/>
      <c r="D63" s="962"/>
      <c r="E63" s="946" t="s">
        <v>787</v>
      </c>
      <c r="F63" s="303">
        <f t="shared" ca="1" si="0"/>
        <v>229.32</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39784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11339</v>
      </c>
      <c r="D65" s="960" t="s">
        <v>742</v>
      </c>
      <c r="E65" s="946" t="s">
        <v>743</v>
      </c>
      <c r="F65" s="330">
        <f t="shared" ca="1" si="0"/>
        <v>1.5E-3</v>
      </c>
      <c r="I65" s="1458" t="s">
        <v>866</v>
      </c>
      <c r="J65" s="1459">
        <v>40</v>
      </c>
      <c r="K65" s="1459">
        <v>30</v>
      </c>
      <c r="L65" s="1459">
        <v>50</v>
      </c>
      <c r="M65" s="1461">
        <v>0.02</v>
      </c>
      <c r="O65" s="1414" t="s">
        <v>402</v>
      </c>
      <c r="P65" s="1415" t="s">
        <v>867</v>
      </c>
      <c r="Q65" s="1416">
        <f ca="1">C40+J29</f>
        <v>39680437</v>
      </c>
      <c r="R65" s="1416" t="s">
        <v>817</v>
      </c>
    </row>
    <row r="66" spans="1:18" s="1380" customFormat="1" ht="16.5" thickBot="1">
      <c r="A66" s="978" t="s">
        <v>792</v>
      </c>
      <c r="B66" s="946" t="s">
        <v>727</v>
      </c>
      <c r="C66" s="21">
        <f ca="1">ROUND(C48*F66,0)</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-55251</v>
      </c>
      <c r="D67" s="959" t="s">
        <v>752</v>
      </c>
      <c r="E67" s="964"/>
      <c r="F67" s="965"/>
      <c r="O67" s="1424" t="s">
        <v>404</v>
      </c>
      <c r="P67" s="1415" t="s">
        <v>849</v>
      </c>
      <c r="Q67" s="1462">
        <f ca="1">L51</f>
        <v>26030691</v>
      </c>
      <c r="R67" s="1416" t="s">
        <v>869</v>
      </c>
    </row>
    <row r="68" spans="1:18" s="1380" customFormat="1" ht="16.5" thickBot="1">
      <c r="A68" s="943" t="s">
        <v>394</v>
      </c>
      <c r="B68" s="944" t="s">
        <v>773</v>
      </c>
      <c r="C68" s="301">
        <f ca="1">ROUND(C67*(1-((1+F70)/(1+F68))^F69)/(F68-F70),0)</f>
        <v>-838695</v>
      </c>
      <c r="D68" s="961" t="s">
        <v>757</v>
      </c>
      <c r="E68" s="946" t="s">
        <v>758</v>
      </c>
      <c r="F68" s="312">
        <f ca="1">F40</f>
        <v>5.5E-2</v>
      </c>
      <c r="O68" s="1424" t="s">
        <v>405</v>
      </c>
      <c r="P68" s="1463" t="s">
        <v>870</v>
      </c>
      <c r="Q68" s="1416">
        <f ca="1">ROUND(Q69-Q70*Q71,0)</f>
        <v>1387525</v>
      </c>
      <c r="R68" s="1416" t="s">
        <v>413</v>
      </c>
    </row>
    <row r="69" spans="1:18" s="1380" customFormat="1" ht="13.5" thickBot="1">
      <c r="A69" s="947"/>
      <c r="B69" s="948"/>
      <c r="C69" s="306"/>
      <c r="D69" s="966" t="s">
        <v>761</v>
      </c>
      <c r="E69" s="946" t="s">
        <v>762</v>
      </c>
      <c r="F69" s="333">
        <f ca="1">F41</f>
        <v>33.64</v>
      </c>
      <c r="O69" s="1424" t="s">
        <v>410</v>
      </c>
      <c r="P69" s="1463" t="s">
        <v>871</v>
      </c>
      <c r="Q69" s="1416">
        <f ca="1">C39</f>
        <v>1916657</v>
      </c>
      <c r="R69" s="1416" t="s">
        <v>817</v>
      </c>
    </row>
    <row r="70" spans="1:18" s="1380" customFormat="1" ht="13.5" thickBot="1">
      <c r="A70" s="950"/>
      <c r="B70" s="951"/>
      <c r="C70" s="310"/>
      <c r="D70" s="962"/>
      <c r="E70" s="946" t="s">
        <v>765</v>
      </c>
      <c r="F70" s="1050"/>
      <c r="O70" s="1424" t="s">
        <v>411</v>
      </c>
      <c r="P70" s="1463" t="s">
        <v>872</v>
      </c>
      <c r="Q70" s="1416">
        <f ca="1">C13</f>
        <v>7559027</v>
      </c>
      <c r="R70" s="1416" t="s">
        <v>817</v>
      </c>
    </row>
    <row r="71" spans="1:18" s="1380" customFormat="1" ht="13.5" thickBot="1">
      <c r="A71" s="967" t="s">
        <v>395</v>
      </c>
      <c r="B71" s="968" t="s">
        <v>775</v>
      </c>
      <c r="C71" s="336">
        <f ca="1">ROUND(C68/F71,0)</f>
        <v>-753</v>
      </c>
      <c r="D71" s="969" t="s">
        <v>776</v>
      </c>
      <c r="E71" s="970" t="s">
        <v>777</v>
      </c>
      <c r="F71" s="339">
        <f ca="1">F43</f>
        <v>1114.5</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529132</v>
      </c>
      <c r="D75" s="1380"/>
      <c r="E75" s="1380"/>
      <c r="F75" s="1380"/>
      <c r="K75" s="1398"/>
      <c r="L75" s="1380"/>
      <c r="O75" s="1414" t="s">
        <v>408</v>
      </c>
      <c r="P75" s="1415" t="s">
        <v>837</v>
      </c>
      <c r="Q75" s="1416">
        <f ca="1">Q65+Q66</f>
        <v>39680437</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0.72399999999999998</v>
      </c>
    </row>
    <row r="80" spans="1:18">
      <c r="B80" s="340" t="s">
        <v>799</v>
      </c>
      <c r="C80" s="274">
        <f ca="1">ROUND(C75/C39,3)</f>
        <v>0.27600000000000002</v>
      </c>
    </row>
    <row r="81" spans="2:3">
      <c r="B81" s="270" t="s">
        <v>800</v>
      </c>
      <c r="C81" s="238"/>
    </row>
    <row r="82" spans="2:3">
      <c r="B82" s="273" t="s">
        <v>801</v>
      </c>
      <c r="C82" s="275">
        <f ca="1">1-C83</f>
        <v>0.81</v>
      </c>
    </row>
    <row r="83" spans="2:3">
      <c r="B83" s="273" t="s">
        <v>802</v>
      </c>
      <c r="C83" s="274">
        <f ca="1">ROUND(C13/C40,3)</f>
        <v>0.19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3356</v>
      </c>
      <c r="E2" s="3440"/>
      <c r="F2" s="2842"/>
      <c r="G2" s="2843"/>
      <c r="H2" s="2844"/>
      <c r="I2" s="2845"/>
      <c r="J2" s="3749" t="s">
        <v>2316</v>
      </c>
      <c r="K2" s="3750"/>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1" t="s">
        <v>2326</v>
      </c>
      <c r="K3" s="3752"/>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1" t="s">
        <v>2328</v>
      </c>
      <c r="K4" s="3752"/>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53" t="s">
        <v>2332</v>
      </c>
      <c r="B6" s="3754"/>
      <c r="C6" s="3755"/>
      <c r="D6" s="2866"/>
      <c r="E6" s="2867"/>
      <c r="F6" s="2868"/>
      <c r="G6" s="2869"/>
      <c r="H6" s="2844"/>
      <c r="I6" s="2845"/>
      <c r="J6" s="3756">
        <v>1</v>
      </c>
      <c r="K6" s="3757"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6"/>
      <c r="K7" s="3758"/>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0" t="s">
        <v>2346</v>
      </c>
      <c r="C8" s="3761"/>
      <c r="D8" s="2885" t="s">
        <v>2347</v>
      </c>
      <c r="E8" s="2886" t="s">
        <v>2348</v>
      </c>
      <c r="F8" s="2887" t="s">
        <v>2349</v>
      </c>
      <c r="G8" s="2888"/>
      <c r="H8" s="2844"/>
      <c r="I8" s="2845"/>
      <c r="J8" s="3756"/>
      <c r="K8" s="3758"/>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0" t="s">
        <v>2352</v>
      </c>
      <c r="C9" s="3761"/>
      <c r="D9" s="2885">
        <f>ROUND(D6*E9,0)</f>
        <v>0</v>
      </c>
      <c r="E9" s="2889"/>
      <c r="F9" s="2890" t="s">
        <v>2353</v>
      </c>
      <c r="G9" s="2869"/>
      <c r="H9" s="2844"/>
      <c r="I9" s="2845"/>
      <c r="J9" s="3756"/>
      <c r="K9" s="3758"/>
      <c r="L9" s="2879" t="s">
        <v>2354</v>
      </c>
      <c r="M9" s="2880"/>
      <c r="N9" s="2856"/>
      <c r="O9" s="2881"/>
      <c r="P9" s="2881"/>
      <c r="Q9" s="2882">
        <v>365</v>
      </c>
      <c r="R9" s="2883">
        <f t="shared" si="0"/>
        <v>0</v>
      </c>
      <c r="S9" s="2837"/>
      <c r="T9" s="2837"/>
      <c r="U9" s="2837"/>
      <c r="V9" s="2845"/>
    </row>
    <row r="10" spans="1:22" s="2849" customFormat="1" ht="13.15" customHeight="1">
      <c r="A10" s="2884">
        <v>2</v>
      </c>
      <c r="B10" s="3760" t="s">
        <v>2355</v>
      </c>
      <c r="C10" s="3761"/>
      <c r="D10" s="2885">
        <f>ROUND(D6*E10,0)</f>
        <v>0</v>
      </c>
      <c r="E10" s="2889"/>
      <c r="F10" s="2890" t="s">
        <v>2356</v>
      </c>
      <c r="G10" s="2869"/>
      <c r="H10" s="2844"/>
      <c r="I10" s="2845"/>
      <c r="J10" s="3756"/>
      <c r="K10" s="3758"/>
      <c r="L10" s="2879" t="s">
        <v>2357</v>
      </c>
      <c r="M10" s="2880"/>
      <c r="N10" s="2856"/>
      <c r="O10" s="2881"/>
      <c r="P10" s="2881"/>
      <c r="Q10" s="2882">
        <v>365</v>
      </c>
      <c r="R10" s="2883">
        <f t="shared" si="0"/>
        <v>0</v>
      </c>
      <c r="S10" s="2837"/>
      <c r="T10" s="2837"/>
      <c r="U10" s="2837"/>
      <c r="V10" s="2845"/>
    </row>
    <row r="11" spans="1:22" s="2849" customFormat="1" ht="13.15" customHeight="1">
      <c r="A11" s="2884">
        <v>3</v>
      </c>
      <c r="B11" s="3760" t="s">
        <v>2358</v>
      </c>
      <c r="C11" s="3761"/>
      <c r="D11" s="2885">
        <f>D12+D14+D15+D16</f>
        <v>0</v>
      </c>
      <c r="E11" s="2891" t="e">
        <f>D11/D6</f>
        <v>#DIV/0!</v>
      </c>
      <c r="F11" s="2887"/>
      <c r="G11" s="2888"/>
      <c r="H11" s="2844"/>
      <c r="I11" s="2845"/>
      <c r="J11" s="3756"/>
      <c r="K11" s="3758"/>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2" t="s">
        <v>2361</v>
      </c>
      <c r="C12" s="3763"/>
      <c r="D12" s="2893">
        <f>ROUND(D13*1.2%*(1-30%),0)</f>
        <v>0</v>
      </c>
      <c r="E12" s="2894">
        <v>1.2E-2</v>
      </c>
      <c r="F12" s="2887" t="s">
        <v>2362</v>
      </c>
      <c r="G12" s="2888"/>
      <c r="H12" s="2844"/>
      <c r="I12" s="2845"/>
      <c r="J12" s="3756"/>
      <c r="K12" s="3758"/>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6"/>
      <c r="K13" s="3758"/>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2" t="s">
        <v>2367</v>
      </c>
      <c r="C14" s="3763"/>
      <c r="D14" s="2893">
        <f>ROUND(E14*B5/10000,0)</f>
        <v>0</v>
      </c>
      <c r="E14" s="2882"/>
      <c r="F14" s="2887" t="s">
        <v>2368</v>
      </c>
      <c r="G14" s="2888"/>
      <c r="H14" s="2844"/>
      <c r="I14" s="2845"/>
      <c r="J14" s="3756"/>
      <c r="K14" s="3759"/>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2" t="s">
        <v>2371</v>
      </c>
      <c r="C15" s="3763"/>
      <c r="D15" s="2893">
        <f>ROUND(D6*E15,0)</f>
        <v>0</v>
      </c>
      <c r="E15" s="2894">
        <v>5.5E-2</v>
      </c>
      <c r="F15" s="2887" t="s">
        <v>2372</v>
      </c>
      <c r="G15" s="2869"/>
      <c r="H15" s="2844"/>
      <c r="I15" s="2845"/>
      <c r="J15" s="3756">
        <v>2</v>
      </c>
      <c r="K15" s="3757"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2" t="s">
        <v>2380</v>
      </c>
      <c r="C16" s="3763"/>
      <c r="D16" s="2904">
        <f>D6*E16</f>
        <v>0</v>
      </c>
      <c r="E16" s="2905"/>
      <c r="F16" s="2890" t="s">
        <v>2381</v>
      </c>
      <c r="G16" s="2869"/>
      <c r="H16" s="2844"/>
      <c r="I16" s="2845"/>
      <c r="J16" s="3756"/>
      <c r="K16" s="3758"/>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4" t="s">
        <v>2383</v>
      </c>
      <c r="C17" s="3765"/>
      <c r="D17" s="2907">
        <f>ROUND(D6*E17,0)</f>
        <v>0</v>
      </c>
      <c r="E17" s="2908"/>
      <c r="F17" s="2909" t="s">
        <v>2384</v>
      </c>
      <c r="G17" s="2869"/>
      <c r="H17" s="2844"/>
      <c r="I17" s="2845"/>
      <c r="J17" s="3756"/>
      <c r="K17" s="3758"/>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6"/>
      <c r="K18" s="3758"/>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6"/>
      <c r="K19" s="3759"/>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6">
        <v>3</v>
      </c>
      <c r="K20" s="3757"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6"/>
      <c r="K21" s="3758"/>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6"/>
      <c r="K22" s="3758"/>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6"/>
      <c r="K23" s="3758"/>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6"/>
      <c r="K24" s="3759"/>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6">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49" t="s">
        <v>2316</v>
      </c>
      <c r="K32" s="3750"/>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1" t="s">
        <v>2326</v>
      </c>
      <c r="K33" s="3752"/>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1" t="s">
        <v>2328</v>
      </c>
      <c r="K34" s="375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6">
        <v>1</v>
      </c>
      <c r="K36" s="3757"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6"/>
      <c r="K37" s="3758"/>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6"/>
      <c r="K38" s="3758"/>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6"/>
      <c r="K39" s="3758"/>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6"/>
      <c r="K40" s="3759"/>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6">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22" t="s">
        <v>1664</v>
      </c>
      <c r="D4" s="3723"/>
      <c r="E4" s="3724" t="s">
        <v>1665</v>
      </c>
      <c r="F4" s="3725"/>
      <c r="G4" s="3722" t="s">
        <v>1666</v>
      </c>
      <c r="H4" s="3723"/>
      <c r="I4" s="3722" t="s">
        <v>1667</v>
      </c>
      <c r="J4" s="3723"/>
      <c r="K4" s="1885" t="s">
        <v>1668</v>
      </c>
      <c r="L4" s="2711"/>
      <c r="M4" s="2712"/>
      <c r="N4" s="2712"/>
      <c r="O4" s="2712"/>
      <c r="P4" s="3726" t="s">
        <v>1669</v>
      </c>
      <c r="Q4" s="3727"/>
      <c r="R4" s="3709" t="s">
        <v>1665</v>
      </c>
      <c r="S4" s="3710"/>
      <c r="T4" s="3709" t="s">
        <v>1666</v>
      </c>
      <c r="U4" s="3710"/>
      <c r="V4" s="3706" t="s">
        <v>1667</v>
      </c>
      <c r="W4" s="3706"/>
      <c r="X4" s="1351"/>
      <c r="Y4" s="3709" t="s">
        <v>1669</v>
      </c>
      <c r="Z4" s="3710"/>
      <c r="AA4" s="3703" t="s">
        <v>1665</v>
      </c>
      <c r="AB4" s="3703" t="s">
        <v>1666</v>
      </c>
      <c r="AC4" s="3703" t="s">
        <v>1667</v>
      </c>
    </row>
    <row r="5" spans="1:29" ht="15">
      <c r="A5" s="358"/>
      <c r="B5" s="359"/>
      <c r="C5" s="3715" t="s">
        <v>1670</v>
      </c>
      <c r="D5" s="3716"/>
      <c r="E5" s="3713" t="s">
        <v>1671</v>
      </c>
      <c r="F5" s="3714"/>
      <c r="G5" s="3715" t="s">
        <v>1672</v>
      </c>
      <c r="H5" s="3716"/>
      <c r="I5" s="3715" t="s">
        <v>1673</v>
      </c>
      <c r="J5" s="3716"/>
      <c r="K5" s="1886"/>
      <c r="L5" s="2711"/>
      <c r="M5" s="2712"/>
      <c r="N5" s="2712"/>
      <c r="O5" s="2712"/>
      <c r="P5" s="3728"/>
      <c r="Q5" s="3729"/>
      <c r="R5" s="3711"/>
      <c r="S5" s="3712"/>
      <c r="T5" s="3711"/>
      <c r="U5" s="3712"/>
      <c r="V5" s="3706"/>
      <c r="W5" s="3706"/>
      <c r="X5" s="1351"/>
      <c r="Y5" s="3711"/>
      <c r="Z5" s="3712"/>
      <c r="AA5" s="3704"/>
      <c r="AB5" s="3704"/>
      <c r="AC5" s="3704"/>
    </row>
    <row r="6" spans="1:29" ht="15.75" thickBot="1">
      <c r="A6" s="360"/>
      <c r="B6" s="361"/>
      <c r="C6" s="3717" t="s">
        <v>1674</v>
      </c>
      <c r="D6" s="3718"/>
      <c r="E6" s="3719" t="s">
        <v>1674</v>
      </c>
      <c r="F6" s="3720"/>
      <c r="G6" s="3717" t="s">
        <v>1674</v>
      </c>
      <c r="H6" s="3718"/>
      <c r="I6" s="3717" t="s">
        <v>1674</v>
      </c>
      <c r="J6" s="3718"/>
      <c r="K6" s="1886" t="s">
        <v>1675</v>
      </c>
      <c r="L6" s="2711"/>
      <c r="M6" s="2712"/>
      <c r="N6" s="2712"/>
      <c r="O6" s="2712"/>
      <c r="P6" s="3730"/>
      <c r="Q6" s="3731"/>
      <c r="R6" s="3711"/>
      <c r="S6" s="3712"/>
      <c r="T6" s="3732"/>
      <c r="U6" s="3733"/>
      <c r="V6" s="3706"/>
      <c r="W6" s="3706"/>
      <c r="X6" s="1351"/>
      <c r="Y6" s="3732"/>
      <c r="Z6" s="3733"/>
      <c r="AA6" s="3705"/>
      <c r="AB6" s="3705"/>
      <c r="AC6" s="3705"/>
    </row>
    <row r="7" spans="1:29" s="108" customFormat="1" ht="15.75" thickBot="1">
      <c r="A7" s="362" t="s">
        <v>1676</v>
      </c>
      <c r="B7" s="363"/>
      <c r="C7" s="364">
        <f>'数据-取费表'!B2</f>
        <v>45457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07" t="s">
        <v>1677</v>
      </c>
      <c r="Q7" s="3734"/>
      <c r="R7" s="700" t="s">
        <v>20</v>
      </c>
      <c r="S7" s="701">
        <f t="shared" ref="S7:S15" si="0">F7</f>
        <v>0</v>
      </c>
      <c r="T7" s="700" t="s">
        <v>20</v>
      </c>
      <c r="U7" s="701">
        <f t="shared" ref="U7:U15" si="1">H7</f>
        <v>0</v>
      </c>
      <c r="V7" s="700" t="s">
        <v>20</v>
      </c>
      <c r="W7" s="701">
        <f t="shared" ref="W7:W15"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07" t="s">
        <v>1680</v>
      </c>
      <c r="Q8" s="3708"/>
      <c r="R8" s="700" t="s">
        <v>20</v>
      </c>
      <c r="S8" s="701">
        <f t="shared" si="0"/>
        <v>100</v>
      </c>
      <c r="T8" s="700" t="s">
        <v>20</v>
      </c>
      <c r="U8" s="701">
        <f t="shared" si="1"/>
        <v>100</v>
      </c>
      <c r="V8" s="700" t="s">
        <v>20</v>
      </c>
      <c r="W8" s="701">
        <f t="shared" si="2"/>
        <v>100</v>
      </c>
      <c r="X8" s="702"/>
      <c r="Y8" s="3707" t="s">
        <v>1680</v>
      </c>
      <c r="Z8" s="3708"/>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1" t="s">
        <v>1683</v>
      </c>
      <c r="Q9" s="1339" t="str">
        <f t="shared" ref="Q9:Q15" si="6">B9</f>
        <v>用途</v>
      </c>
      <c r="R9" s="700" t="s">
        <v>14</v>
      </c>
      <c r="S9" s="701">
        <f t="shared" si="0"/>
        <v>100</v>
      </c>
      <c r="T9" s="700" t="s">
        <v>14</v>
      </c>
      <c r="U9" s="701">
        <f t="shared" si="1"/>
        <v>100</v>
      </c>
      <c r="V9" s="700" t="s">
        <v>14</v>
      </c>
      <c r="W9" s="701">
        <f t="shared" si="2"/>
        <v>100</v>
      </c>
      <c r="X9" s="702"/>
      <c r="Y9" s="3669" t="s">
        <v>1684</v>
      </c>
      <c r="Z9" s="52" t="str">
        <f t="shared" ref="Z9:Z15" si="7">Q9</f>
        <v>用途</v>
      </c>
      <c r="AA9" s="703">
        <f t="shared" si="3"/>
        <v>1</v>
      </c>
      <c r="AB9" s="703">
        <f t="shared" si="4"/>
        <v>1</v>
      </c>
      <c r="AC9" s="703">
        <f t="shared" si="5"/>
        <v>1</v>
      </c>
    </row>
    <row r="10" spans="1:29" s="378" customFormat="1" ht="27">
      <c r="A10" s="374"/>
      <c r="B10" s="375" t="s">
        <v>1685</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1"/>
      <c r="Q10" s="1339" t="str">
        <f t="shared" si="6"/>
        <v>土地使用年限（年）</v>
      </c>
      <c r="R10" s="700" t="s">
        <v>14</v>
      </c>
      <c r="S10" s="701">
        <f t="shared" si="0"/>
        <v>100</v>
      </c>
      <c r="T10" s="700" t="s">
        <v>14</v>
      </c>
      <c r="U10" s="701">
        <f t="shared" si="1"/>
        <v>100</v>
      </c>
      <c r="V10" s="700" t="s">
        <v>14</v>
      </c>
      <c r="W10" s="701">
        <f t="shared" si="2"/>
        <v>100</v>
      </c>
      <c r="X10" s="702"/>
      <c r="Y10" s="3669"/>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1"/>
      <c r="Q11" s="1339" t="str">
        <f t="shared" si="6"/>
        <v>容积率</v>
      </c>
      <c r="R11" s="700" t="s">
        <v>18</v>
      </c>
      <c r="S11" s="701" t="e">
        <f t="shared" si="0"/>
        <v>#N/A</v>
      </c>
      <c r="T11" s="700" t="s">
        <v>18</v>
      </c>
      <c r="U11" s="701" t="e">
        <f t="shared" si="1"/>
        <v>#N/A</v>
      </c>
      <c r="V11" s="700" t="s">
        <v>18</v>
      </c>
      <c r="W11" s="701" t="e">
        <f t="shared" si="2"/>
        <v>#N/A</v>
      </c>
      <c r="X11" s="702"/>
      <c r="Y11" s="3669"/>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1"/>
      <c r="Q12" s="1339">
        <f t="shared" si="6"/>
        <v>111</v>
      </c>
      <c r="R12" s="700" t="s">
        <v>18</v>
      </c>
      <c r="S12" s="701">
        <f t="shared" si="0"/>
        <v>100</v>
      </c>
      <c r="T12" s="700" t="s">
        <v>18</v>
      </c>
      <c r="U12" s="701">
        <f t="shared" si="1"/>
        <v>100</v>
      </c>
      <c r="V12" s="700" t="s">
        <v>18</v>
      </c>
      <c r="W12" s="701">
        <f t="shared" si="2"/>
        <v>100</v>
      </c>
      <c r="X12" s="702"/>
      <c r="Y12" s="3669"/>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1"/>
      <c r="Q13" s="1339">
        <f t="shared" si="6"/>
        <v>111</v>
      </c>
      <c r="R13" s="700" t="s">
        <v>18</v>
      </c>
      <c r="S13" s="701">
        <f t="shared" si="0"/>
        <v>100</v>
      </c>
      <c r="T13" s="700" t="s">
        <v>18</v>
      </c>
      <c r="U13" s="701">
        <f t="shared" si="1"/>
        <v>100</v>
      </c>
      <c r="V13" s="700" t="s">
        <v>18</v>
      </c>
      <c r="W13" s="701">
        <f t="shared" si="2"/>
        <v>100</v>
      </c>
      <c r="X13" s="702"/>
      <c r="Y13" s="3669"/>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1"/>
      <c r="Q14" s="1339">
        <f t="shared" si="6"/>
        <v>111</v>
      </c>
      <c r="R14" s="700" t="s">
        <v>18</v>
      </c>
      <c r="S14" s="701">
        <f t="shared" si="0"/>
        <v>100</v>
      </c>
      <c r="T14" s="700" t="s">
        <v>18</v>
      </c>
      <c r="U14" s="701">
        <f t="shared" si="1"/>
        <v>100</v>
      </c>
      <c r="V14" s="700" t="s">
        <v>18</v>
      </c>
      <c r="W14" s="701">
        <f t="shared" si="2"/>
        <v>100</v>
      </c>
      <c r="X14" s="702"/>
      <c r="Y14" s="3669"/>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5" t="s">
        <v>1688</v>
      </c>
      <c r="Q15" s="1348" t="str">
        <f t="shared" si="6"/>
        <v>居住社区成熟度</v>
      </c>
      <c r="R15" s="704" t="s">
        <v>18</v>
      </c>
      <c r="S15" s="705">
        <f t="shared" si="0"/>
        <v>100</v>
      </c>
      <c r="T15" s="704" t="s">
        <v>18</v>
      </c>
      <c r="U15" s="705">
        <f t="shared" si="1"/>
        <v>100</v>
      </c>
      <c r="V15" s="704" t="s">
        <v>18</v>
      </c>
      <c r="W15" s="705">
        <f t="shared" si="2"/>
        <v>100</v>
      </c>
      <c r="X15" s="1351"/>
      <c r="Y15" s="3737"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36"/>
      <c r="Q16" s="1348"/>
      <c r="R16" s="704"/>
      <c r="S16" s="705"/>
      <c r="T16" s="704"/>
      <c r="U16" s="705"/>
      <c r="V16" s="704"/>
      <c r="W16" s="705"/>
      <c r="X16" s="1351"/>
      <c r="Y16" s="3738"/>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6"/>
      <c r="Q17" s="1348" t="str">
        <f>B17</f>
        <v>交通便捷度</v>
      </c>
      <c r="R17" s="704" t="s">
        <v>18</v>
      </c>
      <c r="S17" s="705">
        <f>F17</f>
        <v>100</v>
      </c>
      <c r="T17" s="704" t="s">
        <v>18</v>
      </c>
      <c r="U17" s="705">
        <f>H17</f>
        <v>100</v>
      </c>
      <c r="V17" s="704" t="s">
        <v>18</v>
      </c>
      <c r="W17" s="705">
        <f>J17</f>
        <v>100</v>
      </c>
      <c r="X17" s="1351"/>
      <c r="Y17" s="373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36"/>
      <c r="Q18" s="1348"/>
      <c r="R18" s="704"/>
      <c r="S18" s="705"/>
      <c r="T18" s="704"/>
      <c r="U18" s="705"/>
      <c r="V18" s="704"/>
      <c r="W18" s="705"/>
      <c r="X18" s="1351"/>
      <c r="Y18" s="3738"/>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6"/>
      <c r="Q19" s="1348" t="str">
        <f>B19</f>
        <v>公共配套设施</v>
      </c>
      <c r="R19" s="704" t="s">
        <v>18</v>
      </c>
      <c r="S19" s="705">
        <f>F19</f>
        <v>100</v>
      </c>
      <c r="T19" s="704" t="s">
        <v>18</v>
      </c>
      <c r="U19" s="705">
        <f>H19</f>
        <v>100</v>
      </c>
      <c r="V19" s="704" t="s">
        <v>18</v>
      </c>
      <c r="W19" s="705">
        <f>J19</f>
        <v>100</v>
      </c>
      <c r="X19" s="1351"/>
      <c r="Y19" s="373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36"/>
      <c r="Q20" s="1348"/>
      <c r="R20" s="704"/>
      <c r="S20" s="705"/>
      <c r="T20" s="704"/>
      <c r="U20" s="705"/>
      <c r="V20" s="704"/>
      <c r="W20" s="705"/>
      <c r="X20" s="1351"/>
      <c r="Y20" s="3738"/>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6"/>
      <c r="Q21" s="1348" t="str">
        <f>B21</f>
        <v>基础设施水平</v>
      </c>
      <c r="R21" s="704" t="s">
        <v>14</v>
      </c>
      <c r="S21" s="705">
        <f>F21</f>
        <v>100</v>
      </c>
      <c r="T21" s="704" t="s">
        <v>14</v>
      </c>
      <c r="U21" s="705">
        <f>H21</f>
        <v>100</v>
      </c>
      <c r="V21" s="704" t="s">
        <v>14</v>
      </c>
      <c r="W21" s="705">
        <f>J21</f>
        <v>100</v>
      </c>
      <c r="X21" s="1351"/>
      <c r="Y21" s="373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36"/>
      <c r="Q22" s="1348"/>
      <c r="R22" s="704"/>
      <c r="S22" s="705"/>
      <c r="T22" s="704"/>
      <c r="U22" s="705"/>
      <c r="V22" s="704"/>
      <c r="W22" s="705"/>
      <c r="X22" s="1351"/>
      <c r="Y22" s="3738"/>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6"/>
      <c r="Q23" s="1348" t="str">
        <f>B23</f>
        <v>自然及人文环境</v>
      </c>
      <c r="R23" s="704" t="s">
        <v>18</v>
      </c>
      <c r="S23" s="705">
        <f>F23</f>
        <v>100</v>
      </c>
      <c r="T23" s="704" t="s">
        <v>18</v>
      </c>
      <c r="U23" s="705">
        <f>H23</f>
        <v>100</v>
      </c>
      <c r="V23" s="704" t="s">
        <v>18</v>
      </c>
      <c r="W23" s="705">
        <f>J23</f>
        <v>100</v>
      </c>
      <c r="X23" s="1351"/>
      <c r="Y23" s="373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36"/>
      <c r="Q24" s="1348"/>
      <c r="R24" s="704"/>
      <c r="S24" s="705"/>
      <c r="T24" s="704"/>
      <c r="U24" s="705"/>
      <c r="V24" s="704"/>
      <c r="W24" s="705"/>
      <c r="X24" s="1351"/>
      <c r="Y24" s="3738"/>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36"/>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38"/>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36"/>
      <c r="Q26" s="1348" t="str">
        <f t="shared" si="11"/>
        <v>朝向</v>
      </c>
      <c r="R26" s="704" t="s">
        <v>18</v>
      </c>
      <c r="S26" s="705">
        <f t="shared" si="12"/>
        <v>100</v>
      </c>
      <c r="T26" s="704" t="s">
        <v>18</v>
      </c>
      <c r="U26" s="705">
        <f t="shared" si="13"/>
        <v>100</v>
      </c>
      <c r="V26" s="704" t="s">
        <v>18</v>
      </c>
      <c r="W26" s="705">
        <f t="shared" si="14"/>
        <v>100</v>
      </c>
      <c r="X26" s="1351"/>
      <c r="Y26" s="3738"/>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36"/>
      <c r="Q27" s="1339">
        <f t="shared" si="11"/>
        <v>111</v>
      </c>
      <c r="R27" s="700" t="s">
        <v>18</v>
      </c>
      <c r="S27" s="701">
        <f t="shared" si="12"/>
        <v>100</v>
      </c>
      <c r="T27" s="700" t="s">
        <v>18</v>
      </c>
      <c r="U27" s="701">
        <f t="shared" si="13"/>
        <v>100</v>
      </c>
      <c r="V27" s="700" t="s">
        <v>18</v>
      </c>
      <c r="W27" s="701">
        <f t="shared" si="14"/>
        <v>100</v>
      </c>
      <c r="X27" s="702"/>
      <c r="Y27" s="3738"/>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36"/>
      <c r="Q28" s="1348">
        <f t="shared" si="11"/>
        <v>111</v>
      </c>
      <c r="R28" s="704" t="s">
        <v>18</v>
      </c>
      <c r="S28" s="705">
        <f t="shared" si="12"/>
        <v>100</v>
      </c>
      <c r="T28" s="704" t="s">
        <v>18</v>
      </c>
      <c r="U28" s="705">
        <f t="shared" si="13"/>
        <v>100</v>
      </c>
      <c r="V28" s="704" t="s">
        <v>18</v>
      </c>
      <c r="W28" s="705">
        <f t="shared" si="14"/>
        <v>100</v>
      </c>
      <c r="X28" s="1351"/>
      <c r="Y28" s="3738"/>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36"/>
      <c r="Q29" s="1348">
        <f t="shared" si="11"/>
        <v>111</v>
      </c>
      <c r="R29" s="704" t="s">
        <v>18</v>
      </c>
      <c r="S29" s="705">
        <f t="shared" si="12"/>
        <v>100</v>
      </c>
      <c r="T29" s="704" t="s">
        <v>18</v>
      </c>
      <c r="U29" s="705">
        <f t="shared" si="13"/>
        <v>100</v>
      </c>
      <c r="V29" s="704" t="s">
        <v>18</v>
      </c>
      <c r="W29" s="705">
        <f t="shared" si="14"/>
        <v>100</v>
      </c>
      <c r="X29" s="1351"/>
      <c r="Y29" s="3738"/>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36"/>
      <c r="Q30" s="1348">
        <f t="shared" si="11"/>
        <v>111</v>
      </c>
      <c r="R30" s="704" t="s">
        <v>18</v>
      </c>
      <c r="S30" s="705">
        <f t="shared" si="12"/>
        <v>100</v>
      </c>
      <c r="T30" s="704" t="s">
        <v>18</v>
      </c>
      <c r="U30" s="705">
        <f t="shared" si="13"/>
        <v>100</v>
      </c>
      <c r="V30" s="704" t="s">
        <v>18</v>
      </c>
      <c r="W30" s="705">
        <f t="shared" si="14"/>
        <v>100</v>
      </c>
      <c r="X30" s="1351"/>
      <c r="Y30" s="3738"/>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36"/>
      <c r="Q31" s="1348">
        <f t="shared" si="11"/>
        <v>111</v>
      </c>
      <c r="R31" s="704" t="s">
        <v>18</v>
      </c>
      <c r="S31" s="705">
        <f t="shared" si="12"/>
        <v>100</v>
      </c>
      <c r="T31" s="704" t="s">
        <v>18</v>
      </c>
      <c r="U31" s="705">
        <f t="shared" si="13"/>
        <v>100</v>
      </c>
      <c r="V31" s="704" t="s">
        <v>18</v>
      </c>
      <c r="W31" s="705">
        <f t="shared" si="14"/>
        <v>100</v>
      </c>
      <c r="X31" s="1351"/>
      <c r="Y31" s="3738"/>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39" t="s">
        <v>1693</v>
      </c>
      <c r="Q32" s="1348" t="str">
        <f t="shared" si="11"/>
        <v>建筑类型</v>
      </c>
      <c r="R32" s="704" t="s">
        <v>18</v>
      </c>
      <c r="S32" s="705">
        <f t="shared" si="12"/>
        <v>100</v>
      </c>
      <c r="T32" s="704" t="s">
        <v>18</v>
      </c>
      <c r="U32" s="705">
        <f t="shared" si="13"/>
        <v>100</v>
      </c>
      <c r="V32" s="704" t="s">
        <v>18</v>
      </c>
      <c r="W32" s="705">
        <f t="shared" si="14"/>
        <v>100</v>
      </c>
      <c r="X32" s="1351"/>
      <c r="Y32" s="3742"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0"/>
      <c r="Q33" s="706" t="str">
        <f t="shared" si="11"/>
        <v>项目建筑规模</v>
      </c>
      <c r="R33" s="707" t="s">
        <v>18</v>
      </c>
      <c r="S33" s="708" t="e">
        <f t="shared" si="12"/>
        <v>#N/A</v>
      </c>
      <c r="T33" s="707" t="s">
        <v>18</v>
      </c>
      <c r="U33" s="708" t="e">
        <f t="shared" si="13"/>
        <v>#N/A</v>
      </c>
      <c r="V33" s="707" t="s">
        <v>18</v>
      </c>
      <c r="W33" s="708" t="e">
        <f t="shared" si="14"/>
        <v>#N/A</v>
      </c>
      <c r="X33" s="709"/>
      <c r="Y33" s="3742"/>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0"/>
      <c r="Q34" s="1348" t="str">
        <f t="shared" si="11"/>
        <v>建筑结构</v>
      </c>
      <c r="R34" s="704" t="s">
        <v>18</v>
      </c>
      <c r="S34" s="705">
        <f t="shared" si="12"/>
        <v>100</v>
      </c>
      <c r="T34" s="704" t="s">
        <v>18</v>
      </c>
      <c r="U34" s="705">
        <f t="shared" si="13"/>
        <v>100</v>
      </c>
      <c r="V34" s="704" t="s">
        <v>18</v>
      </c>
      <c r="W34" s="705">
        <f t="shared" si="14"/>
        <v>100</v>
      </c>
      <c r="X34" s="1351"/>
      <c r="Y34" s="3742"/>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0"/>
      <c r="Q35" s="1348" t="str">
        <f t="shared" si="11"/>
        <v>建筑品质</v>
      </c>
      <c r="R35" s="704" t="s">
        <v>18</v>
      </c>
      <c r="S35" s="705">
        <f t="shared" si="12"/>
        <v>100</v>
      </c>
      <c r="T35" s="704" t="s">
        <v>18</v>
      </c>
      <c r="U35" s="705">
        <f t="shared" si="13"/>
        <v>100</v>
      </c>
      <c r="V35" s="704" t="s">
        <v>18</v>
      </c>
      <c r="W35" s="705">
        <f t="shared" si="14"/>
        <v>100</v>
      </c>
      <c r="X35" s="1351"/>
      <c r="Y35" s="3742"/>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0"/>
      <c r="Q36" s="1348" t="str">
        <f t="shared" si="11"/>
        <v>公共部分装修</v>
      </c>
      <c r="R36" s="704" t="s">
        <v>18</v>
      </c>
      <c r="S36" s="705">
        <f t="shared" si="12"/>
        <v>100</v>
      </c>
      <c r="T36" s="704" t="s">
        <v>18</v>
      </c>
      <c r="U36" s="705">
        <f t="shared" si="13"/>
        <v>100</v>
      </c>
      <c r="V36" s="704" t="s">
        <v>18</v>
      </c>
      <c r="W36" s="705">
        <f t="shared" si="14"/>
        <v>100</v>
      </c>
      <c r="X36" s="1351"/>
      <c r="Y36" s="3742"/>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0"/>
      <c r="Q37" s="1339" t="str">
        <f t="shared" si="11"/>
        <v>成新度</v>
      </c>
      <c r="R37" s="700" t="s">
        <v>18</v>
      </c>
      <c r="S37" s="701" t="e">
        <f t="shared" si="12"/>
        <v>#N/A</v>
      </c>
      <c r="T37" s="700" t="s">
        <v>18</v>
      </c>
      <c r="U37" s="701" t="e">
        <f t="shared" si="13"/>
        <v>#N/A</v>
      </c>
      <c r="V37" s="700" t="s">
        <v>18</v>
      </c>
      <c r="W37" s="701" t="e">
        <f t="shared" si="14"/>
        <v>#N/A</v>
      </c>
      <c r="X37" s="702"/>
      <c r="Y37" s="3742"/>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0" t="s">
        <v>1693</v>
      </c>
      <c r="Q38" s="1348" t="str">
        <f t="shared" si="11"/>
        <v>物业管理</v>
      </c>
      <c r="R38" s="704" t="s">
        <v>18</v>
      </c>
      <c r="S38" s="705">
        <f t="shared" si="12"/>
        <v>100</v>
      </c>
      <c r="T38" s="704" t="s">
        <v>18</v>
      </c>
      <c r="U38" s="705">
        <f t="shared" si="13"/>
        <v>100</v>
      </c>
      <c r="V38" s="704" t="s">
        <v>18</v>
      </c>
      <c r="W38" s="705">
        <f t="shared" si="14"/>
        <v>100</v>
      </c>
      <c r="X38" s="1351"/>
      <c r="Y38" s="3742"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0"/>
      <c r="Q39" s="1348" t="str">
        <f t="shared" si="11"/>
        <v>市政基础设施</v>
      </c>
      <c r="R39" s="704" t="s">
        <v>18</v>
      </c>
      <c r="S39" s="705">
        <f t="shared" si="12"/>
        <v>100</v>
      </c>
      <c r="T39" s="704" t="s">
        <v>18</v>
      </c>
      <c r="U39" s="705">
        <f t="shared" si="13"/>
        <v>100</v>
      </c>
      <c r="V39" s="704" t="s">
        <v>18</v>
      </c>
      <c r="W39" s="705">
        <f t="shared" si="14"/>
        <v>100</v>
      </c>
      <c r="X39" s="1351"/>
      <c r="Y39" s="3742"/>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0"/>
      <c r="Q40" s="1348" t="str">
        <f t="shared" si="11"/>
        <v>房型</v>
      </c>
      <c r="R40" s="704" t="s">
        <v>18</v>
      </c>
      <c r="S40" s="705">
        <f t="shared" si="12"/>
        <v>100</v>
      </c>
      <c r="T40" s="704" t="s">
        <v>18</v>
      </c>
      <c r="U40" s="705">
        <f t="shared" si="13"/>
        <v>100</v>
      </c>
      <c r="V40" s="704" t="s">
        <v>18</v>
      </c>
      <c r="W40" s="705">
        <f t="shared" si="14"/>
        <v>100</v>
      </c>
      <c r="X40" s="1351"/>
      <c r="Y40" s="3742"/>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0"/>
      <c r="Q41" s="706" t="str">
        <f t="shared" si="11"/>
        <v>单套/主力户型建筑面积</v>
      </c>
      <c r="R41" s="707" t="s">
        <v>18</v>
      </c>
      <c r="S41" s="708">
        <f t="shared" si="12"/>
        <v>100</v>
      </c>
      <c r="T41" s="707" t="s">
        <v>18</v>
      </c>
      <c r="U41" s="708">
        <f t="shared" si="13"/>
        <v>100</v>
      </c>
      <c r="V41" s="707" t="s">
        <v>18</v>
      </c>
      <c r="W41" s="708">
        <f t="shared" si="14"/>
        <v>100</v>
      </c>
      <c r="X41" s="709"/>
      <c r="Y41" s="3742"/>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0"/>
      <c r="Q42" s="1348" t="str">
        <f t="shared" si="11"/>
        <v>内部装修</v>
      </c>
      <c r="R42" s="704" t="s">
        <v>18</v>
      </c>
      <c r="S42" s="705">
        <f t="shared" si="12"/>
        <v>100</v>
      </c>
      <c r="T42" s="704" t="s">
        <v>18</v>
      </c>
      <c r="U42" s="705">
        <f t="shared" si="13"/>
        <v>100</v>
      </c>
      <c r="V42" s="704" t="s">
        <v>18</v>
      </c>
      <c r="W42" s="705">
        <f t="shared" si="14"/>
        <v>100</v>
      </c>
      <c r="X42" s="1351"/>
      <c r="Y42" s="3742"/>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0"/>
      <c r="Q43" s="1348" t="str">
        <f t="shared" si="11"/>
        <v>内部装修维护情况</v>
      </c>
      <c r="R43" s="704" t="s">
        <v>18</v>
      </c>
      <c r="S43" s="705">
        <f t="shared" si="12"/>
        <v>100</v>
      </c>
      <c r="T43" s="704" t="s">
        <v>18</v>
      </c>
      <c r="U43" s="705">
        <f t="shared" si="13"/>
        <v>100</v>
      </c>
      <c r="V43" s="704" t="s">
        <v>18</v>
      </c>
      <c r="W43" s="705">
        <f t="shared" si="14"/>
        <v>100</v>
      </c>
      <c r="X43" s="1351"/>
      <c r="Y43" s="3742"/>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0"/>
      <c r="Q44" s="1339">
        <f t="shared" si="11"/>
        <v>111</v>
      </c>
      <c r="R44" s="700" t="s">
        <v>18</v>
      </c>
      <c r="S44" s="701">
        <f t="shared" si="12"/>
        <v>100</v>
      </c>
      <c r="T44" s="700" t="s">
        <v>18</v>
      </c>
      <c r="U44" s="701">
        <f t="shared" si="13"/>
        <v>100</v>
      </c>
      <c r="V44" s="700" t="s">
        <v>18</v>
      </c>
      <c r="W44" s="701">
        <f t="shared" si="14"/>
        <v>100</v>
      </c>
      <c r="X44" s="702"/>
      <c r="Y44" s="3742"/>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0"/>
      <c r="Q45" s="1348">
        <f t="shared" si="11"/>
        <v>111</v>
      </c>
      <c r="R45" s="704" t="s">
        <v>18</v>
      </c>
      <c r="S45" s="705">
        <f t="shared" si="12"/>
        <v>100</v>
      </c>
      <c r="T45" s="704" t="s">
        <v>18</v>
      </c>
      <c r="U45" s="705">
        <f t="shared" si="13"/>
        <v>100</v>
      </c>
      <c r="V45" s="704" t="s">
        <v>18</v>
      </c>
      <c r="W45" s="705">
        <f t="shared" si="14"/>
        <v>100</v>
      </c>
      <c r="X45" s="1351"/>
      <c r="Y45" s="3742"/>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1"/>
      <c r="Q46" s="1348">
        <f t="shared" si="11"/>
        <v>111</v>
      </c>
      <c r="R46" s="704" t="s">
        <v>17</v>
      </c>
      <c r="S46" s="705">
        <f t="shared" si="12"/>
        <v>100</v>
      </c>
      <c r="T46" s="704" t="s">
        <v>17</v>
      </c>
      <c r="U46" s="705">
        <f t="shared" si="13"/>
        <v>100</v>
      </c>
      <c r="V46" s="704" t="s">
        <v>17</v>
      </c>
      <c r="W46" s="705">
        <f t="shared" si="14"/>
        <v>100</v>
      </c>
      <c r="X46" s="1351"/>
      <c r="Y46" s="3743"/>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44" t="str">
        <f>A47</f>
        <v>成交单价（元/平方米）</v>
      </c>
      <c r="Q47" s="3744"/>
      <c r="R47" s="3745">
        <f>E47</f>
        <v>0</v>
      </c>
      <c r="S47" s="3745"/>
      <c r="T47" s="3745">
        <f>G47</f>
        <v>0</v>
      </c>
      <c r="U47" s="3745"/>
      <c r="V47" s="3745">
        <f>I47</f>
        <v>0</v>
      </c>
      <c r="W47" s="3745"/>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22" t="s">
        <v>1767</v>
      </c>
      <c r="D4" s="3723"/>
      <c r="E4" s="3724" t="s">
        <v>1768</v>
      </c>
      <c r="F4" s="3725"/>
      <c r="G4" s="3722" t="s">
        <v>1769</v>
      </c>
      <c r="H4" s="3723"/>
      <c r="I4" s="3722" t="s">
        <v>1770</v>
      </c>
      <c r="J4" s="3723"/>
      <c r="K4" s="559" t="s">
        <v>1771</v>
      </c>
      <c r="L4" s="2711"/>
      <c r="M4" s="2712"/>
      <c r="N4" s="2712"/>
      <c r="O4" s="2712"/>
      <c r="P4" s="3774" t="s">
        <v>1772</v>
      </c>
      <c r="Q4" s="3775"/>
      <c r="R4" s="3769" t="s">
        <v>1768</v>
      </c>
      <c r="S4" s="3770"/>
      <c r="T4" s="3769" t="s">
        <v>1769</v>
      </c>
      <c r="U4" s="3770"/>
      <c r="V4" s="3778" t="s">
        <v>1770</v>
      </c>
      <c r="W4" s="3778"/>
      <c r="X4" s="1954"/>
      <c r="Y4" s="3769" t="s">
        <v>1772</v>
      </c>
      <c r="Z4" s="3770"/>
      <c r="AA4" s="3768" t="s">
        <v>1768</v>
      </c>
      <c r="AB4" s="3768" t="s">
        <v>1769</v>
      </c>
      <c r="AC4" s="3771" t="s">
        <v>1770</v>
      </c>
    </row>
    <row r="5" spans="1:29" ht="15">
      <c r="A5" s="358"/>
      <c r="B5" s="359"/>
      <c r="C5" s="3715" t="s">
        <v>1670</v>
      </c>
      <c r="D5" s="3716"/>
      <c r="E5" s="3713" t="s">
        <v>1671</v>
      </c>
      <c r="F5" s="3714"/>
      <c r="G5" s="3715" t="s">
        <v>1672</v>
      </c>
      <c r="H5" s="3716"/>
      <c r="I5" s="3715" t="s">
        <v>1673</v>
      </c>
      <c r="J5" s="3716"/>
      <c r="K5" s="559"/>
      <c r="L5" s="2711"/>
      <c r="M5" s="2712"/>
      <c r="N5" s="2712"/>
      <c r="O5" s="2712"/>
      <c r="P5" s="3776"/>
      <c r="Q5" s="3729"/>
      <c r="R5" s="3711"/>
      <c r="S5" s="3712"/>
      <c r="T5" s="3711"/>
      <c r="U5" s="3712"/>
      <c r="V5" s="3706"/>
      <c r="W5" s="3706"/>
      <c r="X5" s="1351"/>
      <c r="Y5" s="3711"/>
      <c r="Z5" s="3712"/>
      <c r="AA5" s="3704"/>
      <c r="AB5" s="3704"/>
      <c r="AC5" s="3772"/>
    </row>
    <row r="6" spans="1:29" ht="15.75" thickBot="1">
      <c r="A6" s="360"/>
      <c r="B6" s="361"/>
      <c r="C6" s="3717" t="s">
        <v>1674</v>
      </c>
      <c r="D6" s="3718"/>
      <c r="E6" s="3719" t="s">
        <v>1674</v>
      </c>
      <c r="F6" s="3720"/>
      <c r="G6" s="3717" t="s">
        <v>1674</v>
      </c>
      <c r="H6" s="3718"/>
      <c r="I6" s="3717" t="s">
        <v>1674</v>
      </c>
      <c r="J6" s="3718"/>
      <c r="K6" s="559" t="s">
        <v>1675</v>
      </c>
      <c r="L6" s="2711"/>
      <c r="M6" s="2712"/>
      <c r="N6" s="2712"/>
      <c r="O6" s="2712"/>
      <c r="P6" s="3777"/>
      <c r="Q6" s="3731"/>
      <c r="R6" s="3711"/>
      <c r="S6" s="3712"/>
      <c r="T6" s="3732"/>
      <c r="U6" s="3733"/>
      <c r="V6" s="3706"/>
      <c r="W6" s="3706"/>
      <c r="X6" s="1351"/>
      <c r="Y6" s="3732"/>
      <c r="Z6" s="3733"/>
      <c r="AA6" s="3705"/>
      <c r="AB6" s="3705"/>
      <c r="AC6" s="3773"/>
    </row>
    <row r="7" spans="1:29" s="108" customFormat="1" ht="15.75" thickBot="1">
      <c r="A7" s="362" t="s">
        <v>1676</v>
      </c>
      <c r="B7" s="363"/>
      <c r="C7" s="364">
        <f>'数据-取费表'!B2</f>
        <v>45457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79" t="s">
        <v>1677</v>
      </c>
      <c r="Q7" s="3734"/>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79" t="s">
        <v>1680</v>
      </c>
      <c r="Q8" s="3708"/>
      <c r="R8" s="700" t="s">
        <v>14</v>
      </c>
      <c r="S8" s="701">
        <f t="shared" si="0"/>
        <v>100</v>
      </c>
      <c r="T8" s="700" t="s">
        <v>14</v>
      </c>
      <c r="U8" s="701">
        <f t="shared" si="1"/>
        <v>100</v>
      </c>
      <c r="V8" s="700" t="s">
        <v>14</v>
      </c>
      <c r="W8" s="701">
        <f t="shared" si="2"/>
        <v>100</v>
      </c>
      <c r="X8" s="702"/>
      <c r="Y8" s="3707" t="s">
        <v>1680</v>
      </c>
      <c r="Z8" s="3708"/>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1" t="s">
        <v>1683</v>
      </c>
      <c r="Q9" s="1339" t="str">
        <f t="shared" ref="Q9:Q15" si="6">B9</f>
        <v>用途</v>
      </c>
      <c r="R9" s="700" t="s">
        <v>14</v>
      </c>
      <c r="S9" s="701">
        <f t="shared" si="0"/>
        <v>100</v>
      </c>
      <c r="T9" s="700" t="s">
        <v>14</v>
      </c>
      <c r="U9" s="701">
        <f t="shared" si="1"/>
        <v>100</v>
      </c>
      <c r="V9" s="700" t="s">
        <v>14</v>
      </c>
      <c r="W9" s="701">
        <f t="shared" si="2"/>
        <v>100</v>
      </c>
      <c r="X9" s="702"/>
      <c r="Y9" s="3669" t="s">
        <v>1684</v>
      </c>
      <c r="Z9" s="52" t="str">
        <f t="shared" ref="Z9:Z15" si="7">Q9</f>
        <v>用途</v>
      </c>
      <c r="AA9" s="703">
        <f t="shared" si="3"/>
        <v>1</v>
      </c>
      <c r="AB9" s="703">
        <f t="shared" si="4"/>
        <v>1</v>
      </c>
      <c r="AC9" s="1955">
        <f t="shared" si="5"/>
        <v>1</v>
      </c>
    </row>
    <row r="10" spans="1:29" s="378" customFormat="1" ht="27">
      <c r="A10" s="374"/>
      <c r="B10" s="375" t="s">
        <v>1685</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1339" t="str">
        <f t="shared" si="6"/>
        <v>土地使用年限（年）</v>
      </c>
      <c r="R10" s="700" t="s">
        <v>14</v>
      </c>
      <c r="S10" s="701">
        <f t="shared" si="0"/>
        <v>100</v>
      </c>
      <c r="T10" s="700" t="s">
        <v>14</v>
      </c>
      <c r="U10" s="701">
        <f t="shared" si="1"/>
        <v>100</v>
      </c>
      <c r="V10" s="700" t="s">
        <v>14</v>
      </c>
      <c r="W10" s="701">
        <f t="shared" si="2"/>
        <v>100</v>
      </c>
      <c r="X10" s="702"/>
      <c r="Y10" s="3669"/>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1339" t="str">
        <f t="shared" si="6"/>
        <v>容积率</v>
      </c>
      <c r="R11" s="700" t="s">
        <v>14</v>
      </c>
      <c r="S11" s="701">
        <f t="shared" si="0"/>
        <v>100</v>
      </c>
      <c r="T11" s="700" t="s">
        <v>14</v>
      </c>
      <c r="U11" s="701">
        <f t="shared" si="1"/>
        <v>100</v>
      </c>
      <c r="V11" s="700" t="s">
        <v>14</v>
      </c>
      <c r="W11" s="701">
        <f t="shared" si="2"/>
        <v>100</v>
      </c>
      <c r="X11" s="702"/>
      <c r="Y11" s="3669"/>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1339">
        <f t="shared" si="6"/>
        <v>111</v>
      </c>
      <c r="R12" s="700" t="s">
        <v>14</v>
      </c>
      <c r="S12" s="701">
        <f t="shared" si="0"/>
        <v>100</v>
      </c>
      <c r="T12" s="700" t="s">
        <v>14</v>
      </c>
      <c r="U12" s="701">
        <f t="shared" si="1"/>
        <v>100</v>
      </c>
      <c r="V12" s="700" t="s">
        <v>14</v>
      </c>
      <c r="W12" s="701">
        <f t="shared" si="2"/>
        <v>100</v>
      </c>
      <c r="X12" s="702"/>
      <c r="Y12" s="3669"/>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1339">
        <f t="shared" si="6"/>
        <v>111</v>
      </c>
      <c r="R13" s="700" t="s">
        <v>14</v>
      </c>
      <c r="S13" s="701">
        <f t="shared" si="0"/>
        <v>100</v>
      </c>
      <c r="T13" s="700" t="s">
        <v>14</v>
      </c>
      <c r="U13" s="701">
        <f t="shared" si="1"/>
        <v>100</v>
      </c>
      <c r="V13" s="700" t="s">
        <v>14</v>
      </c>
      <c r="W13" s="701">
        <f t="shared" si="2"/>
        <v>100</v>
      </c>
      <c r="X13" s="702"/>
      <c r="Y13" s="3669"/>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1339">
        <f t="shared" si="6"/>
        <v>111</v>
      </c>
      <c r="R14" s="700" t="s">
        <v>14</v>
      </c>
      <c r="S14" s="701">
        <f t="shared" si="0"/>
        <v>100</v>
      </c>
      <c r="T14" s="700" t="s">
        <v>14</v>
      </c>
      <c r="U14" s="701">
        <f t="shared" si="1"/>
        <v>100</v>
      </c>
      <c r="V14" s="700" t="s">
        <v>14</v>
      </c>
      <c r="W14" s="701">
        <f t="shared" si="2"/>
        <v>100</v>
      </c>
      <c r="X14" s="702"/>
      <c r="Y14" s="3669"/>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5" t="s">
        <v>1688</v>
      </c>
      <c r="Q15" s="1348" t="str">
        <f t="shared" si="6"/>
        <v>办公集聚程度</v>
      </c>
      <c r="R15" s="704" t="s">
        <v>14</v>
      </c>
      <c r="S15" s="705">
        <f t="shared" si="0"/>
        <v>100</v>
      </c>
      <c r="T15" s="704" t="s">
        <v>14</v>
      </c>
      <c r="U15" s="705">
        <f t="shared" si="1"/>
        <v>100</v>
      </c>
      <c r="V15" s="704" t="s">
        <v>14</v>
      </c>
      <c r="W15" s="705">
        <f t="shared" si="2"/>
        <v>100</v>
      </c>
      <c r="X15" s="1351"/>
      <c r="Y15" s="3737"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36"/>
      <c r="Q16" s="1348"/>
      <c r="R16" s="704"/>
      <c r="S16" s="705"/>
      <c r="T16" s="704"/>
      <c r="U16" s="705"/>
      <c r="V16" s="704"/>
      <c r="W16" s="705"/>
      <c r="X16" s="1351"/>
      <c r="Y16" s="3738"/>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6"/>
      <c r="Q17" s="1348" t="str">
        <f>B17</f>
        <v>交通便捷度</v>
      </c>
      <c r="R17" s="704" t="s">
        <v>14</v>
      </c>
      <c r="S17" s="705">
        <f>F17</f>
        <v>100</v>
      </c>
      <c r="T17" s="704" t="s">
        <v>14</v>
      </c>
      <c r="U17" s="705">
        <f>H17</f>
        <v>100</v>
      </c>
      <c r="V17" s="704" t="s">
        <v>14</v>
      </c>
      <c r="W17" s="705">
        <f>J17</f>
        <v>100</v>
      </c>
      <c r="X17" s="1351"/>
      <c r="Y17" s="3738"/>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36"/>
      <c r="Q18" s="1348"/>
      <c r="R18" s="704"/>
      <c r="S18" s="705"/>
      <c r="T18" s="704"/>
      <c r="U18" s="705"/>
      <c r="V18" s="704"/>
      <c r="W18" s="705"/>
      <c r="X18" s="1351"/>
      <c r="Y18" s="3738"/>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6"/>
      <c r="Q19" s="1348" t="str">
        <f>B19</f>
        <v>公共配套设施</v>
      </c>
      <c r="R19" s="704" t="s">
        <v>14</v>
      </c>
      <c r="S19" s="705">
        <f>F19</f>
        <v>100</v>
      </c>
      <c r="T19" s="704" t="s">
        <v>14</v>
      </c>
      <c r="U19" s="705">
        <f>H19</f>
        <v>100</v>
      </c>
      <c r="V19" s="704" t="s">
        <v>14</v>
      </c>
      <c r="W19" s="705">
        <f>J19</f>
        <v>100</v>
      </c>
      <c r="X19" s="1351"/>
      <c r="Y19" s="3738"/>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36"/>
      <c r="Q20" s="1348"/>
      <c r="R20" s="704"/>
      <c r="S20" s="705"/>
      <c r="T20" s="704"/>
      <c r="U20" s="705"/>
      <c r="V20" s="704"/>
      <c r="W20" s="705"/>
      <c r="X20" s="1351"/>
      <c r="Y20" s="3738"/>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6"/>
      <c r="Q21" s="1348" t="str">
        <f>B21</f>
        <v>基础设施水平</v>
      </c>
      <c r="R21" s="704" t="s">
        <v>14</v>
      </c>
      <c r="S21" s="705">
        <f>F21</f>
        <v>100</v>
      </c>
      <c r="T21" s="704" t="s">
        <v>14</v>
      </c>
      <c r="U21" s="705">
        <f>H21</f>
        <v>100</v>
      </c>
      <c r="V21" s="704" t="s">
        <v>14</v>
      </c>
      <c r="W21" s="705">
        <f>J21</f>
        <v>100</v>
      </c>
      <c r="X21" s="1351"/>
      <c r="Y21" s="3738"/>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36"/>
      <c r="Q22" s="1348"/>
      <c r="R22" s="704"/>
      <c r="S22" s="705"/>
      <c r="T22" s="704"/>
      <c r="U22" s="705"/>
      <c r="V22" s="704"/>
      <c r="W22" s="705"/>
      <c r="X22" s="1351"/>
      <c r="Y22" s="3738"/>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6"/>
      <c r="Q23" s="1348" t="str">
        <f>B23</f>
        <v>环境质量</v>
      </c>
      <c r="R23" s="704" t="s">
        <v>14</v>
      </c>
      <c r="S23" s="705">
        <f>F23</f>
        <v>100</v>
      </c>
      <c r="T23" s="704" t="s">
        <v>14</v>
      </c>
      <c r="U23" s="705">
        <f>H23</f>
        <v>100</v>
      </c>
      <c r="V23" s="704" t="s">
        <v>14</v>
      </c>
      <c r="W23" s="705">
        <f>J23</f>
        <v>100</v>
      </c>
      <c r="X23" s="1351"/>
      <c r="Y23" s="3738"/>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36"/>
      <c r="Q24" s="1348"/>
      <c r="R24" s="704"/>
      <c r="S24" s="705"/>
      <c r="T24" s="704"/>
      <c r="U24" s="705"/>
      <c r="V24" s="704"/>
      <c r="W24" s="705"/>
      <c r="X24" s="1351"/>
      <c r="Y24" s="3738"/>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36"/>
      <c r="Q25" s="1348" t="str">
        <f>B25</f>
        <v>毗邻道路的类型与等级</v>
      </c>
      <c r="R25" s="704" t="s">
        <v>14</v>
      </c>
      <c r="S25" s="705">
        <f>F25</f>
        <v>100</v>
      </c>
      <c r="T25" s="704" t="s">
        <v>14</v>
      </c>
      <c r="U25" s="705">
        <f>H25</f>
        <v>100</v>
      </c>
      <c r="V25" s="704" t="s">
        <v>14</v>
      </c>
      <c r="W25" s="705">
        <f>J25</f>
        <v>100</v>
      </c>
      <c r="X25" s="1351"/>
      <c r="Y25" s="3738"/>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36"/>
      <c r="Q26" s="1348"/>
      <c r="R26" s="704"/>
      <c r="S26" s="705"/>
      <c r="T26" s="704"/>
      <c r="U26" s="705"/>
      <c r="V26" s="704"/>
      <c r="W26" s="705"/>
      <c r="X26" s="1351"/>
      <c r="Y26" s="3738"/>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36"/>
      <c r="Q27" s="1348" t="str">
        <f t="shared" ref="Q27:Q47" si="11">B27</f>
        <v>楼层</v>
      </c>
      <c r="R27" s="704" t="s">
        <v>14</v>
      </c>
      <c r="S27" s="705">
        <f>F27</f>
        <v>100</v>
      </c>
      <c r="T27" s="704" t="s">
        <v>14</v>
      </c>
      <c r="U27" s="705">
        <f>H27</f>
        <v>100</v>
      </c>
      <c r="V27" s="704" t="s">
        <v>14</v>
      </c>
      <c r="W27" s="705">
        <f>J27</f>
        <v>100</v>
      </c>
      <c r="X27" s="1351"/>
      <c r="Y27" s="3738"/>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36"/>
      <c r="Q28" s="1339" t="str">
        <f t="shared" si="11"/>
        <v>朝向</v>
      </c>
      <c r="R28" s="700" t="s">
        <v>14</v>
      </c>
      <c r="S28" s="701">
        <f>F28</f>
        <v>100</v>
      </c>
      <c r="T28" s="700" t="s">
        <v>14</v>
      </c>
      <c r="U28" s="701">
        <f>H28</f>
        <v>100</v>
      </c>
      <c r="V28" s="700" t="s">
        <v>14</v>
      </c>
      <c r="W28" s="701">
        <f>J28</f>
        <v>100</v>
      </c>
      <c r="X28" s="702"/>
      <c r="Y28" s="3738"/>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36"/>
      <c r="Q29" s="1348">
        <f t="shared" si="11"/>
        <v>111</v>
      </c>
      <c r="R29" s="704" t="s">
        <v>14</v>
      </c>
      <c r="S29" s="705">
        <f t="shared" ref="S29:S47" si="12">F29</f>
        <v>100</v>
      </c>
      <c r="T29" s="704" t="s">
        <v>14</v>
      </c>
      <c r="U29" s="705">
        <f t="shared" ref="U29:U47" si="13">H29</f>
        <v>100</v>
      </c>
      <c r="V29" s="704" t="s">
        <v>14</v>
      </c>
      <c r="W29" s="705">
        <f t="shared" ref="W29:W47" si="14">J29</f>
        <v>100</v>
      </c>
      <c r="X29" s="1351"/>
      <c r="Y29" s="3738"/>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36"/>
      <c r="Q30" s="1348">
        <f t="shared" si="11"/>
        <v>111</v>
      </c>
      <c r="R30" s="704" t="s">
        <v>14</v>
      </c>
      <c r="S30" s="705">
        <f t="shared" si="12"/>
        <v>100</v>
      </c>
      <c r="T30" s="704" t="s">
        <v>14</v>
      </c>
      <c r="U30" s="705">
        <f t="shared" si="13"/>
        <v>100</v>
      </c>
      <c r="V30" s="704" t="s">
        <v>14</v>
      </c>
      <c r="W30" s="705">
        <f t="shared" si="14"/>
        <v>100</v>
      </c>
      <c r="X30" s="1351"/>
      <c r="Y30" s="3738"/>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36"/>
      <c r="Q31" s="1348">
        <f t="shared" si="11"/>
        <v>111</v>
      </c>
      <c r="R31" s="704" t="s">
        <v>14</v>
      </c>
      <c r="S31" s="705">
        <f t="shared" si="12"/>
        <v>100</v>
      </c>
      <c r="T31" s="704" t="s">
        <v>14</v>
      </c>
      <c r="U31" s="705">
        <f t="shared" si="13"/>
        <v>100</v>
      </c>
      <c r="V31" s="704" t="s">
        <v>14</v>
      </c>
      <c r="W31" s="705">
        <f t="shared" si="14"/>
        <v>100</v>
      </c>
      <c r="X31" s="1351"/>
      <c r="Y31" s="3738"/>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36"/>
      <c r="Q32" s="1348">
        <f t="shared" si="11"/>
        <v>111</v>
      </c>
      <c r="R32" s="704" t="s">
        <v>14</v>
      </c>
      <c r="S32" s="705">
        <f t="shared" si="12"/>
        <v>100</v>
      </c>
      <c r="T32" s="704" t="s">
        <v>14</v>
      </c>
      <c r="U32" s="705">
        <f t="shared" si="13"/>
        <v>100</v>
      </c>
      <c r="V32" s="704" t="s">
        <v>14</v>
      </c>
      <c r="W32" s="705">
        <f t="shared" si="14"/>
        <v>100</v>
      </c>
      <c r="X32" s="1351"/>
      <c r="Y32" s="3738"/>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39" t="s">
        <v>1693</v>
      </c>
      <c r="Q33" s="1348" t="str">
        <f t="shared" si="11"/>
        <v>建筑类型</v>
      </c>
      <c r="R33" s="704" t="s">
        <v>14</v>
      </c>
      <c r="S33" s="705">
        <f t="shared" si="12"/>
        <v>100</v>
      </c>
      <c r="T33" s="704" t="s">
        <v>14</v>
      </c>
      <c r="U33" s="705">
        <f t="shared" si="13"/>
        <v>100</v>
      </c>
      <c r="V33" s="704" t="s">
        <v>14</v>
      </c>
      <c r="W33" s="705">
        <f t="shared" si="14"/>
        <v>100</v>
      </c>
      <c r="X33" s="1351"/>
      <c r="Y33" s="3742"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0"/>
      <c r="Q34" s="706" t="str">
        <f t="shared" si="11"/>
        <v>项目建筑规模</v>
      </c>
      <c r="R34" s="707" t="s">
        <v>14</v>
      </c>
      <c r="S34" s="708" t="e">
        <f t="shared" si="12"/>
        <v>#N/A</v>
      </c>
      <c r="T34" s="707" t="s">
        <v>14</v>
      </c>
      <c r="U34" s="708" t="e">
        <f t="shared" si="13"/>
        <v>#N/A</v>
      </c>
      <c r="V34" s="707" t="s">
        <v>14</v>
      </c>
      <c r="W34" s="708" t="e">
        <f t="shared" si="14"/>
        <v>#N/A</v>
      </c>
      <c r="X34" s="709"/>
      <c r="Y34" s="3742"/>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0"/>
      <c r="Q35" s="1348" t="str">
        <f t="shared" si="11"/>
        <v>建筑结构</v>
      </c>
      <c r="R35" s="704" t="s">
        <v>14</v>
      </c>
      <c r="S35" s="705">
        <f t="shared" si="12"/>
        <v>100</v>
      </c>
      <c r="T35" s="704" t="s">
        <v>14</v>
      </c>
      <c r="U35" s="705">
        <f t="shared" si="13"/>
        <v>100</v>
      </c>
      <c r="V35" s="704" t="s">
        <v>14</v>
      </c>
      <c r="W35" s="705">
        <f t="shared" si="14"/>
        <v>100</v>
      </c>
      <c r="X35" s="1351"/>
      <c r="Y35" s="3742"/>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0"/>
      <c r="Q36" s="1348" t="str">
        <f t="shared" si="11"/>
        <v>公共部分装修</v>
      </c>
      <c r="R36" s="704" t="s">
        <v>14</v>
      </c>
      <c r="S36" s="705">
        <f t="shared" si="12"/>
        <v>100</v>
      </c>
      <c r="T36" s="704" t="s">
        <v>14</v>
      </c>
      <c r="U36" s="705">
        <f t="shared" si="13"/>
        <v>100</v>
      </c>
      <c r="V36" s="704" t="s">
        <v>14</v>
      </c>
      <c r="W36" s="705">
        <f t="shared" si="14"/>
        <v>100</v>
      </c>
      <c r="X36" s="1351"/>
      <c r="Y36" s="3742"/>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0"/>
      <c r="Q37" s="1348" t="str">
        <f t="shared" si="11"/>
        <v>成新度</v>
      </c>
      <c r="R37" s="704" t="s">
        <v>14</v>
      </c>
      <c r="S37" s="705" t="e">
        <f t="shared" si="12"/>
        <v>#N/A</v>
      </c>
      <c r="T37" s="704" t="s">
        <v>14</v>
      </c>
      <c r="U37" s="705" t="e">
        <f t="shared" si="13"/>
        <v>#N/A</v>
      </c>
      <c r="V37" s="704" t="s">
        <v>14</v>
      </c>
      <c r="W37" s="705" t="e">
        <f t="shared" si="14"/>
        <v>#N/A</v>
      </c>
      <c r="X37" s="1351"/>
      <c r="Y37" s="3742"/>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0"/>
      <c r="Q38" s="1339" t="str">
        <f t="shared" si="11"/>
        <v>写字楼等级</v>
      </c>
      <c r="R38" s="700" t="s">
        <v>14</v>
      </c>
      <c r="S38" s="701">
        <f t="shared" si="12"/>
        <v>100</v>
      </c>
      <c r="T38" s="700" t="s">
        <v>14</v>
      </c>
      <c r="U38" s="701">
        <f t="shared" si="13"/>
        <v>100</v>
      </c>
      <c r="V38" s="700" t="s">
        <v>14</v>
      </c>
      <c r="W38" s="701">
        <f t="shared" si="14"/>
        <v>100</v>
      </c>
      <c r="X38" s="702"/>
      <c r="Y38" s="3742"/>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0" t="s">
        <v>1693</v>
      </c>
      <c r="Q39" s="1348" t="str">
        <f t="shared" si="11"/>
        <v>物业管理</v>
      </c>
      <c r="R39" s="704" t="s">
        <v>14</v>
      </c>
      <c r="S39" s="705">
        <f t="shared" si="12"/>
        <v>100</v>
      </c>
      <c r="T39" s="704" t="s">
        <v>14</v>
      </c>
      <c r="U39" s="705">
        <f t="shared" si="13"/>
        <v>100</v>
      </c>
      <c r="V39" s="704" t="s">
        <v>14</v>
      </c>
      <c r="W39" s="705">
        <f t="shared" si="14"/>
        <v>100</v>
      </c>
      <c r="X39" s="1351"/>
      <c r="Y39" s="3742"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0"/>
      <c r="Q40" s="1348" t="str">
        <f t="shared" si="11"/>
        <v>市政基础设施</v>
      </c>
      <c r="R40" s="704" t="s">
        <v>14</v>
      </c>
      <c r="S40" s="705">
        <f t="shared" si="12"/>
        <v>100</v>
      </c>
      <c r="T40" s="704" t="s">
        <v>14</v>
      </c>
      <c r="U40" s="705">
        <f t="shared" si="13"/>
        <v>100</v>
      </c>
      <c r="V40" s="704" t="s">
        <v>14</v>
      </c>
      <c r="W40" s="705">
        <f t="shared" si="14"/>
        <v>100</v>
      </c>
      <c r="X40" s="1351"/>
      <c r="Y40" s="3742"/>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0"/>
      <c r="Q41" s="1348" t="str">
        <f t="shared" si="11"/>
        <v>层高</v>
      </c>
      <c r="R41" s="704" t="s">
        <v>14</v>
      </c>
      <c r="S41" s="705">
        <f t="shared" si="12"/>
        <v>100</v>
      </c>
      <c r="T41" s="704" t="s">
        <v>14</v>
      </c>
      <c r="U41" s="705">
        <f t="shared" si="13"/>
        <v>100</v>
      </c>
      <c r="V41" s="704" t="s">
        <v>14</v>
      </c>
      <c r="W41" s="705">
        <f t="shared" si="14"/>
        <v>100</v>
      </c>
      <c r="X41" s="1351"/>
      <c r="Y41" s="3742"/>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0"/>
      <c r="Q42" s="706" t="str">
        <f t="shared" si="11"/>
        <v>单套建筑面积</v>
      </c>
      <c r="R42" s="707" t="s">
        <v>14</v>
      </c>
      <c r="S42" s="708">
        <f t="shared" si="12"/>
        <v>100</v>
      </c>
      <c r="T42" s="707" t="s">
        <v>14</v>
      </c>
      <c r="U42" s="708">
        <f t="shared" si="13"/>
        <v>100</v>
      </c>
      <c r="V42" s="707" t="s">
        <v>14</v>
      </c>
      <c r="W42" s="708">
        <f t="shared" si="14"/>
        <v>100</v>
      </c>
      <c r="X42" s="709"/>
      <c r="Y42" s="3742"/>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0"/>
      <c r="Q43" s="1348" t="str">
        <f t="shared" si="11"/>
        <v>内部装修</v>
      </c>
      <c r="R43" s="704" t="s">
        <v>14</v>
      </c>
      <c r="S43" s="705">
        <f t="shared" si="12"/>
        <v>100</v>
      </c>
      <c r="T43" s="704" t="s">
        <v>14</v>
      </c>
      <c r="U43" s="705">
        <f t="shared" si="13"/>
        <v>100</v>
      </c>
      <c r="V43" s="704" t="s">
        <v>14</v>
      </c>
      <c r="W43" s="705">
        <f t="shared" si="14"/>
        <v>100</v>
      </c>
      <c r="X43" s="1351"/>
      <c r="Y43" s="3742"/>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0"/>
      <c r="Q44" s="1348" t="str">
        <f t="shared" si="11"/>
        <v>内部装修维护情况</v>
      </c>
      <c r="R44" s="704" t="s">
        <v>14</v>
      </c>
      <c r="S44" s="705">
        <f t="shared" si="12"/>
        <v>100</v>
      </c>
      <c r="T44" s="704" t="s">
        <v>14</v>
      </c>
      <c r="U44" s="705">
        <f t="shared" si="13"/>
        <v>100</v>
      </c>
      <c r="V44" s="704" t="s">
        <v>14</v>
      </c>
      <c r="W44" s="705">
        <f t="shared" si="14"/>
        <v>100</v>
      </c>
      <c r="X44" s="1351"/>
      <c r="Y44" s="3742"/>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0"/>
      <c r="Q45" s="1339">
        <f t="shared" si="11"/>
        <v>111</v>
      </c>
      <c r="R45" s="700" t="s">
        <v>14</v>
      </c>
      <c r="S45" s="701">
        <f t="shared" si="12"/>
        <v>100</v>
      </c>
      <c r="T45" s="700" t="s">
        <v>14</v>
      </c>
      <c r="U45" s="701">
        <f t="shared" si="13"/>
        <v>100</v>
      </c>
      <c r="V45" s="700" t="s">
        <v>14</v>
      </c>
      <c r="W45" s="701">
        <f t="shared" si="14"/>
        <v>100</v>
      </c>
      <c r="X45" s="702"/>
      <c r="Y45" s="3742"/>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0"/>
      <c r="Q46" s="1348">
        <f t="shared" si="11"/>
        <v>111</v>
      </c>
      <c r="R46" s="704" t="s">
        <v>14</v>
      </c>
      <c r="S46" s="705">
        <f t="shared" si="12"/>
        <v>100</v>
      </c>
      <c r="T46" s="704" t="s">
        <v>14</v>
      </c>
      <c r="U46" s="705">
        <f t="shared" si="13"/>
        <v>100</v>
      </c>
      <c r="V46" s="704" t="s">
        <v>14</v>
      </c>
      <c r="W46" s="705">
        <f t="shared" si="14"/>
        <v>100</v>
      </c>
      <c r="X46" s="1351"/>
      <c r="Y46" s="3742"/>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1"/>
      <c r="Q47" s="1348">
        <f t="shared" si="11"/>
        <v>111</v>
      </c>
      <c r="R47" s="704" t="s">
        <v>14</v>
      </c>
      <c r="S47" s="705">
        <f t="shared" si="12"/>
        <v>100</v>
      </c>
      <c r="T47" s="704" t="s">
        <v>14</v>
      </c>
      <c r="U47" s="705">
        <f t="shared" si="13"/>
        <v>100</v>
      </c>
      <c r="V47" s="704" t="s">
        <v>14</v>
      </c>
      <c r="W47" s="705">
        <f t="shared" si="14"/>
        <v>100</v>
      </c>
      <c r="X47" s="1351"/>
      <c r="Y47" s="3743"/>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1" t="str">
        <f>A48</f>
        <v>成交单价（元/平方米）</v>
      </c>
      <c r="Q48" s="3744"/>
      <c r="R48" s="3745">
        <f>E48</f>
        <v>0</v>
      </c>
      <c r="S48" s="3745"/>
      <c r="T48" s="3745">
        <f>G48</f>
        <v>0</v>
      </c>
      <c r="U48" s="3745"/>
      <c r="V48" s="3745">
        <f>I48</f>
        <v>0</v>
      </c>
      <c r="W48" s="3745"/>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1" t="str">
        <f>A49</f>
        <v>比较价值（元/平方米）</v>
      </c>
      <c r="Q49" s="3744"/>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2024年6月14日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22" t="s">
        <v>1767</v>
      </c>
      <c r="D4" s="3723"/>
      <c r="E4" s="3724" t="s">
        <v>1768</v>
      </c>
      <c r="F4" s="3725"/>
      <c r="G4" s="3722" t="s">
        <v>1769</v>
      </c>
      <c r="H4" s="3723"/>
      <c r="I4" s="3722" t="s">
        <v>1770</v>
      </c>
      <c r="J4" s="3723"/>
      <c r="K4" s="559" t="s">
        <v>1771</v>
      </c>
      <c r="L4" s="909"/>
      <c r="M4" s="910"/>
      <c r="N4" s="910"/>
      <c r="O4" s="910"/>
      <c r="P4" s="3726" t="s">
        <v>1772</v>
      </c>
      <c r="Q4" s="3727"/>
      <c r="R4" s="3709" t="s">
        <v>1768</v>
      </c>
      <c r="S4" s="3710"/>
      <c r="T4" s="3709" t="s">
        <v>1769</v>
      </c>
      <c r="U4" s="3710"/>
      <c r="V4" s="3706" t="s">
        <v>1770</v>
      </c>
      <c r="W4" s="3706"/>
      <c r="X4" s="1351"/>
      <c r="Y4" s="3709" t="s">
        <v>1772</v>
      </c>
      <c r="Z4" s="3710"/>
      <c r="AA4" s="3703" t="s">
        <v>1768</v>
      </c>
      <c r="AB4" s="3704" t="s">
        <v>1769</v>
      </c>
      <c r="AC4" s="3703" t="s">
        <v>1770</v>
      </c>
    </row>
    <row r="5" spans="1:29" ht="15">
      <c r="A5" s="358"/>
      <c r="B5" s="359"/>
      <c r="C5" s="3715" t="s">
        <v>1670</v>
      </c>
      <c r="D5" s="3716"/>
      <c r="E5" s="3713" t="s">
        <v>1671</v>
      </c>
      <c r="F5" s="3714"/>
      <c r="G5" s="3715" t="s">
        <v>1672</v>
      </c>
      <c r="H5" s="3716"/>
      <c r="I5" s="3715" t="s">
        <v>1673</v>
      </c>
      <c r="J5" s="3716"/>
      <c r="K5" s="559"/>
      <c r="L5" s="909"/>
      <c r="M5" s="910"/>
      <c r="N5" s="910"/>
      <c r="O5" s="910"/>
      <c r="P5" s="3728"/>
      <c r="Q5" s="3729"/>
      <c r="R5" s="3711"/>
      <c r="S5" s="3712"/>
      <c r="T5" s="3711"/>
      <c r="U5" s="3712"/>
      <c r="V5" s="3706"/>
      <c r="W5" s="3706"/>
      <c r="X5" s="1351"/>
      <c r="Y5" s="3711"/>
      <c r="Z5" s="3712"/>
      <c r="AA5" s="3704"/>
      <c r="AB5" s="3704"/>
      <c r="AC5" s="3704"/>
    </row>
    <row r="6" spans="1:29" ht="15.75" thickBot="1">
      <c r="A6" s="360"/>
      <c r="B6" s="361"/>
      <c r="C6" s="3717" t="s">
        <v>1674</v>
      </c>
      <c r="D6" s="3718"/>
      <c r="E6" s="3719" t="s">
        <v>1674</v>
      </c>
      <c r="F6" s="3720"/>
      <c r="G6" s="3717" t="s">
        <v>1674</v>
      </c>
      <c r="H6" s="3718"/>
      <c r="I6" s="3717" t="s">
        <v>1674</v>
      </c>
      <c r="J6" s="3718"/>
      <c r="K6" s="559" t="s">
        <v>1675</v>
      </c>
      <c r="L6" s="909"/>
      <c r="M6" s="910"/>
      <c r="N6" s="910"/>
      <c r="O6" s="910"/>
      <c r="P6" s="3730"/>
      <c r="Q6" s="3731"/>
      <c r="R6" s="3711"/>
      <c r="S6" s="3712"/>
      <c r="T6" s="3732"/>
      <c r="U6" s="3733"/>
      <c r="V6" s="3706"/>
      <c r="W6" s="3706"/>
      <c r="X6" s="1351"/>
      <c r="Y6" s="3732"/>
      <c r="Z6" s="3733"/>
      <c r="AA6" s="3705"/>
      <c r="AB6" s="3705"/>
      <c r="AC6" s="3705"/>
    </row>
    <row r="7" spans="1:29" s="108" customFormat="1" ht="15.75" thickBot="1">
      <c r="A7" s="362" t="s">
        <v>1676</v>
      </c>
      <c r="B7" s="363"/>
      <c r="C7" s="364">
        <f>'数据-取费表'!B2</f>
        <v>45457</v>
      </c>
      <c r="D7" s="365">
        <v>100</v>
      </c>
      <c r="E7" s="366"/>
      <c r="F7" s="367">
        <f>SUMIF(52:52,YEAR(E7)&amp;"-"&amp;MONTH(E7),53:53)</f>
        <v>0</v>
      </c>
      <c r="G7" s="366"/>
      <c r="H7" s="365">
        <f>SUMIF(52:52,YEAR(G7)&amp;"-"&amp;MONTH(G7),53:53)</f>
        <v>0</v>
      </c>
      <c r="I7" s="366"/>
      <c r="J7" s="365">
        <f>SUMIF(52:52,YEAR(I7)&amp;"-"&amp;MONTH(I7),53:53)</f>
        <v>0</v>
      </c>
      <c r="K7" s="560"/>
      <c r="L7" s="911"/>
      <c r="M7" s="912"/>
      <c r="N7" s="912"/>
      <c r="O7" s="912"/>
      <c r="P7" s="3707" t="s">
        <v>1677</v>
      </c>
      <c r="Q7" s="3734"/>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07" t="s">
        <v>1680</v>
      </c>
      <c r="Q8" s="3708"/>
      <c r="R8" s="700" t="s">
        <v>14</v>
      </c>
      <c r="S8" s="701">
        <f t="shared" si="0"/>
        <v>100</v>
      </c>
      <c r="T8" s="700" t="s">
        <v>14</v>
      </c>
      <c r="U8" s="701">
        <f t="shared" si="1"/>
        <v>100</v>
      </c>
      <c r="V8" s="700" t="s">
        <v>14</v>
      </c>
      <c r="W8" s="701">
        <f t="shared" si="2"/>
        <v>100</v>
      </c>
      <c r="X8" s="702"/>
      <c r="Y8" s="3707" t="s">
        <v>1680</v>
      </c>
      <c r="Z8" s="3708"/>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44" t="s">
        <v>1683</v>
      </c>
      <c r="Q9" s="1339" t="str">
        <f t="shared" ref="Q9:Q15" si="6">B9</f>
        <v>用途</v>
      </c>
      <c r="R9" s="700" t="s">
        <v>14</v>
      </c>
      <c r="S9" s="701">
        <f t="shared" si="0"/>
        <v>100</v>
      </c>
      <c r="T9" s="700" t="s">
        <v>14</v>
      </c>
      <c r="U9" s="701">
        <f t="shared" si="1"/>
        <v>100</v>
      </c>
      <c r="V9" s="700" t="s">
        <v>14</v>
      </c>
      <c r="W9" s="701">
        <f t="shared" si="2"/>
        <v>100</v>
      </c>
      <c r="X9" s="702"/>
      <c r="Y9" s="3669" t="s">
        <v>1684</v>
      </c>
      <c r="Z9" s="52" t="str">
        <f t="shared" ref="Z9:Z15" si="7">Q9</f>
        <v>用途</v>
      </c>
      <c r="AA9" s="703">
        <f t="shared" si="3"/>
        <v>1</v>
      </c>
      <c r="AB9" s="703">
        <f t="shared" si="4"/>
        <v>1</v>
      </c>
      <c r="AC9" s="703">
        <f t="shared" si="5"/>
        <v>1</v>
      </c>
    </row>
    <row r="10" spans="1:29" s="378" customFormat="1" ht="27">
      <c r="A10" s="374"/>
      <c r="B10" s="375" t="s">
        <v>1685</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44"/>
      <c r="Q10" s="1339" t="str">
        <f t="shared" si="6"/>
        <v>土地使用年限（年）</v>
      </c>
      <c r="R10" s="700" t="s">
        <v>14</v>
      </c>
      <c r="S10" s="701">
        <f t="shared" si="0"/>
        <v>100</v>
      </c>
      <c r="T10" s="700" t="s">
        <v>14</v>
      </c>
      <c r="U10" s="701">
        <f t="shared" si="1"/>
        <v>100</v>
      </c>
      <c r="V10" s="700" t="s">
        <v>14</v>
      </c>
      <c r="W10" s="701">
        <f t="shared" si="2"/>
        <v>100</v>
      </c>
      <c r="X10" s="702"/>
      <c r="Y10" s="3669"/>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44"/>
      <c r="Q11" s="1339" t="str">
        <f t="shared" si="6"/>
        <v>容积率</v>
      </c>
      <c r="R11" s="700" t="s">
        <v>14</v>
      </c>
      <c r="S11" s="701">
        <f t="shared" si="0"/>
        <v>100</v>
      </c>
      <c r="T11" s="700" t="s">
        <v>14</v>
      </c>
      <c r="U11" s="701">
        <f t="shared" si="1"/>
        <v>100</v>
      </c>
      <c r="V11" s="700" t="s">
        <v>14</v>
      </c>
      <c r="W11" s="701">
        <f t="shared" si="2"/>
        <v>100</v>
      </c>
      <c r="X11" s="702"/>
      <c r="Y11" s="3669"/>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44"/>
      <c r="Q12" s="1339">
        <f t="shared" si="6"/>
        <v>111</v>
      </c>
      <c r="R12" s="700" t="s">
        <v>14</v>
      </c>
      <c r="S12" s="701">
        <f t="shared" si="0"/>
        <v>100</v>
      </c>
      <c r="T12" s="700" t="s">
        <v>14</v>
      </c>
      <c r="U12" s="701">
        <f t="shared" si="1"/>
        <v>100</v>
      </c>
      <c r="V12" s="700" t="s">
        <v>14</v>
      </c>
      <c r="W12" s="701">
        <f t="shared" si="2"/>
        <v>100</v>
      </c>
      <c r="X12" s="702"/>
      <c r="Y12" s="3669"/>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44"/>
      <c r="Q13" s="1339">
        <f t="shared" si="6"/>
        <v>111</v>
      </c>
      <c r="R13" s="700" t="s">
        <v>14</v>
      </c>
      <c r="S13" s="701">
        <f t="shared" si="0"/>
        <v>100</v>
      </c>
      <c r="T13" s="700" t="s">
        <v>14</v>
      </c>
      <c r="U13" s="701">
        <f t="shared" si="1"/>
        <v>100</v>
      </c>
      <c r="V13" s="700" t="s">
        <v>14</v>
      </c>
      <c r="W13" s="701">
        <f t="shared" si="2"/>
        <v>100</v>
      </c>
      <c r="X13" s="702"/>
      <c r="Y13" s="3669"/>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44"/>
      <c r="Q14" s="1339">
        <f t="shared" si="6"/>
        <v>111</v>
      </c>
      <c r="R14" s="700" t="s">
        <v>14</v>
      </c>
      <c r="S14" s="701">
        <f t="shared" si="0"/>
        <v>100</v>
      </c>
      <c r="T14" s="700" t="s">
        <v>14</v>
      </c>
      <c r="U14" s="701">
        <f t="shared" si="1"/>
        <v>100</v>
      </c>
      <c r="V14" s="700" t="s">
        <v>14</v>
      </c>
      <c r="W14" s="701">
        <f t="shared" si="2"/>
        <v>100</v>
      </c>
      <c r="X14" s="702"/>
      <c r="Y14" s="3669"/>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37" t="s">
        <v>1688</v>
      </c>
      <c r="Q15" s="1348" t="str">
        <f t="shared" si="6"/>
        <v>产业集聚程度</v>
      </c>
      <c r="R15" s="704" t="s">
        <v>14</v>
      </c>
      <c r="S15" s="705">
        <f t="shared" si="0"/>
        <v>100</v>
      </c>
      <c r="T15" s="704" t="s">
        <v>14</v>
      </c>
      <c r="U15" s="705">
        <f t="shared" si="1"/>
        <v>100</v>
      </c>
      <c r="V15" s="704" t="s">
        <v>14</v>
      </c>
      <c r="W15" s="705">
        <f t="shared" si="2"/>
        <v>100</v>
      </c>
      <c r="X15" s="1351"/>
      <c r="Y15" s="3737"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38"/>
      <c r="Q16" s="1348"/>
      <c r="R16" s="704"/>
      <c r="S16" s="705"/>
      <c r="T16" s="704"/>
      <c r="U16" s="705"/>
      <c r="V16" s="704"/>
      <c r="W16" s="705"/>
      <c r="X16" s="1351"/>
      <c r="Y16" s="3738"/>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38"/>
      <c r="Q17" s="1348" t="str">
        <f>B17</f>
        <v>交通便捷度</v>
      </c>
      <c r="R17" s="704" t="s">
        <v>14</v>
      </c>
      <c r="S17" s="705">
        <f>F17</f>
        <v>100</v>
      </c>
      <c r="T17" s="704" t="s">
        <v>14</v>
      </c>
      <c r="U17" s="705">
        <f>H17</f>
        <v>100</v>
      </c>
      <c r="V17" s="704" t="s">
        <v>14</v>
      </c>
      <c r="W17" s="705">
        <f>J17</f>
        <v>100</v>
      </c>
      <c r="X17" s="1351"/>
      <c r="Y17" s="373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38"/>
      <c r="Q18" s="1348"/>
      <c r="R18" s="704"/>
      <c r="S18" s="705"/>
      <c r="T18" s="704"/>
      <c r="U18" s="705"/>
      <c r="V18" s="704"/>
      <c r="W18" s="705"/>
      <c r="X18" s="1351"/>
      <c r="Y18" s="3738"/>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38"/>
      <c r="Q19" s="1348" t="str">
        <f>B19</f>
        <v>公共配套设施</v>
      </c>
      <c r="R19" s="704" t="s">
        <v>14</v>
      </c>
      <c r="S19" s="705">
        <f>F19</f>
        <v>100</v>
      </c>
      <c r="T19" s="704" t="s">
        <v>14</v>
      </c>
      <c r="U19" s="705">
        <f>H19</f>
        <v>100</v>
      </c>
      <c r="V19" s="704" t="s">
        <v>14</v>
      </c>
      <c r="W19" s="705">
        <f>J19</f>
        <v>100</v>
      </c>
      <c r="X19" s="1351"/>
      <c r="Y19" s="373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38"/>
      <c r="Q20" s="1348"/>
      <c r="R20" s="704"/>
      <c r="S20" s="705"/>
      <c r="T20" s="704"/>
      <c r="U20" s="705"/>
      <c r="V20" s="704"/>
      <c r="W20" s="705"/>
      <c r="X20" s="1351"/>
      <c r="Y20" s="3738"/>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38"/>
      <c r="Q21" s="1348" t="str">
        <f>B21</f>
        <v>基础设施水平</v>
      </c>
      <c r="R21" s="704" t="s">
        <v>14</v>
      </c>
      <c r="S21" s="705">
        <f>F21</f>
        <v>100</v>
      </c>
      <c r="T21" s="704" t="s">
        <v>14</v>
      </c>
      <c r="U21" s="705">
        <f>H21</f>
        <v>100</v>
      </c>
      <c r="V21" s="704" t="s">
        <v>14</v>
      </c>
      <c r="W21" s="705">
        <f>J21</f>
        <v>100</v>
      </c>
      <c r="X21" s="1351"/>
      <c r="Y21" s="373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38"/>
      <c r="Q22" s="1348"/>
      <c r="R22" s="704"/>
      <c r="S22" s="705"/>
      <c r="T22" s="704"/>
      <c r="U22" s="705"/>
      <c r="V22" s="704"/>
      <c r="W22" s="705"/>
      <c r="X22" s="1351"/>
      <c r="Y22" s="3738"/>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38"/>
      <c r="Q23" s="1348" t="str">
        <f>B23</f>
        <v>环境质量</v>
      </c>
      <c r="R23" s="704" t="s">
        <v>14</v>
      </c>
      <c r="S23" s="705">
        <f>F23</f>
        <v>100</v>
      </c>
      <c r="T23" s="704" t="s">
        <v>14</v>
      </c>
      <c r="U23" s="705">
        <f>H23</f>
        <v>100</v>
      </c>
      <c r="V23" s="704" t="s">
        <v>14</v>
      </c>
      <c r="W23" s="705">
        <f>J23</f>
        <v>100</v>
      </c>
      <c r="X23" s="1351"/>
      <c r="Y23" s="3738"/>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38"/>
      <c r="Q24" s="1348"/>
      <c r="R24" s="704"/>
      <c r="S24" s="705"/>
      <c r="T24" s="704"/>
      <c r="U24" s="705"/>
      <c r="V24" s="704"/>
      <c r="W24" s="705"/>
      <c r="X24" s="1351"/>
      <c r="Y24" s="3738"/>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38"/>
      <c r="Q25" s="1348">
        <f>B25</f>
        <v>111</v>
      </c>
      <c r="R25" s="704" t="s">
        <v>14</v>
      </c>
      <c r="S25" s="705">
        <f>F25</f>
        <v>100</v>
      </c>
      <c r="T25" s="704" t="s">
        <v>14</v>
      </c>
      <c r="U25" s="705">
        <f>H25</f>
        <v>100</v>
      </c>
      <c r="V25" s="704" t="s">
        <v>14</v>
      </c>
      <c r="W25" s="705">
        <f>J25</f>
        <v>100</v>
      </c>
      <c r="X25" s="1351"/>
      <c r="Y25" s="3738"/>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38"/>
      <c r="Q26" s="1348">
        <f t="shared" ref="Q26:Q40" si="11">B26</f>
        <v>111</v>
      </c>
      <c r="R26" s="704" t="s">
        <v>14</v>
      </c>
      <c r="S26" s="705">
        <f>F26</f>
        <v>100</v>
      </c>
      <c r="T26" s="704" t="s">
        <v>14</v>
      </c>
      <c r="U26" s="705">
        <f>H26</f>
        <v>100</v>
      </c>
      <c r="V26" s="704" t="s">
        <v>14</v>
      </c>
      <c r="W26" s="705">
        <f>J26</f>
        <v>100</v>
      </c>
      <c r="X26" s="1351"/>
      <c r="Y26" s="3738"/>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38"/>
      <c r="Q27" s="1339">
        <f t="shared" si="11"/>
        <v>111</v>
      </c>
      <c r="R27" s="700" t="s">
        <v>14</v>
      </c>
      <c r="S27" s="701">
        <f>F27</f>
        <v>100</v>
      </c>
      <c r="T27" s="700" t="s">
        <v>14</v>
      </c>
      <c r="U27" s="701">
        <f>H27</f>
        <v>100</v>
      </c>
      <c r="V27" s="700" t="s">
        <v>14</v>
      </c>
      <c r="W27" s="701">
        <f>J27</f>
        <v>100</v>
      </c>
      <c r="X27" s="702"/>
      <c r="Y27" s="3738"/>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38"/>
      <c r="Q28" s="1348">
        <f t="shared" si="11"/>
        <v>111</v>
      </c>
      <c r="R28" s="704" t="s">
        <v>14</v>
      </c>
      <c r="S28" s="705">
        <f t="shared" ref="S28:S40" si="12">F28</f>
        <v>100</v>
      </c>
      <c r="T28" s="704" t="s">
        <v>14</v>
      </c>
      <c r="U28" s="705">
        <f t="shared" ref="U28:U40" si="13">H28</f>
        <v>100</v>
      </c>
      <c r="V28" s="704" t="s">
        <v>14</v>
      </c>
      <c r="W28" s="705">
        <f t="shared" ref="W28:W40" si="14">J28</f>
        <v>100</v>
      </c>
      <c r="X28" s="1351"/>
      <c r="Y28" s="3738"/>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3" t="s">
        <v>1693</v>
      </c>
      <c r="Q29" s="1348" t="str">
        <f t="shared" si="11"/>
        <v>建筑类型</v>
      </c>
      <c r="R29" s="704" t="s">
        <v>14</v>
      </c>
      <c r="S29" s="705">
        <f t="shared" si="12"/>
        <v>100</v>
      </c>
      <c r="T29" s="704" t="s">
        <v>14</v>
      </c>
      <c r="U29" s="705">
        <f t="shared" si="13"/>
        <v>100</v>
      </c>
      <c r="V29" s="704" t="s">
        <v>14</v>
      </c>
      <c r="W29" s="705">
        <f t="shared" si="14"/>
        <v>100</v>
      </c>
      <c r="X29" s="1351"/>
      <c r="Y29" s="3742"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42"/>
      <c r="Q30" s="706" t="str">
        <f t="shared" si="11"/>
        <v>项目建筑规模</v>
      </c>
      <c r="R30" s="707" t="s">
        <v>14</v>
      </c>
      <c r="S30" s="708" t="e">
        <f t="shared" si="12"/>
        <v>#N/A</v>
      </c>
      <c r="T30" s="707" t="s">
        <v>14</v>
      </c>
      <c r="U30" s="708" t="e">
        <f t="shared" si="13"/>
        <v>#N/A</v>
      </c>
      <c r="V30" s="707" t="s">
        <v>14</v>
      </c>
      <c r="W30" s="708" t="e">
        <f t="shared" si="14"/>
        <v>#N/A</v>
      </c>
      <c r="X30" s="709"/>
      <c r="Y30" s="3742"/>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42"/>
      <c r="Q31" s="1348" t="str">
        <f t="shared" si="11"/>
        <v>建筑结构</v>
      </c>
      <c r="R31" s="704" t="s">
        <v>14</v>
      </c>
      <c r="S31" s="705">
        <f t="shared" si="12"/>
        <v>100</v>
      </c>
      <c r="T31" s="704" t="s">
        <v>14</v>
      </c>
      <c r="U31" s="705">
        <f t="shared" si="13"/>
        <v>100</v>
      </c>
      <c r="V31" s="704" t="s">
        <v>14</v>
      </c>
      <c r="W31" s="705">
        <f t="shared" si="14"/>
        <v>100</v>
      </c>
      <c r="X31" s="1351"/>
      <c r="Y31" s="3742"/>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42"/>
      <c r="Q32" s="1348" t="str">
        <f t="shared" si="11"/>
        <v>公共部分装修</v>
      </c>
      <c r="R32" s="704" t="s">
        <v>14</v>
      </c>
      <c r="S32" s="705">
        <f t="shared" si="12"/>
        <v>100</v>
      </c>
      <c r="T32" s="704" t="s">
        <v>14</v>
      </c>
      <c r="U32" s="705">
        <f t="shared" si="13"/>
        <v>100</v>
      </c>
      <c r="V32" s="704" t="s">
        <v>14</v>
      </c>
      <c r="W32" s="705">
        <f t="shared" si="14"/>
        <v>100</v>
      </c>
      <c r="X32" s="1351"/>
      <c r="Y32" s="3742"/>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42"/>
      <c r="Q33" s="1348" t="str">
        <f t="shared" si="11"/>
        <v>成新度</v>
      </c>
      <c r="R33" s="704" t="s">
        <v>14</v>
      </c>
      <c r="S33" s="705" t="e">
        <f t="shared" si="12"/>
        <v>#N/A</v>
      </c>
      <c r="T33" s="704" t="s">
        <v>14</v>
      </c>
      <c r="U33" s="705" t="e">
        <f t="shared" si="13"/>
        <v>#N/A</v>
      </c>
      <c r="V33" s="704" t="s">
        <v>14</v>
      </c>
      <c r="W33" s="705" t="e">
        <f t="shared" si="14"/>
        <v>#N/A</v>
      </c>
      <c r="X33" s="1351"/>
      <c r="Y33" s="3742"/>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42"/>
      <c r="Q34" s="1339" t="str">
        <f t="shared" si="11"/>
        <v>物业管理</v>
      </c>
      <c r="R34" s="700" t="s">
        <v>14</v>
      </c>
      <c r="S34" s="701">
        <f t="shared" si="12"/>
        <v>100</v>
      </c>
      <c r="T34" s="700" t="s">
        <v>14</v>
      </c>
      <c r="U34" s="701">
        <f t="shared" si="13"/>
        <v>100</v>
      </c>
      <c r="V34" s="700" t="s">
        <v>14</v>
      </c>
      <c r="W34" s="701">
        <f t="shared" si="14"/>
        <v>100</v>
      </c>
      <c r="X34" s="702"/>
      <c r="Y34" s="3742"/>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42" t="s">
        <v>1693</v>
      </c>
      <c r="Q35" s="1348" t="str">
        <f t="shared" si="11"/>
        <v>市政基础设施</v>
      </c>
      <c r="R35" s="704" t="s">
        <v>14</v>
      </c>
      <c r="S35" s="705">
        <f t="shared" si="12"/>
        <v>100</v>
      </c>
      <c r="T35" s="704" t="s">
        <v>14</v>
      </c>
      <c r="U35" s="705">
        <f t="shared" si="13"/>
        <v>100</v>
      </c>
      <c r="V35" s="704" t="s">
        <v>14</v>
      </c>
      <c r="W35" s="705">
        <f t="shared" si="14"/>
        <v>100</v>
      </c>
      <c r="X35" s="1351"/>
      <c r="Y35" s="3742"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42"/>
      <c r="Q36" s="1348" t="str">
        <f t="shared" si="11"/>
        <v>内部装修</v>
      </c>
      <c r="R36" s="704" t="s">
        <v>14</v>
      </c>
      <c r="S36" s="705">
        <f t="shared" si="12"/>
        <v>100</v>
      </c>
      <c r="T36" s="704" t="s">
        <v>14</v>
      </c>
      <c r="U36" s="705">
        <f t="shared" si="13"/>
        <v>100</v>
      </c>
      <c r="V36" s="704" t="s">
        <v>14</v>
      </c>
      <c r="W36" s="705">
        <f t="shared" si="14"/>
        <v>100</v>
      </c>
      <c r="X36" s="1351"/>
      <c r="Y36" s="3742"/>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42"/>
      <c r="Q37" s="1348" t="str">
        <f t="shared" si="11"/>
        <v>内部装修状况</v>
      </c>
      <c r="R37" s="704" t="s">
        <v>14</v>
      </c>
      <c r="S37" s="705">
        <f t="shared" si="12"/>
        <v>100</v>
      </c>
      <c r="T37" s="704" t="s">
        <v>14</v>
      </c>
      <c r="U37" s="705">
        <f t="shared" si="13"/>
        <v>100</v>
      </c>
      <c r="V37" s="704" t="s">
        <v>14</v>
      </c>
      <c r="W37" s="705">
        <f t="shared" si="14"/>
        <v>100</v>
      </c>
      <c r="X37" s="1351"/>
      <c r="Y37" s="3742"/>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42"/>
      <c r="Q38" s="706">
        <f t="shared" si="11"/>
        <v>111</v>
      </c>
      <c r="R38" s="707" t="s">
        <v>14</v>
      </c>
      <c r="S38" s="708">
        <f t="shared" si="12"/>
        <v>100</v>
      </c>
      <c r="T38" s="707" t="s">
        <v>14</v>
      </c>
      <c r="U38" s="708">
        <f t="shared" si="13"/>
        <v>100</v>
      </c>
      <c r="V38" s="707" t="s">
        <v>14</v>
      </c>
      <c r="W38" s="708">
        <f t="shared" si="14"/>
        <v>100</v>
      </c>
      <c r="X38" s="709"/>
      <c r="Y38" s="3742"/>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42"/>
      <c r="Q39" s="1348">
        <f t="shared" si="11"/>
        <v>111</v>
      </c>
      <c r="R39" s="704" t="s">
        <v>14</v>
      </c>
      <c r="S39" s="705">
        <f t="shared" si="12"/>
        <v>100</v>
      </c>
      <c r="T39" s="704" t="s">
        <v>14</v>
      </c>
      <c r="U39" s="705">
        <f t="shared" si="13"/>
        <v>100</v>
      </c>
      <c r="V39" s="704" t="s">
        <v>14</v>
      </c>
      <c r="W39" s="705">
        <f t="shared" si="14"/>
        <v>100</v>
      </c>
      <c r="X39" s="1351"/>
      <c r="Y39" s="3742"/>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43"/>
      <c r="Q40" s="1348">
        <f t="shared" si="11"/>
        <v>111</v>
      </c>
      <c r="R40" s="704" t="s">
        <v>14</v>
      </c>
      <c r="S40" s="705">
        <f t="shared" si="12"/>
        <v>100</v>
      </c>
      <c r="T40" s="704" t="s">
        <v>14</v>
      </c>
      <c r="U40" s="705">
        <f t="shared" si="13"/>
        <v>100</v>
      </c>
      <c r="V40" s="704" t="s">
        <v>14</v>
      </c>
      <c r="W40" s="705">
        <f t="shared" si="14"/>
        <v>100</v>
      </c>
      <c r="X40" s="1351"/>
      <c r="Y40" s="3743"/>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44" t="str">
        <f>A41</f>
        <v>成交单价（元/平方米）</v>
      </c>
      <c r="Q41" s="3744"/>
      <c r="R41" s="3745">
        <f>E41</f>
        <v>0</v>
      </c>
      <c r="S41" s="3745"/>
      <c r="T41" s="3745">
        <f>G41</f>
        <v>0</v>
      </c>
      <c r="U41" s="3745"/>
      <c r="V41" s="3745">
        <f>I41</f>
        <v>0</v>
      </c>
      <c r="W41" s="3745"/>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9"/>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22" t="s">
        <v>1767</v>
      </c>
      <c r="D4" s="3723"/>
      <c r="E4" s="3724" t="s">
        <v>1768</v>
      </c>
      <c r="F4" s="3725"/>
      <c r="G4" s="3722" t="s">
        <v>1769</v>
      </c>
      <c r="H4" s="3723"/>
      <c r="I4" s="3722" t="s">
        <v>1770</v>
      </c>
      <c r="J4" s="3723"/>
      <c r="K4" s="559" t="s">
        <v>1771</v>
      </c>
      <c r="L4" s="2711"/>
      <c r="M4" s="2712"/>
      <c r="N4" s="2712"/>
      <c r="O4" s="2712"/>
      <c r="P4" s="3726" t="s">
        <v>1772</v>
      </c>
      <c r="Q4" s="3727"/>
      <c r="R4" s="3709" t="s">
        <v>1768</v>
      </c>
      <c r="S4" s="3710"/>
      <c r="T4" s="3709" t="s">
        <v>1769</v>
      </c>
      <c r="U4" s="3710"/>
      <c r="V4" s="3706" t="s">
        <v>1770</v>
      </c>
      <c r="W4" s="3706"/>
      <c r="X4" s="1351"/>
      <c r="Y4" s="3709" t="s">
        <v>1772</v>
      </c>
      <c r="Z4" s="3710"/>
      <c r="AA4" s="3703" t="s">
        <v>1768</v>
      </c>
      <c r="AB4" s="3704" t="s">
        <v>1769</v>
      </c>
      <c r="AC4" s="3703" t="s">
        <v>1770</v>
      </c>
    </row>
    <row r="5" spans="1:29" ht="15">
      <c r="A5" s="358"/>
      <c r="B5" s="359"/>
      <c r="C5" s="3715" t="s">
        <v>1670</v>
      </c>
      <c r="D5" s="3716"/>
      <c r="E5" s="3713" t="s">
        <v>1671</v>
      </c>
      <c r="F5" s="3714"/>
      <c r="G5" s="3715" t="s">
        <v>1672</v>
      </c>
      <c r="H5" s="3716"/>
      <c r="I5" s="3715" t="s">
        <v>1673</v>
      </c>
      <c r="J5" s="3716"/>
      <c r="K5" s="559"/>
      <c r="L5" s="2711"/>
      <c r="M5" s="2712"/>
      <c r="N5" s="2712"/>
      <c r="O5" s="2712"/>
      <c r="P5" s="3728"/>
      <c r="Q5" s="3729"/>
      <c r="R5" s="3711"/>
      <c r="S5" s="3712"/>
      <c r="T5" s="3711"/>
      <c r="U5" s="3712"/>
      <c r="V5" s="3706"/>
      <c r="W5" s="3706"/>
      <c r="X5" s="1351"/>
      <c r="Y5" s="3711"/>
      <c r="Z5" s="3712"/>
      <c r="AA5" s="3704"/>
      <c r="AB5" s="3704"/>
      <c r="AC5" s="3704"/>
    </row>
    <row r="6" spans="1:29" ht="15.75" thickBot="1">
      <c r="A6" s="360"/>
      <c r="B6" s="361"/>
      <c r="C6" s="3717" t="s">
        <v>1674</v>
      </c>
      <c r="D6" s="3718"/>
      <c r="E6" s="3719" t="s">
        <v>1674</v>
      </c>
      <c r="F6" s="3720"/>
      <c r="G6" s="3717" t="s">
        <v>1674</v>
      </c>
      <c r="H6" s="3718"/>
      <c r="I6" s="3717" t="s">
        <v>1674</v>
      </c>
      <c r="J6" s="3718"/>
      <c r="K6" s="559" t="s">
        <v>1675</v>
      </c>
      <c r="L6" s="2711"/>
      <c r="M6" s="2712"/>
      <c r="N6" s="2712"/>
      <c r="O6" s="2712"/>
      <c r="P6" s="3730"/>
      <c r="Q6" s="3731"/>
      <c r="R6" s="3711"/>
      <c r="S6" s="3712"/>
      <c r="T6" s="3732"/>
      <c r="U6" s="3733"/>
      <c r="V6" s="3706"/>
      <c r="W6" s="3706"/>
      <c r="X6" s="1351"/>
      <c r="Y6" s="3732"/>
      <c r="Z6" s="3733"/>
      <c r="AA6" s="3705"/>
      <c r="AB6" s="3705"/>
      <c r="AC6" s="3705"/>
    </row>
    <row r="7" spans="1:29" s="108" customFormat="1" ht="15.75" thickBot="1">
      <c r="A7" s="362" t="s">
        <v>1676</v>
      </c>
      <c r="B7" s="363"/>
      <c r="C7" s="364">
        <f>'数据-取费表'!B2</f>
        <v>45457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7" t="s">
        <v>1677</v>
      </c>
      <c r="Q7" s="3734"/>
      <c r="R7" s="700" t="s">
        <v>14</v>
      </c>
      <c r="S7" s="701">
        <f t="shared" ref="S7:S14" si="0">F7</f>
        <v>0</v>
      </c>
      <c r="T7" s="700" t="s">
        <v>14</v>
      </c>
      <c r="U7" s="701">
        <f t="shared" ref="U7:U14" si="1">H7</f>
        <v>0</v>
      </c>
      <c r="V7" s="700" t="s">
        <v>14</v>
      </c>
      <c r="W7" s="701">
        <f t="shared" ref="W7:W14"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7" t="s">
        <v>1680</v>
      </c>
      <c r="Q8" s="3708"/>
      <c r="R8" s="700" t="s">
        <v>14</v>
      </c>
      <c r="S8" s="701">
        <f t="shared" si="0"/>
        <v>100</v>
      </c>
      <c r="T8" s="700" t="s">
        <v>14</v>
      </c>
      <c r="U8" s="701">
        <f t="shared" si="1"/>
        <v>100</v>
      </c>
      <c r="V8" s="700" t="s">
        <v>14</v>
      </c>
      <c r="W8" s="701">
        <f t="shared" si="2"/>
        <v>100</v>
      </c>
      <c r="X8" s="702"/>
      <c r="Y8" s="3707" t="s">
        <v>1680</v>
      </c>
      <c r="Z8" s="3708"/>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44" t="s">
        <v>1683</v>
      </c>
      <c r="Q9" s="1339" t="str">
        <f t="shared" ref="Q9:Q14" si="6">B9</f>
        <v>用途</v>
      </c>
      <c r="R9" s="700" t="s">
        <v>14</v>
      </c>
      <c r="S9" s="701">
        <f t="shared" si="0"/>
        <v>100</v>
      </c>
      <c r="T9" s="700" t="s">
        <v>14</v>
      </c>
      <c r="U9" s="701">
        <f t="shared" si="1"/>
        <v>100</v>
      </c>
      <c r="V9" s="700" t="s">
        <v>14</v>
      </c>
      <c r="W9" s="701">
        <f t="shared" si="2"/>
        <v>100</v>
      </c>
      <c r="X9" s="702"/>
      <c r="Y9" s="3669" t="s">
        <v>1684</v>
      </c>
      <c r="Z9" s="52" t="str">
        <f t="shared" ref="Z9:Z14" si="7">Q9</f>
        <v>用途</v>
      </c>
      <c r="AA9" s="703">
        <f t="shared" si="3"/>
        <v>1</v>
      </c>
      <c r="AB9" s="703">
        <f t="shared" si="4"/>
        <v>1</v>
      </c>
      <c r="AC9" s="703">
        <f t="shared" si="5"/>
        <v>1</v>
      </c>
    </row>
    <row r="10" spans="1:29" s="378" customFormat="1" ht="27">
      <c r="A10" s="588"/>
      <c r="B10" s="589" t="s">
        <v>1685</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44"/>
      <c r="Q10" s="1339" t="str">
        <f t="shared" si="6"/>
        <v>土地使用年限（年）</v>
      </c>
      <c r="R10" s="700" t="s">
        <v>14</v>
      </c>
      <c r="S10" s="701">
        <f t="shared" si="0"/>
        <v>100</v>
      </c>
      <c r="T10" s="700" t="s">
        <v>14</v>
      </c>
      <c r="U10" s="701">
        <f t="shared" si="1"/>
        <v>100</v>
      </c>
      <c r="V10" s="700" t="s">
        <v>14</v>
      </c>
      <c r="W10" s="701">
        <f t="shared" si="2"/>
        <v>100</v>
      </c>
      <c r="X10" s="702"/>
      <c r="Y10" s="366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44"/>
      <c r="Q11" s="1339">
        <f t="shared" si="6"/>
        <v>111</v>
      </c>
      <c r="R11" s="700" t="s">
        <v>14</v>
      </c>
      <c r="S11" s="701">
        <f t="shared" si="0"/>
        <v>100</v>
      </c>
      <c r="T11" s="700" t="s">
        <v>14</v>
      </c>
      <c r="U11" s="701">
        <f t="shared" si="1"/>
        <v>100</v>
      </c>
      <c r="V11" s="700" t="s">
        <v>14</v>
      </c>
      <c r="W11" s="701">
        <f t="shared" si="2"/>
        <v>100</v>
      </c>
      <c r="X11" s="702"/>
      <c r="Y11" s="366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44"/>
      <c r="Q12" s="1339">
        <f t="shared" si="6"/>
        <v>111</v>
      </c>
      <c r="R12" s="700" t="s">
        <v>14</v>
      </c>
      <c r="S12" s="701">
        <f t="shared" si="0"/>
        <v>100</v>
      </c>
      <c r="T12" s="700" t="s">
        <v>14</v>
      </c>
      <c r="U12" s="701">
        <f t="shared" si="1"/>
        <v>100</v>
      </c>
      <c r="V12" s="700" t="s">
        <v>14</v>
      </c>
      <c r="W12" s="701">
        <f t="shared" si="2"/>
        <v>100</v>
      </c>
      <c r="X12" s="702"/>
      <c r="Y12" s="366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44"/>
      <c r="Q13" s="1339">
        <f t="shared" si="6"/>
        <v>111</v>
      </c>
      <c r="R13" s="700" t="s">
        <v>14</v>
      </c>
      <c r="S13" s="701">
        <f t="shared" si="0"/>
        <v>100</v>
      </c>
      <c r="T13" s="700" t="s">
        <v>14</v>
      </c>
      <c r="U13" s="701">
        <f t="shared" si="1"/>
        <v>100</v>
      </c>
      <c r="V13" s="700" t="s">
        <v>14</v>
      </c>
      <c r="W13" s="701">
        <f t="shared" si="2"/>
        <v>100</v>
      </c>
      <c r="X13" s="702"/>
      <c r="Y13" s="3669"/>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7" t="s">
        <v>1688</v>
      </c>
      <c r="Q14" s="1348" t="str">
        <f t="shared" si="6"/>
        <v>交通便捷度</v>
      </c>
      <c r="R14" s="704" t="s">
        <v>14</v>
      </c>
      <c r="S14" s="705">
        <f t="shared" si="0"/>
        <v>100</v>
      </c>
      <c r="T14" s="704" t="s">
        <v>14</v>
      </c>
      <c r="U14" s="705">
        <f t="shared" si="1"/>
        <v>100</v>
      </c>
      <c r="V14" s="704" t="s">
        <v>14</v>
      </c>
      <c r="W14" s="705">
        <f t="shared" si="2"/>
        <v>100</v>
      </c>
      <c r="X14" s="1351"/>
      <c r="Y14" s="3737"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38"/>
      <c r="Q15" s="1348"/>
      <c r="R15" s="704"/>
      <c r="S15" s="705"/>
      <c r="T15" s="704"/>
      <c r="U15" s="705"/>
      <c r="V15" s="704"/>
      <c r="W15" s="705"/>
      <c r="X15" s="1351"/>
      <c r="Y15" s="3738"/>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8"/>
      <c r="Q16" s="1348" t="str">
        <f>B16</f>
        <v>公共配套设施</v>
      </c>
      <c r="R16" s="704" t="s">
        <v>14</v>
      </c>
      <c r="S16" s="705">
        <f>F16</f>
        <v>100</v>
      </c>
      <c r="T16" s="704" t="s">
        <v>14</v>
      </c>
      <c r="U16" s="705">
        <f>H16</f>
        <v>100</v>
      </c>
      <c r="V16" s="704" t="s">
        <v>14</v>
      </c>
      <c r="W16" s="705">
        <f>J16</f>
        <v>100</v>
      </c>
      <c r="X16" s="1351"/>
      <c r="Y16" s="3738"/>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38"/>
      <c r="Q17" s="1348"/>
      <c r="R17" s="704"/>
      <c r="S17" s="705"/>
      <c r="T17" s="704"/>
      <c r="U17" s="705"/>
      <c r="V17" s="704"/>
      <c r="W17" s="705"/>
      <c r="X17" s="1351"/>
      <c r="Y17" s="3738"/>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8"/>
      <c r="Q18" s="1348" t="str">
        <f>B18</f>
        <v>基础设施水平</v>
      </c>
      <c r="R18" s="704" t="s">
        <v>14</v>
      </c>
      <c r="S18" s="705">
        <f>F18</f>
        <v>100</v>
      </c>
      <c r="T18" s="704" t="s">
        <v>14</v>
      </c>
      <c r="U18" s="705">
        <f>H18</f>
        <v>100</v>
      </c>
      <c r="V18" s="704" t="s">
        <v>14</v>
      </c>
      <c r="W18" s="705">
        <f>J18</f>
        <v>100</v>
      </c>
      <c r="X18" s="1351"/>
      <c r="Y18" s="3738"/>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38"/>
      <c r="Q19" s="1348"/>
      <c r="R19" s="704"/>
      <c r="S19" s="705"/>
      <c r="T19" s="704"/>
      <c r="U19" s="705"/>
      <c r="V19" s="704"/>
      <c r="W19" s="705"/>
      <c r="X19" s="1351"/>
      <c r="Y19" s="3738"/>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8"/>
      <c r="Q20" s="1348" t="str">
        <f>B20</f>
        <v>自然及人文环境</v>
      </c>
      <c r="R20" s="704" t="s">
        <v>14</v>
      </c>
      <c r="S20" s="705">
        <f>F20</f>
        <v>100</v>
      </c>
      <c r="T20" s="704" t="s">
        <v>14</v>
      </c>
      <c r="U20" s="705">
        <f>H20</f>
        <v>100</v>
      </c>
      <c r="V20" s="704" t="s">
        <v>14</v>
      </c>
      <c r="W20" s="705">
        <f>J20</f>
        <v>100</v>
      </c>
      <c r="X20" s="1351"/>
      <c r="Y20" s="3738"/>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38"/>
      <c r="Q21" s="1348"/>
      <c r="R21" s="704"/>
      <c r="S21" s="705"/>
      <c r="T21" s="704"/>
      <c r="U21" s="705"/>
      <c r="V21" s="704"/>
      <c r="W21" s="705"/>
      <c r="X21" s="1351"/>
      <c r="Y21" s="3738"/>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8"/>
      <c r="Q22" s="1348" t="str">
        <f>B22</f>
        <v>楼层</v>
      </c>
      <c r="R22" s="704" t="s">
        <v>14</v>
      </c>
      <c r="S22" s="705">
        <f>F22</f>
        <v>100</v>
      </c>
      <c r="T22" s="704" t="s">
        <v>14</v>
      </c>
      <c r="U22" s="705">
        <f>H22</f>
        <v>100</v>
      </c>
      <c r="V22" s="704" t="s">
        <v>14</v>
      </c>
      <c r="W22" s="705">
        <f>J22</f>
        <v>100</v>
      </c>
      <c r="X22" s="1351"/>
      <c r="Y22" s="3738"/>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8"/>
      <c r="Q23" s="1348">
        <f>B23</f>
        <v>111</v>
      </c>
      <c r="R23" s="704" t="s">
        <v>14</v>
      </c>
      <c r="S23" s="705">
        <f>F23</f>
        <v>100</v>
      </c>
      <c r="T23" s="704" t="s">
        <v>14</v>
      </c>
      <c r="U23" s="705">
        <f>H23</f>
        <v>100</v>
      </c>
      <c r="V23" s="704" t="s">
        <v>14</v>
      </c>
      <c r="W23" s="705">
        <f>J23</f>
        <v>100</v>
      </c>
      <c r="X23" s="1351"/>
      <c r="Y23" s="3738"/>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8"/>
      <c r="Q24" s="1348">
        <f t="shared" ref="Q24:Q36" si="11">B24</f>
        <v>111</v>
      </c>
      <c r="R24" s="704" t="s">
        <v>14</v>
      </c>
      <c r="S24" s="705">
        <f>F24</f>
        <v>100</v>
      </c>
      <c r="T24" s="704" t="s">
        <v>14</v>
      </c>
      <c r="U24" s="705">
        <f>H24</f>
        <v>100</v>
      </c>
      <c r="V24" s="704" t="s">
        <v>14</v>
      </c>
      <c r="W24" s="705">
        <f>J24</f>
        <v>100</v>
      </c>
      <c r="X24" s="1351"/>
      <c r="Y24" s="3738"/>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38"/>
      <c r="Q25" s="1339">
        <f t="shared" si="11"/>
        <v>111</v>
      </c>
      <c r="R25" s="700" t="s">
        <v>14</v>
      </c>
      <c r="S25" s="701">
        <f>F25</f>
        <v>100</v>
      </c>
      <c r="T25" s="700" t="s">
        <v>14</v>
      </c>
      <c r="U25" s="701">
        <f>H25</f>
        <v>100</v>
      </c>
      <c r="V25" s="700" t="s">
        <v>14</v>
      </c>
      <c r="W25" s="701">
        <f>J25</f>
        <v>100</v>
      </c>
      <c r="X25" s="702"/>
      <c r="Y25" s="3738"/>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3"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42"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42"/>
      <c r="Q27" s="706" t="str">
        <f t="shared" si="11"/>
        <v>项目停车位配比</v>
      </c>
      <c r="R27" s="707" t="s">
        <v>14</v>
      </c>
      <c r="S27" s="708">
        <f t="shared" si="12"/>
        <v>100</v>
      </c>
      <c r="T27" s="707" t="s">
        <v>14</v>
      </c>
      <c r="U27" s="708">
        <f t="shared" si="13"/>
        <v>100</v>
      </c>
      <c r="V27" s="707" t="s">
        <v>14</v>
      </c>
      <c r="W27" s="708">
        <f t="shared" si="14"/>
        <v>100</v>
      </c>
      <c r="X27" s="709"/>
      <c r="Y27" s="3742"/>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2"/>
      <c r="Q28" s="1348" t="str">
        <f t="shared" si="11"/>
        <v>公共部分装修</v>
      </c>
      <c r="R28" s="704" t="s">
        <v>14</v>
      </c>
      <c r="S28" s="705">
        <f t="shared" si="12"/>
        <v>100</v>
      </c>
      <c r="T28" s="704" t="s">
        <v>14</v>
      </c>
      <c r="U28" s="705">
        <f t="shared" si="13"/>
        <v>100</v>
      </c>
      <c r="V28" s="704" t="s">
        <v>14</v>
      </c>
      <c r="W28" s="705">
        <f t="shared" si="14"/>
        <v>100</v>
      </c>
      <c r="X28" s="1351"/>
      <c r="Y28" s="3742"/>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2"/>
      <c r="Q29" s="1348" t="str">
        <f t="shared" si="11"/>
        <v>成新率</v>
      </c>
      <c r="R29" s="704" t="s">
        <v>14</v>
      </c>
      <c r="S29" s="705" t="e">
        <f t="shared" si="12"/>
        <v>#N/A</v>
      </c>
      <c r="T29" s="704" t="s">
        <v>14</v>
      </c>
      <c r="U29" s="705" t="e">
        <f t="shared" si="13"/>
        <v>#N/A</v>
      </c>
      <c r="V29" s="704" t="s">
        <v>14</v>
      </c>
      <c r="W29" s="705" t="e">
        <f t="shared" si="14"/>
        <v>#N/A</v>
      </c>
      <c r="X29" s="1351"/>
      <c r="Y29" s="3742"/>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42"/>
      <c r="Q30" s="1348" t="str">
        <f t="shared" si="11"/>
        <v>物业等级</v>
      </c>
      <c r="R30" s="704" t="s">
        <v>14</v>
      </c>
      <c r="S30" s="705">
        <f t="shared" si="12"/>
        <v>100</v>
      </c>
      <c r="T30" s="704" t="s">
        <v>14</v>
      </c>
      <c r="U30" s="705">
        <f t="shared" si="13"/>
        <v>100</v>
      </c>
      <c r="V30" s="704" t="s">
        <v>14</v>
      </c>
      <c r="W30" s="705">
        <f t="shared" si="14"/>
        <v>100</v>
      </c>
      <c r="X30" s="1351"/>
      <c r="Y30" s="3742"/>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2"/>
      <c r="Q31" s="1339" t="str">
        <f t="shared" si="11"/>
        <v>停车位面积</v>
      </c>
      <c r="R31" s="700" t="s">
        <v>14</v>
      </c>
      <c r="S31" s="701" t="e">
        <f t="shared" si="12"/>
        <v>#N/A</v>
      </c>
      <c r="T31" s="700" t="s">
        <v>14</v>
      </c>
      <c r="U31" s="701" t="e">
        <f t="shared" si="13"/>
        <v>#N/A</v>
      </c>
      <c r="V31" s="700" t="s">
        <v>14</v>
      </c>
      <c r="W31" s="701" t="e">
        <f t="shared" si="14"/>
        <v>#N/A</v>
      </c>
      <c r="X31" s="702"/>
      <c r="Y31" s="3742"/>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2" t="s">
        <v>1693</v>
      </c>
      <c r="Q32" s="1348" t="str">
        <f t="shared" si="11"/>
        <v>车位类型</v>
      </c>
      <c r="R32" s="704" t="s">
        <v>14</v>
      </c>
      <c r="S32" s="705">
        <f t="shared" si="12"/>
        <v>100</v>
      </c>
      <c r="T32" s="704" t="s">
        <v>14</v>
      </c>
      <c r="U32" s="705">
        <f t="shared" si="13"/>
        <v>100</v>
      </c>
      <c r="V32" s="704" t="s">
        <v>14</v>
      </c>
      <c r="W32" s="705">
        <f t="shared" si="14"/>
        <v>100</v>
      </c>
      <c r="X32" s="1351"/>
      <c r="Y32" s="3742"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2"/>
      <c r="Q33" s="1348" t="str">
        <f t="shared" si="11"/>
        <v>是否直接入户</v>
      </c>
      <c r="R33" s="704" t="s">
        <v>14</v>
      </c>
      <c r="S33" s="705">
        <f t="shared" si="12"/>
        <v>100</v>
      </c>
      <c r="T33" s="704" t="s">
        <v>14</v>
      </c>
      <c r="U33" s="705">
        <f t="shared" si="13"/>
        <v>100</v>
      </c>
      <c r="V33" s="704" t="s">
        <v>14</v>
      </c>
      <c r="W33" s="705">
        <f t="shared" si="14"/>
        <v>100</v>
      </c>
      <c r="X33" s="1351"/>
      <c r="Y33" s="3742"/>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2"/>
      <c r="Q34" s="1348">
        <f t="shared" si="11"/>
        <v>111</v>
      </c>
      <c r="R34" s="704" t="s">
        <v>14</v>
      </c>
      <c r="S34" s="705">
        <f t="shared" si="12"/>
        <v>100</v>
      </c>
      <c r="T34" s="704" t="s">
        <v>14</v>
      </c>
      <c r="U34" s="705">
        <f t="shared" si="13"/>
        <v>100</v>
      </c>
      <c r="V34" s="704" t="s">
        <v>14</v>
      </c>
      <c r="W34" s="705">
        <f t="shared" si="14"/>
        <v>100</v>
      </c>
      <c r="X34" s="1351"/>
      <c r="Y34" s="3742"/>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2"/>
      <c r="Q35" s="706">
        <f t="shared" si="11"/>
        <v>111</v>
      </c>
      <c r="R35" s="707" t="s">
        <v>14</v>
      </c>
      <c r="S35" s="708">
        <f t="shared" si="12"/>
        <v>100</v>
      </c>
      <c r="T35" s="707" t="s">
        <v>14</v>
      </c>
      <c r="U35" s="708">
        <f t="shared" si="13"/>
        <v>100</v>
      </c>
      <c r="V35" s="707" t="s">
        <v>14</v>
      </c>
      <c r="W35" s="708">
        <f t="shared" si="14"/>
        <v>100</v>
      </c>
      <c r="X35" s="709"/>
      <c r="Y35" s="3742"/>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2"/>
      <c r="Q36" s="1348">
        <f t="shared" si="11"/>
        <v>111</v>
      </c>
      <c r="R36" s="704" t="s">
        <v>14</v>
      </c>
      <c r="S36" s="705">
        <f t="shared" si="12"/>
        <v>100</v>
      </c>
      <c r="T36" s="704" t="s">
        <v>14</v>
      </c>
      <c r="U36" s="705">
        <f t="shared" si="13"/>
        <v>100</v>
      </c>
      <c r="V36" s="704" t="s">
        <v>14</v>
      </c>
      <c r="W36" s="705">
        <f t="shared" si="14"/>
        <v>100</v>
      </c>
      <c r="X36" s="1351"/>
      <c r="Y36" s="3742"/>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44" t="str">
        <f>A37</f>
        <v>成交单价</v>
      </c>
      <c r="Q37" s="3744"/>
      <c r="R37" s="3745">
        <f>E37</f>
        <v>0</v>
      </c>
      <c r="S37" s="3745"/>
      <c r="T37" s="3745">
        <f>G37</f>
        <v>0</v>
      </c>
      <c r="U37" s="3745"/>
      <c r="V37" s="3745">
        <f>I37</f>
        <v>0</v>
      </c>
      <c r="W37" s="3745"/>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46" t="str">
        <f>A39</f>
        <v>估价对象XX用房的比较价值（楼面单价，元/平方米）</v>
      </c>
      <c r="Q39" s="3747"/>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2" t="s">
        <v>1767</v>
      </c>
      <c r="D4" s="3723"/>
      <c r="E4" s="3724" t="s">
        <v>1768</v>
      </c>
      <c r="F4" s="3725"/>
      <c r="G4" s="3722" t="s">
        <v>1769</v>
      </c>
      <c r="H4" s="3723"/>
      <c r="I4" s="3722" t="s">
        <v>1770</v>
      </c>
      <c r="J4" s="3723"/>
      <c r="K4" s="559" t="s">
        <v>1771</v>
      </c>
      <c r="L4" s="2711"/>
      <c r="M4" s="2712"/>
      <c r="N4" s="2712"/>
      <c r="O4" s="2712"/>
      <c r="P4" s="3726" t="s">
        <v>1772</v>
      </c>
      <c r="Q4" s="3727"/>
      <c r="R4" s="3709" t="s">
        <v>1768</v>
      </c>
      <c r="S4" s="3710"/>
      <c r="T4" s="3709" t="s">
        <v>1769</v>
      </c>
      <c r="U4" s="3710"/>
      <c r="V4" s="3706" t="s">
        <v>1770</v>
      </c>
      <c r="W4" s="3706"/>
      <c r="X4" s="1351"/>
      <c r="Y4" s="3709" t="s">
        <v>1772</v>
      </c>
      <c r="Z4" s="3710"/>
      <c r="AA4" s="3703" t="s">
        <v>1768</v>
      </c>
      <c r="AB4" s="3704" t="s">
        <v>1769</v>
      </c>
      <c r="AC4" s="3703" t="s">
        <v>1770</v>
      </c>
    </row>
    <row r="5" spans="1:29" ht="15">
      <c r="A5" s="358"/>
      <c r="B5" s="359"/>
      <c r="C5" s="3715" t="s">
        <v>1670</v>
      </c>
      <c r="D5" s="3716"/>
      <c r="E5" s="3713" t="s">
        <v>1671</v>
      </c>
      <c r="F5" s="3714"/>
      <c r="G5" s="3715" t="s">
        <v>1672</v>
      </c>
      <c r="H5" s="3716"/>
      <c r="I5" s="3715" t="s">
        <v>1673</v>
      </c>
      <c r="J5" s="3716"/>
      <c r="K5" s="559"/>
      <c r="L5" s="2711"/>
      <c r="M5" s="2712"/>
      <c r="N5" s="2712"/>
      <c r="O5" s="2712"/>
      <c r="P5" s="3728"/>
      <c r="Q5" s="3729"/>
      <c r="R5" s="3711"/>
      <c r="S5" s="3712"/>
      <c r="T5" s="3711"/>
      <c r="U5" s="3712"/>
      <c r="V5" s="3706"/>
      <c r="W5" s="3706"/>
      <c r="X5" s="1351"/>
      <c r="Y5" s="3711"/>
      <c r="Z5" s="3712"/>
      <c r="AA5" s="3704"/>
      <c r="AB5" s="3704"/>
      <c r="AC5" s="3704"/>
    </row>
    <row r="6" spans="1:29" ht="15.75" thickBot="1">
      <c r="A6" s="360"/>
      <c r="B6" s="361"/>
      <c r="C6" s="3717" t="s">
        <v>1674</v>
      </c>
      <c r="D6" s="3718"/>
      <c r="E6" s="3719" t="s">
        <v>1674</v>
      </c>
      <c r="F6" s="3720"/>
      <c r="G6" s="3717" t="s">
        <v>1674</v>
      </c>
      <c r="H6" s="3718"/>
      <c r="I6" s="3717" t="s">
        <v>1674</v>
      </c>
      <c r="J6" s="3718"/>
      <c r="K6" s="559" t="s">
        <v>1675</v>
      </c>
      <c r="L6" s="2711"/>
      <c r="M6" s="2712"/>
      <c r="N6" s="2712"/>
      <c r="O6" s="2712"/>
      <c r="P6" s="3730"/>
      <c r="Q6" s="3731"/>
      <c r="R6" s="3711"/>
      <c r="S6" s="3712"/>
      <c r="T6" s="3732"/>
      <c r="U6" s="3733"/>
      <c r="V6" s="3706"/>
      <c r="W6" s="3706"/>
      <c r="X6" s="1351"/>
      <c r="Y6" s="3732"/>
      <c r="Z6" s="3733"/>
      <c r="AA6" s="3705"/>
      <c r="AB6" s="3705"/>
      <c r="AC6" s="3705"/>
    </row>
    <row r="7" spans="1:29" s="108" customFormat="1" ht="15.75" thickBot="1">
      <c r="A7" s="362" t="s">
        <v>1676</v>
      </c>
      <c r="B7" s="363"/>
      <c r="C7" s="364">
        <f>'数据-取费表'!B2</f>
        <v>45457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07" t="s">
        <v>1677</v>
      </c>
      <c r="Q7" s="3734"/>
      <c r="R7" s="700" t="s">
        <v>14</v>
      </c>
      <c r="S7" s="701">
        <f t="shared" ref="S7:S14" si="0">F7</f>
        <v>0</v>
      </c>
      <c r="T7" s="700" t="s">
        <v>14</v>
      </c>
      <c r="U7" s="701">
        <f t="shared" ref="U7:U14" si="1">H7</f>
        <v>0</v>
      </c>
      <c r="V7" s="700" t="s">
        <v>14</v>
      </c>
      <c r="W7" s="701">
        <f t="shared" ref="W7:W14" si="2">J7</f>
        <v>0</v>
      </c>
      <c r="X7" s="702"/>
      <c r="Y7" s="3707" t="s">
        <v>1677</v>
      </c>
      <c r="Z7" s="3708"/>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7" t="s">
        <v>1680</v>
      </c>
      <c r="Q8" s="3708"/>
      <c r="R8" s="700" t="s">
        <v>14</v>
      </c>
      <c r="S8" s="701">
        <f t="shared" si="0"/>
        <v>100</v>
      </c>
      <c r="T8" s="700" t="s">
        <v>14</v>
      </c>
      <c r="U8" s="701">
        <f t="shared" si="1"/>
        <v>100</v>
      </c>
      <c r="V8" s="700" t="s">
        <v>14</v>
      </c>
      <c r="W8" s="701">
        <f t="shared" si="2"/>
        <v>100</v>
      </c>
      <c r="X8" s="702"/>
      <c r="Y8" s="3707" t="s">
        <v>1680</v>
      </c>
      <c r="Z8" s="3708"/>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44" t="s">
        <v>1683</v>
      </c>
      <c r="Q9" s="1339" t="str">
        <f t="shared" ref="Q9:Q14" si="6">B9</f>
        <v>用途</v>
      </c>
      <c r="R9" s="700" t="s">
        <v>14</v>
      </c>
      <c r="S9" s="701">
        <f t="shared" si="0"/>
        <v>100</v>
      </c>
      <c r="T9" s="700" t="s">
        <v>14</v>
      </c>
      <c r="U9" s="701">
        <f t="shared" si="1"/>
        <v>100</v>
      </c>
      <c r="V9" s="700" t="s">
        <v>14</v>
      </c>
      <c r="W9" s="701">
        <f t="shared" si="2"/>
        <v>100</v>
      </c>
      <c r="X9" s="702"/>
      <c r="Y9" s="3669" t="s">
        <v>1684</v>
      </c>
      <c r="Z9" s="52" t="str">
        <f t="shared" ref="Z9:Z14" si="7">Q9</f>
        <v>用途</v>
      </c>
      <c r="AA9" s="703">
        <f t="shared" si="3"/>
        <v>1</v>
      </c>
      <c r="AB9" s="703">
        <f t="shared" si="4"/>
        <v>1</v>
      </c>
      <c r="AC9" s="703">
        <f t="shared" si="5"/>
        <v>1</v>
      </c>
    </row>
    <row r="10" spans="1:29" s="378" customFormat="1" ht="27">
      <c r="A10" s="374"/>
      <c r="B10" s="375" t="s">
        <v>1685</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44"/>
      <c r="Q10" s="1339" t="str">
        <f t="shared" si="6"/>
        <v>土地使用年限（年）</v>
      </c>
      <c r="R10" s="700" t="s">
        <v>14</v>
      </c>
      <c r="S10" s="701">
        <f t="shared" si="0"/>
        <v>100</v>
      </c>
      <c r="T10" s="700" t="s">
        <v>14</v>
      </c>
      <c r="U10" s="701">
        <f t="shared" si="1"/>
        <v>100</v>
      </c>
      <c r="V10" s="700" t="s">
        <v>14</v>
      </c>
      <c r="W10" s="701">
        <f t="shared" si="2"/>
        <v>100</v>
      </c>
      <c r="X10" s="702"/>
      <c r="Y10" s="3669"/>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44"/>
      <c r="Q11" s="1339">
        <f t="shared" si="6"/>
        <v>111</v>
      </c>
      <c r="R11" s="700" t="s">
        <v>14</v>
      </c>
      <c r="S11" s="701">
        <f t="shared" si="0"/>
        <v>100</v>
      </c>
      <c r="T11" s="700" t="s">
        <v>14</v>
      </c>
      <c r="U11" s="701">
        <f t="shared" si="1"/>
        <v>100</v>
      </c>
      <c r="V11" s="700" t="s">
        <v>14</v>
      </c>
      <c r="W11" s="701">
        <f t="shared" si="2"/>
        <v>100</v>
      </c>
      <c r="X11" s="702"/>
      <c r="Y11" s="3669"/>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44"/>
      <c r="Q12" s="1339">
        <f t="shared" si="6"/>
        <v>111</v>
      </c>
      <c r="R12" s="700" t="s">
        <v>14</v>
      </c>
      <c r="S12" s="701">
        <f t="shared" si="0"/>
        <v>100</v>
      </c>
      <c r="T12" s="700" t="s">
        <v>14</v>
      </c>
      <c r="U12" s="701">
        <f t="shared" si="1"/>
        <v>100</v>
      </c>
      <c r="V12" s="700" t="s">
        <v>14</v>
      </c>
      <c r="W12" s="701">
        <f t="shared" si="2"/>
        <v>100</v>
      </c>
      <c r="X12" s="702"/>
      <c r="Y12" s="3669"/>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44"/>
      <c r="Q13" s="1339">
        <f t="shared" si="6"/>
        <v>111</v>
      </c>
      <c r="R13" s="700" t="s">
        <v>14</v>
      </c>
      <c r="S13" s="701">
        <f t="shared" si="0"/>
        <v>100</v>
      </c>
      <c r="T13" s="700" t="s">
        <v>14</v>
      </c>
      <c r="U13" s="701">
        <f t="shared" si="1"/>
        <v>100</v>
      </c>
      <c r="V13" s="700" t="s">
        <v>14</v>
      </c>
      <c r="W13" s="701">
        <f t="shared" si="2"/>
        <v>100</v>
      </c>
      <c r="X13" s="702"/>
      <c r="Y13" s="3669"/>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7" t="s">
        <v>1688</v>
      </c>
      <c r="Q14" s="1348" t="str">
        <f t="shared" si="6"/>
        <v>交通便捷度</v>
      </c>
      <c r="R14" s="704" t="s">
        <v>14</v>
      </c>
      <c r="S14" s="705">
        <f t="shared" si="0"/>
        <v>100</v>
      </c>
      <c r="T14" s="704" t="s">
        <v>14</v>
      </c>
      <c r="U14" s="705">
        <f t="shared" si="1"/>
        <v>100</v>
      </c>
      <c r="V14" s="704" t="s">
        <v>14</v>
      </c>
      <c r="W14" s="705">
        <f t="shared" si="2"/>
        <v>100</v>
      </c>
      <c r="X14" s="1351"/>
      <c r="Y14" s="3737"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38"/>
      <c r="Q15" s="1348"/>
      <c r="R15" s="704"/>
      <c r="S15" s="705"/>
      <c r="T15" s="704"/>
      <c r="U15" s="705"/>
      <c r="V15" s="704"/>
      <c r="W15" s="705"/>
      <c r="X15" s="1351"/>
      <c r="Y15" s="3738"/>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8"/>
      <c r="Q16" s="1348" t="str">
        <f>B16</f>
        <v>公共配套设施</v>
      </c>
      <c r="R16" s="704" t="s">
        <v>14</v>
      </c>
      <c r="S16" s="705">
        <f>F16</f>
        <v>100</v>
      </c>
      <c r="T16" s="704" t="s">
        <v>14</v>
      </c>
      <c r="U16" s="705">
        <f>H16</f>
        <v>100</v>
      </c>
      <c r="V16" s="704" t="s">
        <v>14</v>
      </c>
      <c r="W16" s="705">
        <f>J16</f>
        <v>100</v>
      </c>
      <c r="X16" s="1351"/>
      <c r="Y16" s="3738"/>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38"/>
      <c r="Q17" s="1348"/>
      <c r="R17" s="704"/>
      <c r="S17" s="705"/>
      <c r="T17" s="704"/>
      <c r="U17" s="705"/>
      <c r="V17" s="704"/>
      <c r="W17" s="705"/>
      <c r="X17" s="1351"/>
      <c r="Y17" s="3738"/>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8"/>
      <c r="Q18" s="1348" t="str">
        <f>B18</f>
        <v>基础设施水平</v>
      </c>
      <c r="R18" s="704" t="s">
        <v>14</v>
      </c>
      <c r="S18" s="705">
        <f>F18</f>
        <v>100</v>
      </c>
      <c r="T18" s="704" t="s">
        <v>14</v>
      </c>
      <c r="U18" s="705">
        <f>H18</f>
        <v>100</v>
      </c>
      <c r="V18" s="704" t="s">
        <v>14</v>
      </c>
      <c r="W18" s="705">
        <f>J18</f>
        <v>100</v>
      </c>
      <c r="X18" s="1351"/>
      <c r="Y18" s="3738"/>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38"/>
      <c r="Q19" s="1348"/>
      <c r="R19" s="704"/>
      <c r="S19" s="705"/>
      <c r="T19" s="704"/>
      <c r="U19" s="705"/>
      <c r="V19" s="704"/>
      <c r="W19" s="705"/>
      <c r="X19" s="1351"/>
      <c r="Y19" s="3738"/>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8"/>
      <c r="Q20" s="1348" t="str">
        <f>B20</f>
        <v>自然及人文环境</v>
      </c>
      <c r="R20" s="704" t="s">
        <v>14</v>
      </c>
      <c r="S20" s="705">
        <f>F20</f>
        <v>100</v>
      </c>
      <c r="T20" s="704" t="s">
        <v>14</v>
      </c>
      <c r="U20" s="705">
        <f>H20</f>
        <v>100</v>
      </c>
      <c r="V20" s="704" t="s">
        <v>14</v>
      </c>
      <c r="W20" s="705">
        <f>J20</f>
        <v>100</v>
      </c>
      <c r="X20" s="1351"/>
      <c r="Y20" s="3738"/>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38"/>
      <c r="Q21" s="1348"/>
      <c r="R21" s="704"/>
      <c r="S21" s="705"/>
      <c r="T21" s="704"/>
      <c r="U21" s="705"/>
      <c r="V21" s="704"/>
      <c r="W21" s="705"/>
      <c r="X21" s="1351"/>
      <c r="Y21" s="3738"/>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8"/>
      <c r="Q22" s="1348" t="str">
        <f>B22</f>
        <v>楼层</v>
      </c>
      <c r="R22" s="704" t="s">
        <v>14</v>
      </c>
      <c r="S22" s="705">
        <f>F22</f>
        <v>100</v>
      </c>
      <c r="T22" s="704" t="s">
        <v>14</v>
      </c>
      <c r="U22" s="705">
        <f>H22</f>
        <v>100</v>
      </c>
      <c r="V22" s="704" t="s">
        <v>14</v>
      </c>
      <c r="W22" s="705">
        <f>J22</f>
        <v>100</v>
      </c>
      <c r="X22" s="1351"/>
      <c r="Y22" s="3738"/>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8"/>
      <c r="Q23" s="1348">
        <f>B23</f>
        <v>111</v>
      </c>
      <c r="R23" s="704" t="s">
        <v>14</v>
      </c>
      <c r="S23" s="705">
        <f>F23</f>
        <v>100</v>
      </c>
      <c r="T23" s="704" t="s">
        <v>14</v>
      </c>
      <c r="U23" s="705">
        <f>H23</f>
        <v>100</v>
      </c>
      <c r="V23" s="704" t="s">
        <v>14</v>
      </c>
      <c r="W23" s="705">
        <f>J23</f>
        <v>100</v>
      </c>
      <c r="X23" s="1351"/>
      <c r="Y23" s="3738"/>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8"/>
      <c r="Q24" s="1348">
        <f t="shared" ref="Q24:Q34" si="11">B24</f>
        <v>111</v>
      </c>
      <c r="R24" s="704" t="s">
        <v>14</v>
      </c>
      <c r="S24" s="705">
        <f>F24</f>
        <v>100</v>
      </c>
      <c r="T24" s="704" t="s">
        <v>14</v>
      </c>
      <c r="U24" s="705">
        <f>H24</f>
        <v>100</v>
      </c>
      <c r="V24" s="704" t="s">
        <v>14</v>
      </c>
      <c r="W24" s="705">
        <f>J24</f>
        <v>100</v>
      </c>
      <c r="X24" s="1351"/>
      <c r="Y24" s="3738"/>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38"/>
      <c r="Q25" s="1339">
        <f t="shared" si="11"/>
        <v>111</v>
      </c>
      <c r="R25" s="700" t="s">
        <v>14</v>
      </c>
      <c r="S25" s="701">
        <f>F25</f>
        <v>100</v>
      </c>
      <c r="T25" s="700" t="s">
        <v>14</v>
      </c>
      <c r="U25" s="701">
        <f>H25</f>
        <v>100</v>
      </c>
      <c r="V25" s="700" t="s">
        <v>14</v>
      </c>
      <c r="W25" s="701">
        <f>J25</f>
        <v>100</v>
      </c>
      <c r="X25" s="702"/>
      <c r="Y25" s="3738"/>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83"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42"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2"/>
      <c r="Q27" s="706" t="str">
        <f t="shared" si="11"/>
        <v>成新率</v>
      </c>
      <c r="R27" s="707" t="s">
        <v>14</v>
      </c>
      <c r="S27" s="708" t="e">
        <f t="shared" si="12"/>
        <v>#N/A</v>
      </c>
      <c r="T27" s="707" t="s">
        <v>14</v>
      </c>
      <c r="U27" s="708" t="e">
        <f t="shared" si="13"/>
        <v>#N/A</v>
      </c>
      <c r="V27" s="707" t="s">
        <v>14</v>
      </c>
      <c r="W27" s="708" t="e">
        <f t="shared" si="14"/>
        <v>#N/A</v>
      </c>
      <c r="X27" s="709"/>
      <c r="Y27" s="3742"/>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2"/>
      <c r="Q28" s="1348" t="str">
        <f t="shared" si="11"/>
        <v>物业等级</v>
      </c>
      <c r="R28" s="704" t="s">
        <v>14</v>
      </c>
      <c r="S28" s="705">
        <f t="shared" si="12"/>
        <v>100</v>
      </c>
      <c r="T28" s="704" t="s">
        <v>14</v>
      </c>
      <c r="U28" s="705">
        <f t="shared" si="13"/>
        <v>100</v>
      </c>
      <c r="V28" s="704" t="s">
        <v>14</v>
      </c>
      <c r="W28" s="705">
        <f t="shared" si="14"/>
        <v>100</v>
      </c>
      <c r="X28" s="1351"/>
      <c r="Y28" s="3742"/>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42"/>
      <c r="Q29" s="1348" t="str">
        <f t="shared" si="11"/>
        <v>有无电梯</v>
      </c>
      <c r="R29" s="704" t="s">
        <v>14</v>
      </c>
      <c r="S29" s="705">
        <f t="shared" si="12"/>
        <v>100</v>
      </c>
      <c r="T29" s="704" t="s">
        <v>14</v>
      </c>
      <c r="U29" s="705">
        <f t="shared" si="13"/>
        <v>100</v>
      </c>
      <c r="V29" s="704" t="s">
        <v>14</v>
      </c>
      <c r="W29" s="705">
        <f t="shared" si="14"/>
        <v>100</v>
      </c>
      <c r="X29" s="1351"/>
      <c r="Y29" s="3742"/>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2"/>
      <c r="Q30" s="1348" t="str">
        <f t="shared" si="11"/>
        <v>建筑面积</v>
      </c>
      <c r="R30" s="704" t="s">
        <v>14</v>
      </c>
      <c r="S30" s="705" t="e">
        <f t="shared" si="12"/>
        <v>#N/A</v>
      </c>
      <c r="T30" s="704" t="s">
        <v>14</v>
      </c>
      <c r="U30" s="705" t="e">
        <f t="shared" si="13"/>
        <v>#N/A</v>
      </c>
      <c r="V30" s="704" t="s">
        <v>14</v>
      </c>
      <c r="W30" s="705" t="e">
        <f t="shared" si="14"/>
        <v>#N/A</v>
      </c>
      <c r="X30" s="1351"/>
      <c r="Y30" s="3742"/>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42"/>
      <c r="Q31" s="1339" t="str">
        <f t="shared" si="11"/>
        <v>是否封闭</v>
      </c>
      <c r="R31" s="700" t="s">
        <v>14</v>
      </c>
      <c r="S31" s="701">
        <f t="shared" si="12"/>
        <v>100</v>
      </c>
      <c r="T31" s="700" t="s">
        <v>14</v>
      </c>
      <c r="U31" s="701">
        <f t="shared" si="13"/>
        <v>100</v>
      </c>
      <c r="V31" s="700" t="s">
        <v>14</v>
      </c>
      <c r="W31" s="701">
        <f t="shared" si="14"/>
        <v>100</v>
      </c>
      <c r="X31" s="702"/>
      <c r="Y31" s="3742"/>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2" t="s">
        <v>1693</v>
      </c>
      <c r="Q32" s="1348">
        <f t="shared" si="11"/>
        <v>111</v>
      </c>
      <c r="R32" s="704" t="s">
        <v>14</v>
      </c>
      <c r="S32" s="705">
        <f t="shared" si="12"/>
        <v>100</v>
      </c>
      <c r="T32" s="704" t="s">
        <v>14</v>
      </c>
      <c r="U32" s="705">
        <f t="shared" si="13"/>
        <v>100</v>
      </c>
      <c r="V32" s="704" t="s">
        <v>14</v>
      </c>
      <c r="W32" s="705">
        <f t="shared" si="14"/>
        <v>100</v>
      </c>
      <c r="X32" s="1351"/>
      <c r="Y32" s="3742"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2"/>
      <c r="Q33" s="1348">
        <f t="shared" si="11"/>
        <v>111</v>
      </c>
      <c r="R33" s="704" t="s">
        <v>14</v>
      </c>
      <c r="S33" s="705">
        <f t="shared" si="12"/>
        <v>100</v>
      </c>
      <c r="T33" s="704" t="s">
        <v>14</v>
      </c>
      <c r="U33" s="705">
        <f t="shared" si="13"/>
        <v>100</v>
      </c>
      <c r="V33" s="704" t="s">
        <v>14</v>
      </c>
      <c r="W33" s="705">
        <f t="shared" si="14"/>
        <v>100</v>
      </c>
      <c r="X33" s="1351"/>
      <c r="Y33" s="3742"/>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42"/>
      <c r="Q34" s="1348">
        <f t="shared" si="11"/>
        <v>111</v>
      </c>
      <c r="R34" s="704" t="s">
        <v>14</v>
      </c>
      <c r="S34" s="705">
        <f t="shared" si="12"/>
        <v>100</v>
      </c>
      <c r="T34" s="704" t="s">
        <v>14</v>
      </c>
      <c r="U34" s="705">
        <f t="shared" si="13"/>
        <v>100</v>
      </c>
      <c r="V34" s="704" t="s">
        <v>14</v>
      </c>
      <c r="W34" s="705">
        <f t="shared" si="14"/>
        <v>100</v>
      </c>
      <c r="X34" s="1351"/>
      <c r="Y34" s="3742"/>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44" t="str">
        <f>A35</f>
        <v>成交单价（元/平方米）</v>
      </c>
      <c r="Q35" s="3744"/>
      <c r="R35" s="3745">
        <f>E35</f>
        <v>0</v>
      </c>
      <c r="S35" s="3745"/>
      <c r="T35" s="3745">
        <f>G35</f>
        <v>0</v>
      </c>
      <c r="U35" s="3745"/>
      <c r="V35" s="3745">
        <f>I35</f>
        <v>0</v>
      </c>
      <c r="W35" s="3745"/>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46" t="str">
        <f>A37</f>
        <v>估价对象XX用房的比较价值（楼面单价，元/平方米）</v>
      </c>
      <c r="Q37" s="3747"/>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22" t="s">
        <v>1767</v>
      </c>
      <c r="D4" s="3723"/>
      <c r="E4" s="3724" t="s">
        <v>1768</v>
      </c>
      <c r="F4" s="3725"/>
      <c r="G4" s="3722" t="s">
        <v>1769</v>
      </c>
      <c r="H4" s="3723"/>
      <c r="I4" s="3722" t="s">
        <v>1770</v>
      </c>
      <c r="J4" s="3723"/>
      <c r="K4" s="559" t="s">
        <v>1771</v>
      </c>
      <c r="L4" s="2711"/>
      <c r="M4" s="2712"/>
      <c r="N4" s="2712"/>
      <c r="O4" s="2712"/>
      <c r="P4" s="3726" t="s">
        <v>1772</v>
      </c>
      <c r="Q4" s="3727"/>
      <c r="R4" s="3709" t="s">
        <v>1768</v>
      </c>
      <c r="S4" s="3710"/>
      <c r="T4" s="3709" t="s">
        <v>1769</v>
      </c>
      <c r="U4" s="3710"/>
      <c r="V4" s="3706" t="s">
        <v>1770</v>
      </c>
      <c r="W4" s="3706"/>
      <c r="X4" s="1351"/>
      <c r="Y4" s="3709" t="s">
        <v>1772</v>
      </c>
      <c r="Z4" s="3710"/>
      <c r="AA4" s="3703" t="s">
        <v>1768</v>
      </c>
      <c r="AB4" s="3704" t="s">
        <v>1769</v>
      </c>
      <c r="AC4" s="3703" t="s">
        <v>1770</v>
      </c>
    </row>
    <row r="5" spans="1:30" ht="15">
      <c r="A5" s="358"/>
      <c r="B5" s="359"/>
      <c r="C5" s="3715" t="s">
        <v>1670</v>
      </c>
      <c r="D5" s="3716"/>
      <c r="E5" s="3713" t="s">
        <v>1671</v>
      </c>
      <c r="F5" s="3714"/>
      <c r="G5" s="3715" t="s">
        <v>1672</v>
      </c>
      <c r="H5" s="3716"/>
      <c r="I5" s="3715" t="s">
        <v>1673</v>
      </c>
      <c r="J5" s="3716"/>
      <c r="K5" s="559"/>
      <c r="L5" s="2711"/>
      <c r="M5" s="2712"/>
      <c r="N5" s="2712"/>
      <c r="O5" s="2712"/>
      <c r="P5" s="3728"/>
      <c r="Q5" s="3729"/>
      <c r="R5" s="3711"/>
      <c r="S5" s="3712"/>
      <c r="T5" s="3711"/>
      <c r="U5" s="3712"/>
      <c r="V5" s="3706"/>
      <c r="W5" s="3706"/>
      <c r="X5" s="1351"/>
      <c r="Y5" s="3711"/>
      <c r="Z5" s="3712"/>
      <c r="AA5" s="3704"/>
      <c r="AB5" s="3704"/>
      <c r="AC5" s="3704"/>
    </row>
    <row r="6" spans="1:30" ht="15.75" thickBot="1">
      <c r="A6" s="360"/>
      <c r="B6" s="361"/>
      <c r="C6" s="3717" t="s">
        <v>1674</v>
      </c>
      <c r="D6" s="3718"/>
      <c r="E6" s="3719" t="s">
        <v>1674</v>
      </c>
      <c r="F6" s="3720"/>
      <c r="G6" s="3717" t="s">
        <v>1674</v>
      </c>
      <c r="H6" s="3718"/>
      <c r="I6" s="3717" t="s">
        <v>1674</v>
      </c>
      <c r="J6" s="3718"/>
      <c r="K6" s="559" t="s">
        <v>1675</v>
      </c>
      <c r="L6" s="2711"/>
      <c r="M6" s="2712"/>
      <c r="N6" s="2712"/>
      <c r="O6" s="2712"/>
      <c r="P6" s="3730"/>
      <c r="Q6" s="3731"/>
      <c r="R6" s="3711"/>
      <c r="S6" s="3712"/>
      <c r="T6" s="3732"/>
      <c r="U6" s="3733"/>
      <c r="V6" s="3706"/>
      <c r="W6" s="3706"/>
      <c r="X6" s="1351"/>
      <c r="Y6" s="3732"/>
      <c r="Z6" s="3733"/>
      <c r="AA6" s="3705"/>
      <c r="AB6" s="3705"/>
      <c r="AC6" s="3705"/>
    </row>
    <row r="7" spans="1:30" s="108" customFormat="1" ht="15.75" thickBot="1">
      <c r="A7" s="362" t="s">
        <v>1676</v>
      </c>
      <c r="B7" s="363"/>
      <c r="C7" s="364">
        <f>'数据-取费表'!B2</f>
        <v>45457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07" t="s">
        <v>1677</v>
      </c>
      <c r="Q7" s="3734"/>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7" t="s">
        <v>1680</v>
      </c>
      <c r="Q8" s="3708"/>
      <c r="R8" s="700" t="s">
        <v>14</v>
      </c>
      <c r="S8" s="701">
        <f t="shared" si="0"/>
        <v>0</v>
      </c>
      <c r="T8" s="700" t="s">
        <v>14</v>
      </c>
      <c r="U8" s="701">
        <f t="shared" si="1"/>
        <v>0</v>
      </c>
      <c r="V8" s="700" t="s">
        <v>14</v>
      </c>
      <c r="W8" s="701">
        <f t="shared" si="2"/>
        <v>0</v>
      </c>
      <c r="X8" s="702"/>
      <c r="Y8" s="3707" t="s">
        <v>1680</v>
      </c>
      <c r="Z8" s="3708"/>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44" t="s">
        <v>1683</v>
      </c>
      <c r="Q9" s="1339" t="str">
        <f t="shared" ref="Q9:Q15" si="6">B9</f>
        <v>用途</v>
      </c>
      <c r="R9" s="700" t="s">
        <v>14</v>
      </c>
      <c r="S9" s="701">
        <f t="shared" si="0"/>
        <v>100</v>
      </c>
      <c r="T9" s="700" t="s">
        <v>14</v>
      </c>
      <c r="U9" s="701">
        <f t="shared" si="1"/>
        <v>100</v>
      </c>
      <c r="V9" s="700" t="s">
        <v>14</v>
      </c>
      <c r="W9" s="701">
        <f t="shared" si="2"/>
        <v>100</v>
      </c>
      <c r="X9" s="702"/>
      <c r="Y9" s="3669"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104</v>
      </c>
      <c r="G10" s="414"/>
      <c r="H10" s="127">
        <f>ROUND(100/'数据-取费表'!G16,0)</f>
        <v>104</v>
      </c>
      <c r="I10" s="414"/>
      <c r="J10" s="127">
        <f>ROUND(100/'数据-取费表'!G16,0)</f>
        <v>104</v>
      </c>
      <c r="K10" s="619"/>
      <c r="L10" s="2715"/>
      <c r="M10" s="2716"/>
      <c r="N10" s="2716"/>
      <c r="O10" s="2769"/>
      <c r="P10" s="3744"/>
      <c r="Q10" s="1339" t="str">
        <f t="shared" si="6"/>
        <v>土地使用年限（年）</v>
      </c>
      <c r="R10" s="700" t="s">
        <v>14</v>
      </c>
      <c r="S10" s="701">
        <f t="shared" si="0"/>
        <v>104</v>
      </c>
      <c r="T10" s="700" t="s">
        <v>14</v>
      </c>
      <c r="U10" s="701">
        <f t="shared" si="1"/>
        <v>104</v>
      </c>
      <c r="V10" s="700" t="s">
        <v>14</v>
      </c>
      <c r="W10" s="701">
        <f t="shared" si="2"/>
        <v>104</v>
      </c>
      <c r="X10" s="702"/>
      <c r="Y10" s="3669"/>
      <c r="Z10" s="52" t="str">
        <f t="shared" si="7"/>
        <v>土地使用年限（年）</v>
      </c>
      <c r="AA10" s="703">
        <f t="shared" si="3"/>
        <v>0.96153846153846156</v>
      </c>
      <c r="AB10" s="703">
        <f t="shared" si="4"/>
        <v>0.96153846153846156</v>
      </c>
      <c r="AC10" s="703">
        <f t="shared" si="5"/>
        <v>0.96153846153846156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44"/>
      <c r="Q11" s="1339" t="str">
        <f t="shared" si="6"/>
        <v>容积率</v>
      </c>
      <c r="R11" s="700" t="s">
        <v>14</v>
      </c>
      <c r="S11" s="701" t="e">
        <f t="shared" si="0"/>
        <v>#N/A</v>
      </c>
      <c r="T11" s="700" t="s">
        <v>14</v>
      </c>
      <c r="U11" s="701" t="e">
        <f t="shared" si="1"/>
        <v>#N/A</v>
      </c>
      <c r="V11" s="700" t="s">
        <v>14</v>
      </c>
      <c r="W11" s="701" t="e">
        <f t="shared" si="2"/>
        <v>#N/A</v>
      </c>
      <c r="X11" s="702"/>
      <c r="Y11" s="3669"/>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44"/>
      <c r="Q12" s="1339" t="str">
        <f t="shared" si="6"/>
        <v>配建</v>
      </c>
      <c r="R12" s="700" t="s">
        <v>14</v>
      </c>
      <c r="S12" s="701">
        <f t="shared" si="0"/>
        <v>100</v>
      </c>
      <c r="T12" s="700" t="s">
        <v>14</v>
      </c>
      <c r="U12" s="701">
        <f t="shared" si="1"/>
        <v>100</v>
      </c>
      <c r="V12" s="700" t="s">
        <v>14</v>
      </c>
      <c r="W12" s="701">
        <f t="shared" si="2"/>
        <v>100</v>
      </c>
      <c r="X12" s="702"/>
      <c r="Y12" s="3669"/>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44"/>
      <c r="Q13" s="1339">
        <f t="shared" si="6"/>
        <v>111</v>
      </c>
      <c r="R13" s="700" t="s">
        <v>14</v>
      </c>
      <c r="S13" s="701">
        <f t="shared" si="0"/>
        <v>100</v>
      </c>
      <c r="T13" s="700" t="s">
        <v>14</v>
      </c>
      <c r="U13" s="701">
        <f t="shared" si="1"/>
        <v>100</v>
      </c>
      <c r="V13" s="700" t="s">
        <v>14</v>
      </c>
      <c r="W13" s="701">
        <f t="shared" si="2"/>
        <v>100</v>
      </c>
      <c r="X13" s="702"/>
      <c r="Y13" s="3669"/>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44"/>
      <c r="Q14" s="1339">
        <f t="shared" si="6"/>
        <v>111</v>
      </c>
      <c r="R14" s="700" t="s">
        <v>14</v>
      </c>
      <c r="S14" s="701">
        <f t="shared" si="0"/>
        <v>100</v>
      </c>
      <c r="T14" s="700" t="s">
        <v>14</v>
      </c>
      <c r="U14" s="701">
        <f t="shared" si="1"/>
        <v>100</v>
      </c>
      <c r="V14" s="700" t="s">
        <v>14</v>
      </c>
      <c r="W14" s="701">
        <f t="shared" si="2"/>
        <v>100</v>
      </c>
      <c r="X14" s="702"/>
      <c r="Y14" s="3669"/>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37" t="s">
        <v>1688</v>
      </c>
      <c r="Q15" s="1348" t="str">
        <f t="shared" si="6"/>
        <v>居住社区成熟度</v>
      </c>
      <c r="R15" s="704" t="s">
        <v>14</v>
      </c>
      <c r="S15" s="705">
        <f t="shared" si="0"/>
        <v>100</v>
      </c>
      <c r="T15" s="704" t="s">
        <v>14</v>
      </c>
      <c r="U15" s="705">
        <f t="shared" si="1"/>
        <v>100</v>
      </c>
      <c r="V15" s="704" t="s">
        <v>14</v>
      </c>
      <c r="W15" s="705">
        <f t="shared" si="2"/>
        <v>100</v>
      </c>
      <c r="X15" s="1351"/>
      <c r="Y15" s="3737"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38"/>
      <c r="Q16" s="1348"/>
      <c r="R16" s="704"/>
      <c r="S16" s="705"/>
      <c r="T16" s="704"/>
      <c r="U16" s="705"/>
      <c r="V16" s="704"/>
      <c r="W16" s="705"/>
      <c r="X16" s="1351"/>
      <c r="Y16" s="3738"/>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38"/>
      <c r="Q17" s="1348" t="str">
        <f>B17</f>
        <v>商业繁华度</v>
      </c>
      <c r="R17" s="704" t="s">
        <v>14</v>
      </c>
      <c r="S17" s="705">
        <f>F17</f>
        <v>100</v>
      </c>
      <c r="T17" s="704" t="s">
        <v>14</v>
      </c>
      <c r="U17" s="705">
        <f>H17</f>
        <v>100</v>
      </c>
      <c r="V17" s="704" t="s">
        <v>14</v>
      </c>
      <c r="W17" s="705">
        <f>J17</f>
        <v>100</v>
      </c>
      <c r="X17" s="1351"/>
      <c r="Y17" s="3738"/>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38"/>
      <c r="Q18" s="1348"/>
      <c r="R18" s="704"/>
      <c r="S18" s="705"/>
      <c r="T18" s="704"/>
      <c r="U18" s="705"/>
      <c r="V18" s="704"/>
      <c r="W18" s="705"/>
      <c r="X18" s="1351"/>
      <c r="Y18" s="3738"/>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38"/>
      <c r="Q19" s="1348" t="str">
        <f>B19</f>
        <v>办公集聚程度</v>
      </c>
      <c r="R19" s="704" t="s">
        <v>14</v>
      </c>
      <c r="S19" s="705">
        <f>F19</f>
        <v>100</v>
      </c>
      <c r="T19" s="704" t="s">
        <v>14</v>
      </c>
      <c r="U19" s="705">
        <f>H19</f>
        <v>100</v>
      </c>
      <c r="V19" s="704" t="s">
        <v>14</v>
      </c>
      <c r="W19" s="705">
        <f>J19</f>
        <v>100</v>
      </c>
      <c r="X19" s="1351"/>
      <c r="Y19" s="3738"/>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38"/>
      <c r="Q20" s="1348"/>
      <c r="R20" s="704"/>
      <c r="S20" s="705"/>
      <c r="T20" s="704"/>
      <c r="U20" s="705"/>
      <c r="V20" s="704"/>
      <c r="W20" s="705"/>
      <c r="X20" s="1351"/>
      <c r="Y20" s="3738"/>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38"/>
      <c r="Q21" s="1348" t="str">
        <f>B21</f>
        <v>交通便捷度</v>
      </c>
      <c r="R21" s="704" t="s">
        <v>14</v>
      </c>
      <c r="S21" s="705">
        <f>F21</f>
        <v>100</v>
      </c>
      <c r="T21" s="704" t="s">
        <v>14</v>
      </c>
      <c r="U21" s="705">
        <f>H21</f>
        <v>100</v>
      </c>
      <c r="V21" s="704" t="s">
        <v>14</v>
      </c>
      <c r="W21" s="705">
        <f>J21</f>
        <v>100</v>
      </c>
      <c r="X21" s="1351"/>
      <c r="Y21" s="3738"/>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38"/>
      <c r="Q22" s="1348"/>
      <c r="R22" s="704"/>
      <c r="S22" s="705"/>
      <c r="T22" s="704"/>
      <c r="U22" s="705"/>
      <c r="V22" s="704"/>
      <c r="W22" s="705"/>
      <c r="X22" s="1351"/>
      <c r="Y22" s="3738"/>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38"/>
      <c r="Q23" s="1348" t="str">
        <f t="shared" ref="Q23:Q37" si="8">B23</f>
        <v>区域土地利用方向</v>
      </c>
      <c r="R23" s="704" t="s">
        <v>14</v>
      </c>
      <c r="S23" s="705">
        <f>F23</f>
        <v>100</v>
      </c>
      <c r="T23" s="704" t="s">
        <v>14</v>
      </c>
      <c r="U23" s="705">
        <f>H23</f>
        <v>100</v>
      </c>
      <c r="V23" s="704" t="s">
        <v>14</v>
      </c>
      <c r="W23" s="705">
        <f>J23</f>
        <v>100</v>
      </c>
      <c r="X23" s="1351"/>
      <c r="Y23" s="3738"/>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38"/>
      <c r="Q24" s="1348"/>
      <c r="R24" s="704"/>
      <c r="S24" s="705"/>
      <c r="T24" s="704"/>
      <c r="U24" s="705"/>
      <c r="V24" s="704"/>
      <c r="W24" s="705"/>
      <c r="X24" s="1351"/>
      <c r="Y24" s="3738"/>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38"/>
      <c r="Q25" s="1348" t="str">
        <f t="shared" si="8"/>
        <v>自然及人文环境状况</v>
      </c>
      <c r="R25" s="704" t="s">
        <v>14</v>
      </c>
      <c r="S25" s="705">
        <f>F25</f>
        <v>100</v>
      </c>
      <c r="T25" s="704" t="s">
        <v>14</v>
      </c>
      <c r="U25" s="705">
        <f>H25</f>
        <v>100</v>
      </c>
      <c r="V25" s="704" t="s">
        <v>14</v>
      </c>
      <c r="W25" s="705">
        <f>J25</f>
        <v>100</v>
      </c>
      <c r="X25" s="1351"/>
      <c r="Y25" s="373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38"/>
      <c r="Q26" s="1348"/>
      <c r="R26" s="704"/>
      <c r="S26" s="705"/>
      <c r="T26" s="704"/>
      <c r="U26" s="705"/>
      <c r="V26" s="704"/>
      <c r="W26" s="705"/>
      <c r="X26" s="1351"/>
      <c r="Y26" s="3738"/>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38"/>
      <c r="Q27" s="1339" t="str">
        <f t="shared" si="8"/>
        <v>公共配套设施</v>
      </c>
      <c r="R27" s="700" t="s">
        <v>14</v>
      </c>
      <c r="S27" s="701">
        <f>F27</f>
        <v>100</v>
      </c>
      <c r="T27" s="700" t="s">
        <v>14</v>
      </c>
      <c r="U27" s="701">
        <f>H27</f>
        <v>100</v>
      </c>
      <c r="V27" s="700" t="s">
        <v>14</v>
      </c>
      <c r="W27" s="701">
        <f>J27</f>
        <v>100</v>
      </c>
      <c r="X27" s="702"/>
      <c r="Y27" s="3738"/>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38"/>
      <c r="Q28" s="1339"/>
      <c r="R28" s="700"/>
      <c r="S28" s="701"/>
      <c r="T28" s="700"/>
      <c r="U28" s="701"/>
      <c r="V28" s="700"/>
      <c r="W28" s="701"/>
      <c r="X28" s="702"/>
      <c r="Y28" s="3738"/>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38"/>
      <c r="Q29" s="1339" t="str">
        <f t="shared" ref="Q29" si="9">B29</f>
        <v>基础设施水平</v>
      </c>
      <c r="R29" s="700" t="s">
        <v>14</v>
      </c>
      <c r="S29" s="701">
        <f>F29</f>
        <v>100</v>
      </c>
      <c r="T29" s="700" t="s">
        <v>14</v>
      </c>
      <c r="U29" s="701">
        <f>H29</f>
        <v>100</v>
      </c>
      <c r="V29" s="700" t="s">
        <v>14</v>
      </c>
      <c r="W29" s="701">
        <f>J29</f>
        <v>100</v>
      </c>
      <c r="X29" s="702"/>
      <c r="Y29" s="3738"/>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38"/>
      <c r="Q30" s="1339"/>
      <c r="R30" s="700"/>
      <c r="S30" s="701"/>
      <c r="T30" s="700"/>
      <c r="U30" s="701"/>
      <c r="V30" s="700"/>
      <c r="W30" s="701"/>
      <c r="X30" s="702"/>
      <c r="Y30" s="3738"/>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38"/>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38"/>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38"/>
      <c r="Q32" s="1348" t="str">
        <f t="shared" si="8"/>
        <v>毗邻道路的类型与等级</v>
      </c>
      <c r="R32" s="704" t="s">
        <v>14</v>
      </c>
      <c r="S32" s="705">
        <f t="shared" si="10"/>
        <v>100</v>
      </c>
      <c r="T32" s="704" t="s">
        <v>14</v>
      </c>
      <c r="U32" s="705">
        <f t="shared" si="11"/>
        <v>100</v>
      </c>
      <c r="V32" s="704" t="s">
        <v>14</v>
      </c>
      <c r="W32" s="705">
        <f t="shared" si="12"/>
        <v>100</v>
      </c>
      <c r="X32" s="1351"/>
      <c r="Y32" s="373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38"/>
      <c r="Q33" s="1348"/>
      <c r="R33" s="704"/>
      <c r="S33" s="705"/>
      <c r="T33" s="704"/>
      <c r="U33" s="705"/>
      <c r="V33" s="704"/>
      <c r="W33" s="705"/>
      <c r="X33" s="1351"/>
      <c r="Y33" s="3738"/>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38"/>
      <c r="Q34" s="1348" t="str">
        <f t="shared" si="8"/>
        <v>土地级别</v>
      </c>
      <c r="R34" s="704" t="s">
        <v>14</v>
      </c>
      <c r="S34" s="705">
        <f t="shared" si="10"/>
        <v>100</v>
      </c>
      <c r="T34" s="704" t="s">
        <v>14</v>
      </c>
      <c r="U34" s="705">
        <f t="shared" si="11"/>
        <v>100</v>
      </c>
      <c r="V34" s="704" t="s">
        <v>14</v>
      </c>
      <c r="W34" s="705">
        <f t="shared" si="12"/>
        <v>100</v>
      </c>
      <c r="X34" s="1351"/>
      <c r="Y34" s="3738"/>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38"/>
      <c r="Q35" s="1348">
        <f t="shared" si="8"/>
        <v>111</v>
      </c>
      <c r="R35" s="704" t="s">
        <v>14</v>
      </c>
      <c r="S35" s="705">
        <f t="shared" si="10"/>
        <v>100</v>
      </c>
      <c r="T35" s="704" t="s">
        <v>14</v>
      </c>
      <c r="U35" s="705">
        <f t="shared" si="11"/>
        <v>100</v>
      </c>
      <c r="V35" s="704" t="s">
        <v>14</v>
      </c>
      <c r="W35" s="705">
        <f t="shared" si="12"/>
        <v>100</v>
      </c>
      <c r="X35" s="1351"/>
      <c r="Y35" s="3738"/>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83" t="s">
        <v>1693</v>
      </c>
      <c r="Q36" s="1348">
        <f t="shared" si="8"/>
        <v>111</v>
      </c>
      <c r="R36" s="704" t="s">
        <v>14</v>
      </c>
      <c r="S36" s="705">
        <f t="shared" si="10"/>
        <v>100</v>
      </c>
      <c r="T36" s="704" t="s">
        <v>14</v>
      </c>
      <c r="U36" s="705">
        <f t="shared" si="11"/>
        <v>100</v>
      </c>
      <c r="V36" s="704" t="s">
        <v>14</v>
      </c>
      <c r="W36" s="705">
        <f t="shared" si="12"/>
        <v>100</v>
      </c>
      <c r="X36" s="1351"/>
      <c r="Y36" s="3742"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42"/>
      <c r="Q37" s="1348">
        <f t="shared" si="8"/>
        <v>111</v>
      </c>
      <c r="R37" s="707" t="s">
        <v>14</v>
      </c>
      <c r="S37" s="708">
        <f t="shared" si="10"/>
        <v>100</v>
      </c>
      <c r="T37" s="707" t="s">
        <v>14</v>
      </c>
      <c r="U37" s="708">
        <f t="shared" si="11"/>
        <v>100</v>
      </c>
      <c r="V37" s="707" t="s">
        <v>14</v>
      </c>
      <c r="W37" s="708">
        <f t="shared" si="12"/>
        <v>100</v>
      </c>
      <c r="X37" s="709"/>
      <c r="Y37" s="3742"/>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42"/>
      <c r="Q38" s="1348" t="str">
        <f>B38</f>
        <v>宗地面积</v>
      </c>
      <c r="R38" s="704" t="s">
        <v>14</v>
      </c>
      <c r="S38" s="705" t="e">
        <f t="shared" si="10"/>
        <v>#N/A</v>
      </c>
      <c r="T38" s="704" t="s">
        <v>14</v>
      </c>
      <c r="U38" s="705" t="e">
        <f t="shared" si="11"/>
        <v>#N/A</v>
      </c>
      <c r="V38" s="704" t="s">
        <v>14</v>
      </c>
      <c r="W38" s="705" t="e">
        <f t="shared" si="12"/>
        <v>#N/A</v>
      </c>
      <c r="X38" s="1351"/>
      <c r="Y38" s="3742"/>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42"/>
      <c r="Q39" s="1348" t="str">
        <f t="shared" ref="Q39:Q45" si="14">B39</f>
        <v>宗地形状</v>
      </c>
      <c r="R39" s="704" t="s">
        <v>14</v>
      </c>
      <c r="S39" s="705">
        <f t="shared" si="10"/>
        <v>100</v>
      </c>
      <c r="T39" s="704" t="s">
        <v>14</v>
      </c>
      <c r="U39" s="705">
        <f t="shared" si="11"/>
        <v>100</v>
      </c>
      <c r="V39" s="704" t="s">
        <v>14</v>
      </c>
      <c r="W39" s="705">
        <f t="shared" si="12"/>
        <v>100</v>
      </c>
      <c r="X39" s="1351"/>
      <c r="Y39" s="3742"/>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42"/>
      <c r="Q40" s="1348" t="str">
        <f t="shared" si="14"/>
        <v>临街宽度及深度</v>
      </c>
      <c r="R40" s="704" t="s">
        <v>14</v>
      </c>
      <c r="S40" s="705">
        <f t="shared" si="10"/>
        <v>100</v>
      </c>
      <c r="T40" s="704" t="s">
        <v>14</v>
      </c>
      <c r="U40" s="705">
        <f t="shared" si="11"/>
        <v>100</v>
      </c>
      <c r="V40" s="704" t="s">
        <v>14</v>
      </c>
      <c r="W40" s="705">
        <f t="shared" si="12"/>
        <v>100</v>
      </c>
      <c r="X40" s="1351"/>
      <c r="Y40" s="3742"/>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42"/>
      <c r="Q41" s="1348" t="str">
        <f t="shared" si="14"/>
        <v>宗地开发程度</v>
      </c>
      <c r="R41" s="700" t="s">
        <v>14</v>
      </c>
      <c r="S41" s="701">
        <f t="shared" si="10"/>
        <v>100</v>
      </c>
      <c r="T41" s="700" t="s">
        <v>14</v>
      </c>
      <c r="U41" s="701">
        <f t="shared" si="11"/>
        <v>100</v>
      </c>
      <c r="V41" s="700" t="s">
        <v>14</v>
      </c>
      <c r="W41" s="701">
        <f t="shared" si="12"/>
        <v>100</v>
      </c>
      <c r="X41" s="702"/>
      <c r="Y41" s="3742"/>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42" t="s">
        <v>1693</v>
      </c>
      <c r="Q42" s="1348" t="str">
        <f t="shared" si="14"/>
        <v>工程地质条件</v>
      </c>
      <c r="R42" s="704" t="s">
        <v>14</v>
      </c>
      <c r="S42" s="705">
        <f t="shared" si="10"/>
        <v>100</v>
      </c>
      <c r="T42" s="704" t="s">
        <v>14</v>
      </c>
      <c r="U42" s="705">
        <f t="shared" si="11"/>
        <v>100</v>
      </c>
      <c r="V42" s="704" t="s">
        <v>14</v>
      </c>
      <c r="W42" s="705">
        <f t="shared" si="12"/>
        <v>100</v>
      </c>
      <c r="X42" s="1351"/>
      <c r="Y42" s="3742"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42"/>
      <c r="Q43" s="1348">
        <f t="shared" si="14"/>
        <v>111</v>
      </c>
      <c r="R43" s="704" t="s">
        <v>14</v>
      </c>
      <c r="S43" s="705">
        <f t="shared" si="10"/>
        <v>100</v>
      </c>
      <c r="T43" s="704" t="s">
        <v>14</v>
      </c>
      <c r="U43" s="705">
        <f t="shared" si="11"/>
        <v>100</v>
      </c>
      <c r="V43" s="704" t="s">
        <v>14</v>
      </c>
      <c r="W43" s="705">
        <f t="shared" si="12"/>
        <v>100</v>
      </c>
      <c r="X43" s="1351"/>
      <c r="Y43" s="3742"/>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42"/>
      <c r="Q44" s="1348">
        <f t="shared" si="14"/>
        <v>111</v>
      </c>
      <c r="R44" s="704" t="s">
        <v>14</v>
      </c>
      <c r="S44" s="705">
        <f t="shared" si="10"/>
        <v>100</v>
      </c>
      <c r="T44" s="704" t="s">
        <v>14</v>
      </c>
      <c r="U44" s="705">
        <f t="shared" si="11"/>
        <v>100</v>
      </c>
      <c r="V44" s="704" t="s">
        <v>14</v>
      </c>
      <c r="W44" s="705">
        <f t="shared" si="12"/>
        <v>100</v>
      </c>
      <c r="X44" s="1351"/>
      <c r="Y44" s="3742"/>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42"/>
      <c r="Q45" s="1348">
        <f t="shared" si="14"/>
        <v>111</v>
      </c>
      <c r="R45" s="707" t="s">
        <v>14</v>
      </c>
      <c r="S45" s="708">
        <f t="shared" si="10"/>
        <v>100</v>
      </c>
      <c r="T45" s="707" t="s">
        <v>14</v>
      </c>
      <c r="U45" s="708">
        <f t="shared" si="11"/>
        <v>100</v>
      </c>
      <c r="V45" s="707" t="s">
        <v>14</v>
      </c>
      <c r="W45" s="708">
        <f t="shared" si="12"/>
        <v>100</v>
      </c>
      <c r="X45" s="709"/>
      <c r="Y45" s="3742"/>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44" t="str">
        <f>A46</f>
        <v>成交单价</v>
      </c>
      <c r="Q46" s="3744"/>
      <c r="R46" s="3706">
        <f>E46</f>
        <v>0</v>
      </c>
      <c r="S46" s="3706"/>
      <c r="T46" s="3706">
        <f>G46</f>
        <v>0</v>
      </c>
      <c r="U46" s="3706"/>
      <c r="V46" s="3706">
        <f>I46</f>
        <v>0</v>
      </c>
      <c r="W46" s="3706"/>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44" t="str">
        <f>A47</f>
        <v>比较价值（元/平方米）</v>
      </c>
      <c r="Q47" s="3744"/>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46" t="str">
        <f>A48</f>
        <v>估价对象XX用房的比较价值（楼面单价，元/平方米）</v>
      </c>
      <c r="Q48" s="3747"/>
      <c r="R48" s="3786" t="e">
        <f>ROUND(IF(D47="简单平均",AVERAGE(R47:W47),R47*F47+T47*H47+V47*J47),0)</f>
        <v>#DIV/0!</v>
      </c>
      <c r="S48" s="3786"/>
      <c r="T48" s="3786"/>
      <c r="U48" s="3786"/>
      <c r="V48" s="3786"/>
      <c r="W48" s="3786"/>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22" t="s">
        <v>1884</v>
      </c>
      <c r="H55" s="3787"/>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34873.519999999997</v>
      </c>
      <c r="F56" s="882" t="e">
        <f t="shared" ref="F56:F64" si="15">ROUND(B56*E56/10000,0)</f>
        <v>#DIV/0!</v>
      </c>
      <c r="G56" s="3721"/>
      <c r="H56" s="3744"/>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15311.600000000002</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50185.119999999995</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43.65</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6566</v>
      </c>
      <c r="C2" s="1383" t="s">
        <v>804</v>
      </c>
      <c r="D2" s="1383"/>
      <c r="E2" s="1384"/>
      <c r="F2" s="1385"/>
      <c r="G2" s="2702"/>
      <c r="H2" s="2691"/>
      <c r="I2" s="2691"/>
      <c r="J2" s="2691"/>
      <c r="K2" s="2692"/>
      <c r="L2" s="2691"/>
      <c r="M2" s="2691"/>
    </row>
    <row r="3" spans="1:37" ht="18" customHeight="1" thickBot="1">
      <c r="A3" s="1386" t="s">
        <v>805</v>
      </c>
      <c r="B3" s="1387">
        <f ca="1">IF(ISERROR(B2*10000/F43),0,ROUND(B2*10000/F43,0))</f>
        <v>4288</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378</v>
      </c>
      <c r="D5" s="1360" t="s">
        <v>692</v>
      </c>
      <c r="E5" s="1067"/>
      <c r="F5" s="1068"/>
      <c r="G5" s="1380"/>
      <c r="H5" s="299">
        <v>1</v>
      </c>
      <c r="I5" s="300" t="s">
        <v>691</v>
      </c>
      <c r="J5" s="1066">
        <f ca="1">J6+J10+J12</f>
        <v>0</v>
      </c>
      <c r="K5" s="1360" t="s">
        <v>692</v>
      </c>
      <c r="L5" s="1067"/>
      <c r="M5" s="1068"/>
    </row>
    <row r="6" spans="1:37" ht="18" customHeight="1">
      <c r="A6" s="1065" t="s">
        <v>397</v>
      </c>
      <c r="B6" s="3698" t="s">
        <v>693</v>
      </c>
      <c r="C6" s="1070">
        <f ca="1">ROUND(F6*F8*F7*(1-F9)/10000,0)</f>
        <v>378</v>
      </c>
      <c r="D6" s="155" t="s">
        <v>2104</v>
      </c>
      <c r="E6" s="302" t="s">
        <v>695</v>
      </c>
      <c r="F6" s="303">
        <f ca="1">INDIRECT("'数据-取费表'!u"&amp;$G$1)</f>
        <v>800</v>
      </c>
      <c r="G6" s="1380"/>
      <c r="H6" s="1065" t="s">
        <v>397</v>
      </c>
      <c r="I6" s="3698" t="s">
        <v>693</v>
      </c>
      <c r="J6" s="301">
        <f ca="1">ROUND(M6*M8*M7*(1-M9)/10000,0)</f>
        <v>0</v>
      </c>
      <c r="K6" s="155" t="s">
        <v>2103</v>
      </c>
      <c r="L6" s="302" t="s">
        <v>695</v>
      </c>
      <c r="M6" s="303">
        <f ca="1">INDIRECT("'数据-取费表'!z"&amp;$G$1)</f>
        <v>0</v>
      </c>
    </row>
    <row r="7" spans="1:37" ht="18" customHeight="1">
      <c r="A7" s="1069"/>
      <c r="B7" s="3699"/>
      <c r="C7" s="1071"/>
      <c r="D7" s="307"/>
      <c r="E7" s="3490" t="s">
        <v>696</v>
      </c>
      <c r="F7" s="303">
        <f ca="1">IF(INDIRECT("'数据-取费表'!ah"&amp;$G$1)="",INDIRECT("'数据-取费表'!k"&amp;$G$1),INDIRECT("'数据-取费表'!ah"&amp;$G$1))</f>
        <v>437</v>
      </c>
      <c r="G7" s="1380"/>
      <c r="H7" s="304"/>
      <c r="I7" s="3699"/>
      <c r="J7" s="306"/>
      <c r="K7" s="307"/>
      <c r="L7" s="302" t="s">
        <v>696</v>
      </c>
      <c r="M7" s="303">
        <f ca="1">F7</f>
        <v>437</v>
      </c>
    </row>
    <row r="8" spans="1:37" ht="18" customHeight="1">
      <c r="A8" s="304"/>
      <c r="B8" s="3699"/>
      <c r="C8" s="306"/>
      <c r="D8" s="307"/>
      <c r="E8" s="302" t="s">
        <v>697</v>
      </c>
      <c r="F8" s="303">
        <f ca="1">INDIRECT("'数据-取费表'!ai"&amp;$G$1)</f>
        <v>12</v>
      </c>
      <c r="G8" s="1380"/>
      <c r="H8" s="304"/>
      <c r="I8" s="3699"/>
      <c r="J8" s="306"/>
      <c r="K8" s="307"/>
      <c r="L8" s="302" t="s">
        <v>697</v>
      </c>
      <c r="M8" s="303">
        <f ca="1">INDIRECT("'数据-取费表'!ai"&amp;$G$1)</f>
        <v>12</v>
      </c>
    </row>
    <row r="9" spans="1:37" ht="18" customHeight="1">
      <c r="A9" s="304"/>
      <c r="B9" s="3700"/>
      <c r="C9" s="306"/>
      <c r="D9" s="307"/>
      <c r="E9" s="302" t="s">
        <v>698</v>
      </c>
      <c r="F9" s="312">
        <f ca="1">INDIRECT("'数据-取费表'!w"&amp;$G$1)</f>
        <v>0.1</v>
      </c>
      <c r="G9" s="1380"/>
      <c r="H9" s="304"/>
      <c r="I9" s="3700"/>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9094</v>
      </c>
      <c r="D13" s="3487" t="s">
        <v>704</v>
      </c>
      <c r="E13" s="348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7331</v>
      </c>
      <c r="D14" s="3497" t="s">
        <v>707</v>
      </c>
      <c r="E14" s="3496"/>
      <c r="F14" s="319"/>
      <c r="G14" s="1380"/>
      <c r="H14" s="978" t="s">
        <v>397</v>
      </c>
      <c r="I14" s="302" t="s">
        <v>708</v>
      </c>
      <c r="J14" s="21">
        <f ca="1">C29</f>
        <v>9573</v>
      </c>
      <c r="K14" s="3489"/>
      <c r="L14" s="803"/>
      <c r="M14" s="804"/>
    </row>
    <row r="15" spans="1:37" s="1393" customFormat="1" ht="18" customHeight="1" thickBot="1">
      <c r="A15" s="978" t="s">
        <v>398</v>
      </c>
      <c r="B15" s="302" t="s">
        <v>709</v>
      </c>
      <c r="C15" s="21">
        <f ca="1">ROUND(C14*F15,0)</f>
        <v>220</v>
      </c>
      <c r="D15" s="3488" t="s">
        <v>710</v>
      </c>
      <c r="E15" s="3488" t="s">
        <v>711</v>
      </c>
      <c r="F15" s="321">
        <f>'数据-取费表'!B33</f>
        <v>0.03</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54</v>
      </c>
      <c r="K16" s="1083" t="s">
        <v>714</v>
      </c>
      <c r="L16" s="3499"/>
      <c r="M16" s="1068"/>
    </row>
    <row r="17" spans="1:37" s="1393" customFormat="1" ht="18" customHeight="1">
      <c r="A17" s="978" t="s">
        <v>680</v>
      </c>
      <c r="B17" s="302" t="s">
        <v>715</v>
      </c>
      <c r="C17" s="21">
        <f ca="1">ROUND(F17*(F43+INDIRECT("'数据-取费表'!S"&amp;$G$1))/10000,0)</f>
        <v>307</v>
      </c>
      <c r="D17" s="302" t="s">
        <v>716</v>
      </c>
      <c r="E17" s="302" t="s">
        <v>717</v>
      </c>
      <c r="F17" s="23">
        <f>'数据-取费表'!B35</f>
        <v>200</v>
      </c>
      <c r="G17" s="1392"/>
      <c r="H17" s="978" t="s">
        <v>397</v>
      </c>
      <c r="I17" s="302" t="s">
        <v>718</v>
      </c>
      <c r="J17" s="2312">
        <f ca="1">ROUND(IF(AND(项目基本情况!B11="自然人",项目基本情况!B10="北京市"),J6*M17/(1+'数据-取费表'!C42),J18+J19+J20),2)</f>
        <v>5.67</v>
      </c>
      <c r="K17" s="3497" t="s">
        <v>719</v>
      </c>
      <c r="L17" s="3498"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147</v>
      </c>
      <c r="D18" s="302" t="s">
        <v>710</v>
      </c>
      <c r="E18" s="302" t="s">
        <v>711</v>
      </c>
      <c r="F18" s="322">
        <f>'数据-取费表'!B36</f>
        <v>0.02</v>
      </c>
      <c r="G18" s="1392"/>
      <c r="H18" s="978" t="s">
        <v>396</v>
      </c>
      <c r="I18" s="302" t="s">
        <v>722</v>
      </c>
      <c r="J18" s="21">
        <f ca="1">ROUND(J6*M18/(1+'数据-取费表'!C42),2)</f>
        <v>0</v>
      </c>
      <c r="K18" s="3498"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8005</v>
      </c>
      <c r="D19" s="131" t="s">
        <v>725</v>
      </c>
      <c r="E19" s="3508"/>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160</v>
      </c>
      <c r="D20" s="2424" t="s">
        <v>728</v>
      </c>
      <c r="E20" s="302" t="s">
        <v>711</v>
      </c>
      <c r="F20" s="322">
        <f>'数据-取费表'!B37</f>
        <v>0.02</v>
      </c>
      <c r="G20" s="1392"/>
      <c r="H20" s="978" t="s">
        <v>679</v>
      </c>
      <c r="I20" s="155" t="s">
        <v>729</v>
      </c>
      <c r="J20" s="22">
        <f ca="1">ROUND(M20*M21/10000,2)</f>
        <v>5.67</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3150.5499999999997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8"/>
      <c r="F22" s="23"/>
      <c r="G22" s="1380"/>
      <c r="H22" s="978" t="s">
        <v>401</v>
      </c>
      <c r="I22" s="302" t="s">
        <v>737</v>
      </c>
      <c r="J22" s="21">
        <f ca="1">ROUND(J14*M22,2)</f>
        <v>47.87</v>
      </c>
      <c r="K22" s="3498"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282</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8" t="s">
        <v>742</v>
      </c>
      <c r="L23" s="302" t="s">
        <v>743</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8"/>
      <c r="F25" s="23"/>
      <c r="G25" s="1380"/>
      <c r="H25" s="1075" t="s">
        <v>393</v>
      </c>
      <c r="I25" s="1090" t="s">
        <v>751</v>
      </c>
      <c r="J25" s="310">
        <f ca="1">J5-J16</f>
        <v>-54</v>
      </c>
      <c r="K25" s="1091" t="s">
        <v>752</v>
      </c>
      <c r="L25" s="1092"/>
      <c r="M25" s="1093"/>
    </row>
    <row r="26" spans="1:37">
      <c r="A26" s="978" t="s">
        <v>396</v>
      </c>
      <c r="B26" s="302" t="s">
        <v>753</v>
      </c>
      <c r="C26" s="21">
        <f ca="1">ROUND((C19+C20)*F26,0)</f>
        <v>408</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0.05</v>
      </c>
    </row>
    <row r="27" spans="1:37" ht="18" customHeight="1">
      <c r="A27" s="978" t="s">
        <v>398</v>
      </c>
      <c r="B27" s="302" t="s">
        <v>759</v>
      </c>
      <c r="C27" s="21">
        <f ca="1">ROUND(F21*F26,4)</f>
        <v>1E-3</v>
      </c>
      <c r="D27" s="2424" t="s">
        <v>760</v>
      </c>
      <c r="E27" s="3488"/>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9573</v>
      </c>
      <c r="D29" s="1088"/>
      <c r="E29" s="1086"/>
      <c r="F29" s="1089"/>
      <c r="G29" s="1392"/>
      <c r="H29" s="334" t="s">
        <v>395</v>
      </c>
      <c r="I29" s="335" t="s">
        <v>767</v>
      </c>
      <c r="J29" s="336">
        <f ca="1">ROUND(J26/(1+F40)^F41,0)</f>
        <v>0</v>
      </c>
      <c r="K29" s="337" t="s">
        <v>768</v>
      </c>
      <c r="L29" s="338"/>
      <c r="M29" s="339">
        <f ca="1">INDIRECT("'数据-取费表'!k"&amp;$G$1)</f>
        <v>15311.600000000002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132</v>
      </c>
      <c r="D30" s="1083" t="s">
        <v>714</v>
      </c>
      <c r="E30" s="3499"/>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69.03</v>
      </c>
      <c r="D31" s="3497" t="s">
        <v>719</v>
      </c>
      <c r="E31" s="3498"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20.16</v>
      </c>
      <c r="D32" s="3498"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43.2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5.67</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3150.5499999999997</v>
      </c>
      <c r="G35" s="1380"/>
      <c r="H35" s="2693"/>
      <c r="I35" s="1394"/>
      <c r="J35" s="1395"/>
      <c r="K35" s="2697"/>
      <c r="L35" s="2696"/>
      <c r="M35" s="2696"/>
    </row>
    <row r="36" spans="1:18" ht="18" customHeight="1">
      <c r="A36" s="1098" t="s">
        <v>401</v>
      </c>
      <c r="B36" s="302" t="s">
        <v>737</v>
      </c>
      <c r="C36" s="21">
        <f ca="1">ROUND(C29*F36,2)</f>
        <v>47.87</v>
      </c>
      <c r="D36" s="3498"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13.64</v>
      </c>
      <c r="D37" s="3498" t="s">
        <v>742</v>
      </c>
      <c r="E37" s="302" t="s">
        <v>743</v>
      </c>
      <c r="F37" s="330">
        <f ca="1">INDIRECT("'数据-取费表'!Al"&amp;$G$1)</f>
        <v>1.5E-3</v>
      </c>
      <c r="G37" s="1380"/>
      <c r="H37" s="2696"/>
      <c r="I37" s="1394"/>
      <c r="J37" s="1395"/>
      <c r="K37" s="2540"/>
      <c r="L37" s="2696"/>
      <c r="M37" s="2696"/>
    </row>
    <row r="38" spans="1:18" ht="18" customHeight="1" thickBot="1">
      <c r="A38" s="1085" t="s">
        <v>683</v>
      </c>
      <c r="B38" s="1086" t="s">
        <v>727</v>
      </c>
      <c r="C38" s="1087">
        <f ca="1">ROUND(C5*F38,2)</f>
        <v>1.89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246</v>
      </c>
      <c r="D39" s="1091" t="s">
        <v>772</v>
      </c>
      <c r="E39" s="1092"/>
      <c r="F39" s="1093"/>
      <c r="G39" s="1380"/>
      <c r="H39" s="2696"/>
      <c r="I39" s="1394"/>
      <c r="J39" s="1395"/>
      <c r="K39" s="2700"/>
      <c r="L39" s="2696"/>
      <c r="M39" s="2696"/>
    </row>
    <row r="40" spans="1:18" ht="18" customHeight="1">
      <c r="A40" s="299" t="s">
        <v>394</v>
      </c>
      <c r="B40" s="300" t="s">
        <v>773</v>
      </c>
      <c r="C40" s="301">
        <f ca="1">ROUND(C39*(1-((1+F42)/(1+F40))^F41)/(F40-F42),0)</f>
        <v>6403</v>
      </c>
      <c r="D40" s="324" t="s">
        <v>757</v>
      </c>
      <c r="E40" s="302" t="s">
        <v>758</v>
      </c>
      <c r="F40" s="312">
        <f ca="1">INDIRECT("'数据-取费表'!I"&amp;$G$1)</f>
        <v>0.05</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43.65</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4182</v>
      </c>
      <c r="D43" s="337" t="s">
        <v>776</v>
      </c>
      <c r="E43" s="338" t="s">
        <v>777</v>
      </c>
      <c r="F43" s="339">
        <f ca="1">INDIRECT("'数据-取费表'!k"&amp;$G$1)</f>
        <v>15311.600000000002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-7601</v>
      </c>
      <c r="D46" s="1402" t="str">
        <f>C2</f>
        <v>万元</v>
      </c>
      <c r="E46" s="1396"/>
      <c r="F46" s="1396"/>
      <c r="I46" s="1403" t="s">
        <v>809</v>
      </c>
      <c r="J46" s="1404"/>
      <c r="K46" s="1405"/>
      <c r="L46" s="1406">
        <f ca="1">IF(M47="住宅",0,IF(L48&gt;J51,L60,J60))</f>
        <v>163</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6403</v>
      </c>
      <c r="R47" s="1416" t="s">
        <v>817</v>
      </c>
    </row>
    <row r="48" spans="1:18" s="1380" customFormat="1" ht="28.5" thickBot="1">
      <c r="A48" s="1106" t="s">
        <v>437</v>
      </c>
      <c r="B48" s="300" t="s">
        <v>691</v>
      </c>
      <c r="C48" s="3507">
        <f ca="1">C49+C53+C55</f>
        <v>0</v>
      </c>
      <c r="D48" s="1108"/>
      <c r="E48" s="1109"/>
      <c r="F48" s="958"/>
      <c r="G48" s="721"/>
      <c r="H48" s="722"/>
      <c r="I48" s="1417" t="s">
        <v>818</v>
      </c>
      <c r="J48" s="1418" t="s">
        <v>3429</v>
      </c>
      <c r="K48" s="1419" t="s">
        <v>819</v>
      </c>
      <c r="L48" s="1420">
        <f ca="1">INDIRECT("'数据-取费表'!f"&amp;$G$1)</f>
        <v>43.65</v>
      </c>
      <c r="O48" s="1414" t="s">
        <v>403</v>
      </c>
      <c r="P48" s="1415" t="s">
        <v>820</v>
      </c>
      <c r="Q48" s="1416">
        <f ca="1">J60</f>
        <v>163</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9573</v>
      </c>
      <c r="R49" s="1416" t="s">
        <v>817</v>
      </c>
    </row>
    <row r="50" spans="1:18" s="1380" customFormat="1" ht="13.5" thickBot="1">
      <c r="A50" s="972"/>
      <c r="B50" s="975"/>
      <c r="C50" s="1114"/>
      <c r="D50" s="949"/>
      <c r="E50" s="1052" t="s">
        <v>696</v>
      </c>
      <c r="F50" s="1053">
        <f ca="1">F7</f>
        <v>437</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-7973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43.65</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43.65</v>
      </c>
      <c r="K53" s="3701" t="s">
        <v>836</v>
      </c>
      <c r="L53" s="3702"/>
      <c r="O53" s="1414" t="s">
        <v>408</v>
      </c>
      <c r="P53" s="1415" t="s">
        <v>837</v>
      </c>
      <c r="Q53" s="1416">
        <f ca="1">Q47+Q48</f>
        <v>6566</v>
      </c>
      <c r="R53" s="1416" t="s">
        <v>409</v>
      </c>
    </row>
    <row r="54" spans="1:18" s="1380" customFormat="1" ht="13.5" thickBot="1">
      <c r="A54" s="1149"/>
      <c r="B54" s="1363" t="s">
        <v>678</v>
      </c>
      <c r="C54" s="955"/>
      <c r="D54" s="1362"/>
      <c r="E54" s="349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1"/>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9094</v>
      </c>
      <c r="D56" s="1443"/>
      <c r="E56" s="1444"/>
      <c r="F56" s="1436"/>
      <c r="I56" s="1445" t="s">
        <v>841</v>
      </c>
      <c r="J56" s="1446" t="s">
        <v>3380</v>
      </c>
      <c r="K56" s="1417" t="s">
        <v>842</v>
      </c>
      <c r="L56" s="1420" t="str">
        <f ca="1">IF(L48&lt;J51,"——",L48-J53)</f>
        <v>——</v>
      </c>
      <c r="O56" s="1414" t="s">
        <v>402</v>
      </c>
      <c r="P56" s="1415" t="s">
        <v>816</v>
      </c>
      <c r="Q56" s="1416">
        <f ca="1">C40+J29</f>
        <v>6403</v>
      </c>
      <c r="R56" s="1416" t="s">
        <v>817</v>
      </c>
    </row>
    <row r="57" spans="1:18" s="1380" customFormat="1" ht="24.75" thickBot="1">
      <c r="A57" s="1447"/>
      <c r="B57" s="946" t="s">
        <v>766</v>
      </c>
      <c r="C57" s="238">
        <f ca="1">C29</f>
        <v>9573</v>
      </c>
      <c r="D57" s="1448"/>
      <c r="E57" s="1449"/>
      <c r="F57" s="1450"/>
      <c r="I57" s="1451" t="s">
        <v>843</v>
      </c>
      <c r="J57" s="1452">
        <f ca="1">IF(OR(M47="住宅",J51&lt;L48,J56="是"),"——",J51-L48)</f>
        <v>13.350000000000001</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68</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6</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3829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163</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5.67</v>
      </c>
      <c r="D62" s="961" t="s">
        <v>785</v>
      </c>
      <c r="E62" s="946" t="s">
        <v>786</v>
      </c>
      <c r="F62" s="325">
        <f t="shared" si="0"/>
        <v>18</v>
      </c>
      <c r="I62" s="1458" t="s">
        <v>857</v>
      </c>
      <c r="J62" s="1459" t="s">
        <v>858</v>
      </c>
      <c r="K62" s="1459" t="s">
        <v>859</v>
      </c>
      <c r="L62" s="1459" t="s">
        <v>860</v>
      </c>
      <c r="M62" s="1460" t="s">
        <v>861</v>
      </c>
      <c r="O62" s="1414" t="s">
        <v>408</v>
      </c>
      <c r="P62" s="1415" t="s">
        <v>862</v>
      </c>
      <c r="Q62" s="1416">
        <f ca="1">Q56+Q57</f>
        <v>6403</v>
      </c>
      <c r="R62" s="1416" t="s">
        <v>409</v>
      </c>
    </row>
    <row r="63" spans="1:18" s="1380" customFormat="1" ht="13.5" thickBot="1">
      <c r="A63" s="326"/>
      <c r="B63" s="952"/>
      <c r="C63" s="26"/>
      <c r="D63" s="962"/>
      <c r="E63" s="946" t="s">
        <v>787</v>
      </c>
      <c r="F63" s="303">
        <f t="shared" ca="1" si="0"/>
        <v>3150.5499999999997</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47.87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13.64</v>
      </c>
      <c r="D65" s="960" t="s">
        <v>742</v>
      </c>
      <c r="E65" s="946" t="s">
        <v>743</v>
      </c>
      <c r="F65" s="330">
        <f t="shared" ca="1" si="0"/>
        <v>1.5E-3</v>
      </c>
      <c r="I65" s="1458" t="s">
        <v>866</v>
      </c>
      <c r="J65" s="1459">
        <v>40</v>
      </c>
      <c r="K65" s="1459">
        <v>30</v>
      </c>
      <c r="L65" s="1459">
        <v>50</v>
      </c>
      <c r="M65" s="1461">
        <v>0.02</v>
      </c>
      <c r="O65" s="1414" t="s">
        <v>402</v>
      </c>
      <c r="P65" s="1415" t="s">
        <v>867</v>
      </c>
      <c r="Q65" s="1416">
        <f ca="1">C40+J29</f>
        <v>6403</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-68</v>
      </c>
      <c r="D67" s="959" t="s">
        <v>752</v>
      </c>
      <c r="E67" s="964"/>
      <c r="F67" s="965"/>
      <c r="O67" s="1424" t="s">
        <v>404</v>
      </c>
      <c r="P67" s="1415" t="s">
        <v>849</v>
      </c>
      <c r="Q67" s="1462">
        <f ca="1">L51</f>
        <v>-7973</v>
      </c>
      <c r="R67" s="1416" t="s">
        <v>869</v>
      </c>
    </row>
    <row r="68" spans="1:18" s="1380" customFormat="1" ht="16.5" thickBot="1">
      <c r="A68" s="943" t="s">
        <v>394</v>
      </c>
      <c r="B68" s="944" t="s">
        <v>773</v>
      </c>
      <c r="C68" s="301">
        <f ca="1">ROUND(C67*(1-((1+F70)/(1+F68))^F69)/(F68-F70),0)</f>
        <v>-1198</v>
      </c>
      <c r="D68" s="961" t="s">
        <v>757</v>
      </c>
      <c r="E68" s="946" t="s">
        <v>758</v>
      </c>
      <c r="F68" s="312">
        <f ca="1">F40</f>
        <v>0.05</v>
      </c>
      <c r="O68" s="1424" t="s">
        <v>405</v>
      </c>
      <c r="P68" s="1463" t="s">
        <v>870</v>
      </c>
      <c r="Q68" s="1416">
        <f ca="1">ROUND(Q69-Q70*Q71,0)</f>
        <v>-391</v>
      </c>
      <c r="R68" s="1416" t="s">
        <v>413</v>
      </c>
    </row>
    <row r="69" spans="1:18" s="1380" customFormat="1" ht="13.5" thickBot="1">
      <c r="A69" s="947"/>
      <c r="B69" s="948"/>
      <c r="C69" s="306"/>
      <c r="D69" s="966" t="s">
        <v>761</v>
      </c>
      <c r="E69" s="946" t="s">
        <v>762</v>
      </c>
      <c r="F69" s="333">
        <f ca="1">F41</f>
        <v>43.65</v>
      </c>
      <c r="O69" s="1424" t="s">
        <v>410</v>
      </c>
      <c r="P69" s="1463" t="s">
        <v>871</v>
      </c>
      <c r="Q69" s="1416">
        <f ca="1">C39</f>
        <v>246</v>
      </c>
      <c r="R69" s="1416" t="s">
        <v>817</v>
      </c>
    </row>
    <row r="70" spans="1:18" s="1380" customFormat="1" ht="13.5" thickBot="1">
      <c r="A70" s="950"/>
      <c r="B70" s="951"/>
      <c r="C70" s="310"/>
      <c r="D70" s="962"/>
      <c r="E70" s="946" t="s">
        <v>765</v>
      </c>
      <c r="F70" s="1050"/>
      <c r="O70" s="1424" t="s">
        <v>411</v>
      </c>
      <c r="P70" s="1463" t="s">
        <v>872</v>
      </c>
      <c r="Q70" s="1416">
        <f ca="1">C13</f>
        <v>9094</v>
      </c>
      <c r="R70" s="1416" t="s">
        <v>817</v>
      </c>
    </row>
    <row r="71" spans="1:18" s="1380" customFormat="1" ht="13.5" thickBot="1">
      <c r="A71" s="967" t="s">
        <v>395</v>
      </c>
      <c r="B71" s="968" t="s">
        <v>775</v>
      </c>
      <c r="C71" s="336">
        <f ca="1">ROUND(C68*10000/F71,0)</f>
        <v>-782</v>
      </c>
      <c r="D71" s="969" t="s">
        <v>776</v>
      </c>
      <c r="E71" s="970" t="s">
        <v>777</v>
      </c>
      <c r="F71" s="339">
        <f ca="1">F43</f>
        <v>15311.600000000002</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637</v>
      </c>
      <c r="D75" s="1380"/>
      <c r="E75" s="1380"/>
      <c r="F75" s="1380"/>
      <c r="K75" s="1398"/>
      <c r="L75" s="1380"/>
      <c r="O75" s="1414" t="s">
        <v>408</v>
      </c>
      <c r="P75" s="1415" t="s">
        <v>837</v>
      </c>
      <c r="Q75" s="1416">
        <f ca="1">Q65+Q66</f>
        <v>6403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-1.589</v>
      </c>
    </row>
    <row r="80" spans="1:18">
      <c r="B80" s="340" t="s">
        <v>799</v>
      </c>
      <c r="C80" s="274">
        <f ca="1">ROUND(C75/C39,3)</f>
        <v>2.589</v>
      </c>
    </row>
    <row r="81" spans="2:3">
      <c r="B81" s="270" t="s">
        <v>800</v>
      </c>
      <c r="C81" s="238"/>
    </row>
    <row r="82" spans="2:3">
      <c r="B82" s="273" t="s">
        <v>801</v>
      </c>
      <c r="C82" s="275">
        <f ca="1">1-C83</f>
        <v>-0.41999999999999993</v>
      </c>
    </row>
    <row r="83" spans="2:3">
      <c r="B83" s="273" t="s">
        <v>802</v>
      </c>
      <c r="C83" s="274">
        <f ca="1">ROUND(C13/C40,3)</f>
        <v>1.42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81901</v>
      </c>
      <c r="C2" s="2141" t="s">
        <v>2070</v>
      </c>
      <c r="D2" s="2141" t="s">
        <v>2071</v>
      </c>
      <c r="E2" s="2608">
        <f ca="1">SUMIF(E6:E13,"&lt;&gt;#ref!",E6:E13)</f>
        <v>50185.119999999995</v>
      </c>
      <c r="F2" s="2789"/>
      <c r="G2" s="2789"/>
      <c r="H2" s="2789"/>
      <c r="I2" s="2789"/>
      <c r="J2" s="2789"/>
      <c r="K2" s="2789"/>
      <c r="L2" s="2789"/>
      <c r="M2" s="2789"/>
      <c r="N2" s="2789"/>
      <c r="O2" s="2789"/>
      <c r="P2" s="2789"/>
    </row>
    <row r="3" spans="1:16" ht="15.75">
      <c r="A3" s="2141" t="s">
        <v>2072</v>
      </c>
      <c r="B3" s="2598">
        <f ca="1">ROUND(B2*10000/E2,0)</f>
        <v>16320</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79391</v>
      </c>
      <c r="C6" s="2141" t="s">
        <v>2070</v>
      </c>
      <c r="D6" s="2789"/>
      <c r="E6" s="2608">
        <f ca="1">SUMIF(INDIRECT("'"&amp;A6&amp;"'"&amp;"!C:C"),"建筑面积",INDIRECT("'"&amp;A6&amp;"'"&amp;"!D:D"))</f>
        <v>49070.619999999995</v>
      </c>
      <c r="F6" s="2789"/>
      <c r="G6" s="2789"/>
      <c r="H6" s="2789"/>
      <c r="I6" s="2789"/>
      <c r="J6" s="2789"/>
      <c r="K6" s="2789"/>
      <c r="L6" s="2789"/>
      <c r="M6" s="2789"/>
      <c r="N6" s="2789"/>
      <c r="O6" s="2789"/>
      <c r="P6" s="2789"/>
    </row>
    <row r="7" spans="1:16" ht="15.75">
      <c r="A7" s="2605" t="s">
        <v>3470</v>
      </c>
      <c r="B7" s="2598">
        <f ca="1">SUMIF(INDIRECT("'"&amp;A7&amp;"'"&amp;"!A:A"),"总价",INDIRECT("'"&amp;A7&amp;"'"&amp;"!B:B"))</f>
        <v>2510</v>
      </c>
      <c r="C7" s="2141" t="s">
        <v>2070</v>
      </c>
      <c r="D7" s="2789"/>
      <c r="E7" s="2608">
        <f t="shared" ref="E7:E13" ca="1" si="0">SUMIF(INDIRECT("'"&amp;A7&amp;"'"&amp;"!C:C"),"建筑面积",INDIRECT("'"&amp;A7&amp;"'"&amp;"!D:D"))</f>
        <v>1114.5</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0" zoomScaleNormal="80" zoomScaleSheetLayoutView="100" workbookViewId="0">
      <selection activeCell="C61" sqref="C6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49070.619999999995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79391</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34969</v>
      </c>
      <c r="U2" s="1209">
        <f>'数据-汇总表'!F19</f>
        <v>33759.019999999997</v>
      </c>
      <c r="V2" s="3357">
        <f>ROUND(T2*U2/10000,0)</f>
        <v>118052</v>
      </c>
      <c r="W2" s="1212"/>
      <c r="X2" s="1212"/>
      <c r="Y2" s="1212"/>
      <c r="Z2" s="1212"/>
      <c r="AA2" s="1212"/>
      <c r="AB2" s="1212"/>
      <c r="AC2" s="1213"/>
      <c r="AD2" s="1214"/>
      <c r="AE2" s="1214"/>
      <c r="AF2" s="1214"/>
      <c r="AG2" s="1214"/>
      <c r="AH2" s="1214"/>
      <c r="AI2" s="1214"/>
      <c r="AJ2" s="1215"/>
    </row>
    <row r="3" spans="1:36" ht="15.75">
      <c r="A3" s="203" t="s">
        <v>1936</v>
      </c>
      <c r="B3" s="204">
        <f>ROUND(B2*10000/D1,0)</f>
        <v>16179</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27562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5"/>
      <c r="B4" s="3796"/>
      <c r="C4" s="3796"/>
      <c r="D4" s="3797"/>
      <c r="E4" s="3797"/>
      <c r="F4" s="3797"/>
      <c r="G4" s="3797"/>
      <c r="H4" s="3797"/>
      <c r="I4" s="3797"/>
      <c r="J4" s="3798"/>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23295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22240</v>
      </c>
      <c r="D5" s="1335">
        <f>ROUND(C6*C17+C20,0)</f>
        <v>22240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20545</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19744</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2" t="s">
        <v>1956</v>
      </c>
      <c r="X8" s="3793"/>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4"/>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9" t="s">
        <v>3253</v>
      </c>
      <c r="B20" s="167" t="s">
        <v>1990</v>
      </c>
      <c r="C20" s="3321">
        <f>ROUND(IF(F21="与级别开发程度一致",0,(G21-E21)/C21),0)</f>
        <v>0</v>
      </c>
      <c r="D20" s="3337" t="s">
        <v>1994</v>
      </c>
      <c r="E20" s="3338"/>
      <c r="F20" s="3805" t="s">
        <v>1991</v>
      </c>
      <c r="G20" s="3806"/>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0"/>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45457</v>
      </c>
      <c r="H23" s="3339" t="s">
        <v>3254</v>
      </c>
      <c r="I23" s="3340" t="str">
        <f>IF(H23="季度增幅（自定义）",SUMIF(N25:N28,E2,O25:O28),"")</f>
        <v/>
      </c>
      <c r="J23" s="3442"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0.97009999999999996</v>
      </c>
      <c r="D24" s="2056" t="s">
        <v>2003</v>
      </c>
      <c r="E24" s="1331">
        <f>存贷款利率!E24/100</f>
        <v>4.3499999999999997E-2</v>
      </c>
      <c r="F24" s="2056" t="s">
        <v>1995</v>
      </c>
      <c r="G24" s="764">
        <f>SUMIF(M30:Q30,E2,M33:Q33)</f>
        <v>5.5E-2</v>
      </c>
      <c r="H24" s="2056" t="s">
        <v>2004</v>
      </c>
      <c r="I24" s="765">
        <f>SUMIF('数据-取费表'!C6:C15,E2,'数据-取费表'!F6:F15)/COUNTIF('数据-取费表'!C6:C15,E2)</f>
        <v>43.65</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1.0511999999999999</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79391</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1337</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21933</v>
      </c>
      <c r="D33" s="2094">
        <f>'数据-汇总表'!F19</f>
        <v>33759.019999999997</v>
      </c>
      <c r="E33" s="769">
        <f>ROUND(C33*D33/10000,0)</f>
        <v>74044</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5483</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3"/>
      <c r="B37" s="2109" t="s">
        <v>2032</v>
      </c>
      <c r="C37" s="175">
        <f>ROUND(D5*C22*C23*C24*C28*F37,0)</f>
        <v>13970</v>
      </c>
      <c r="D37" s="2094"/>
      <c r="E37" s="171">
        <f>ROUND(C37*D37/10000,0)</f>
        <v>0</v>
      </c>
      <c r="F37" s="171">
        <f>SUMIF(修正!A57:A68,G2,修正!B57:B68)</f>
        <v>0.6</v>
      </c>
      <c r="G37" s="171">
        <f>ROUND(IF(E2="工业",C37*$M$42,C37*$M$41),0)</f>
        <v>3493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4"/>
      <c r="B38" s="2037" t="s">
        <v>2033</v>
      </c>
      <c r="C38" s="175">
        <f>ROUND(D5*C22*C23*C24*C28*F38,0)</f>
        <v>6985</v>
      </c>
      <c r="D38" s="2094"/>
      <c r="E38" s="171">
        <f t="shared" ref="E38:E42" si="4">ROUND(C38*D38/10000,0)</f>
        <v>0</v>
      </c>
      <c r="F38" s="171">
        <f>SUMIF(修正!A57:A68,G2,修正!C57:C68)</f>
        <v>0.3</v>
      </c>
      <c r="G38" s="171">
        <f>ROUND(IF(E2="工业",C38*$M$42,C38*$M$41),0)</f>
        <v>1746</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4"/>
      <c r="B39" s="2037" t="s">
        <v>3257</v>
      </c>
      <c r="C39" s="175">
        <f>ROUND(D5*C22*C23*C24*C28*F39,0)</f>
        <v>5821</v>
      </c>
      <c r="D39" s="2094"/>
      <c r="E39" s="171">
        <f t="shared" si="4"/>
        <v>0</v>
      </c>
      <c r="F39" s="171">
        <f>SUMIF(修正!A57:A68,G2,修正!D57:D68)</f>
        <v>0.25</v>
      </c>
      <c r="G39" s="171">
        <f>ROUND(IF(E2="工业",C39*$M$42,C39*$M$41),0)</f>
        <v>1455</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5821</v>
      </c>
      <c r="D40" s="2094"/>
      <c r="E40" s="171">
        <f t="shared" si="4"/>
        <v>0</v>
      </c>
      <c r="F40" s="175">
        <f>SUMIF(修正!A57:A68,G2,修正!E57:E68)</f>
        <v>0.25</v>
      </c>
      <c r="G40" s="171">
        <f>ROUND(IF(E2="工业",C40*$M$42,C40*$M$41),0)</f>
        <v>1455</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5821</v>
      </c>
      <c r="D41" s="2094"/>
      <c r="E41" s="171">
        <f t="shared" si="4"/>
        <v>0</v>
      </c>
      <c r="F41" s="175">
        <f>SUMIF(修正!A57:A68,G2,修正!F57:F68)</f>
        <v>0.25</v>
      </c>
      <c r="G41" s="171">
        <f>ROUND(IF(E2="工业",C41*$M$42,C41*$M$41),0)</f>
        <v>1455</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3492</v>
      </c>
      <c r="D42" s="2099">
        <f>'数据-汇总表'!G21</f>
        <v>15311.600000000002</v>
      </c>
      <c r="E42" s="187">
        <f t="shared" si="4"/>
        <v>5347</v>
      </c>
      <c r="F42" s="763">
        <f>SUMIF(修正!A57:A68,G2,修正!G57:G68)</f>
        <v>0.15</v>
      </c>
      <c r="G42" s="187">
        <f>ROUND(IF(E2="工业",C42*$M$42,C42*$M$41),0)</f>
        <v>873</v>
      </c>
      <c r="H42" s="187">
        <f t="shared" si="5"/>
        <v>15311.600000000002</v>
      </c>
      <c r="I42" s="187">
        <f t="shared" si="6"/>
        <v>1337</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1.0511999999999999</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1.18E-2</v>
      </c>
      <c r="E61" s="740">
        <f>ROUND(SUM(D61:D69),4)</f>
        <v>5.1200000000000002E-2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1" t="s">
        <v>3292</v>
      </c>
      <c r="B103" s="3801"/>
      <c r="C103" s="3801"/>
      <c r="D103" s="3801"/>
      <c r="E103" s="3801"/>
      <c r="F103" s="3801"/>
      <c r="G103" s="3801"/>
      <c r="H103" s="3801"/>
      <c r="I103" s="3801"/>
      <c r="J103" s="3801"/>
      <c r="K103" s="3386"/>
      <c r="L103" s="3386"/>
      <c r="M103" s="3386"/>
      <c r="N103" s="3386"/>
    </row>
    <row r="104" spans="1:14">
      <c r="A104" s="3802" t="s">
        <v>3293</v>
      </c>
      <c r="B104" s="3802" t="s">
        <v>3294</v>
      </c>
      <c r="C104" s="3387" t="s">
        <v>3295</v>
      </c>
      <c r="D104" s="3388"/>
      <c r="E104" s="3388"/>
      <c r="F104" s="3388"/>
      <c r="G104" s="3388"/>
      <c r="H104" s="3388"/>
      <c r="I104" s="3388"/>
      <c r="J104" s="3389"/>
      <c r="K104" s="3390"/>
      <c r="L104" s="3390"/>
      <c r="M104" s="3390"/>
      <c r="N104" s="3390"/>
    </row>
    <row r="105" spans="1:14">
      <c r="A105" s="3802"/>
      <c r="B105" s="3802"/>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88"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9"/>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0"/>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1" t="s">
        <v>3309</v>
      </c>
      <c r="B113" s="3791"/>
      <c r="C113" s="3791"/>
      <c r="D113" s="3791"/>
      <c r="E113" s="3791"/>
      <c r="F113" s="3791"/>
      <c r="G113" s="3791"/>
      <c r="H113" s="3791"/>
      <c r="I113" s="3791"/>
      <c r="J113" s="379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zoomScaleNormal="80" zoomScaleSheetLayoutView="100" workbookViewId="0">
      <selection activeCell="U2" sqref="U2:U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1114.5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2510</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35369</v>
      </c>
      <c r="U2" s="1209">
        <f>'数据-汇总表'!F20/2</f>
        <v>557.25</v>
      </c>
      <c r="V2" s="3357">
        <f>ROUND(T2*U2/10000,0)</f>
        <v>1971</v>
      </c>
      <c r="W2" s="1212"/>
      <c r="X2" s="1212"/>
      <c r="Y2" s="1212"/>
      <c r="Z2" s="1212"/>
      <c r="AA2" s="1212"/>
      <c r="AB2" s="1212"/>
      <c r="AC2" s="1213"/>
      <c r="AD2" s="1214"/>
      <c r="AE2" s="1214"/>
      <c r="AF2" s="1214"/>
      <c r="AG2" s="1214"/>
      <c r="AH2" s="1214"/>
      <c r="AI2" s="1214"/>
      <c r="AJ2" s="1215"/>
    </row>
    <row r="3" spans="1:36" ht="15.75">
      <c r="A3" s="203" t="s">
        <v>1936</v>
      </c>
      <c r="B3" s="204">
        <f>ROUND(B2*10000/D1,0)</f>
        <v>22521</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27878</v>
      </c>
      <c r="U3" s="1209">
        <f>U2</f>
        <v>557.25</v>
      </c>
      <c r="V3" s="3357">
        <f t="shared" ref="V3:V16" si="1">ROUND(T3*U3/10000,0)</f>
        <v>1554</v>
      </c>
      <c r="W3" s="1212"/>
      <c r="X3" s="1212"/>
      <c r="Y3" s="1212"/>
      <c r="Z3" s="1212"/>
      <c r="AA3" s="1212"/>
      <c r="AB3" s="1212"/>
      <c r="AC3" s="1213"/>
      <c r="AD3" s="1214"/>
      <c r="AE3" s="1214"/>
      <c r="AF3" s="1214"/>
      <c r="AG3" s="1214"/>
      <c r="AH3" s="1214"/>
      <c r="AI3" s="1214"/>
      <c r="AJ3" s="1215"/>
    </row>
    <row r="4" spans="1:36" ht="15.75">
      <c r="A4" s="3795"/>
      <c r="B4" s="3796"/>
      <c r="C4" s="3796"/>
      <c r="D4" s="3797"/>
      <c r="E4" s="3797"/>
      <c r="F4" s="3797"/>
      <c r="G4" s="3797"/>
      <c r="H4" s="3797"/>
      <c r="I4" s="3797"/>
      <c r="J4" s="3798"/>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23561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23084</v>
      </c>
      <c r="D5" s="1335">
        <f>ROUND(C6*C17+C20,0)</f>
        <v>23084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20780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19970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5"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3"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2" t="s">
        <v>1956</v>
      </c>
      <c r="X8" s="3793"/>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4"/>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9" t="s">
        <v>3253</v>
      </c>
      <c r="B20" s="167" t="s">
        <v>1990</v>
      </c>
      <c r="C20" s="3321">
        <f>ROUND(IF(F21="与级别开发程度一致",0,(G21-E21)/C21),0)</f>
        <v>-36</v>
      </c>
      <c r="D20" s="3337" t="s">
        <v>1994</v>
      </c>
      <c r="E20" s="3338"/>
      <c r="F20" s="3805" t="s">
        <v>1991</v>
      </c>
      <c r="G20" s="3806"/>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0"/>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45457</v>
      </c>
      <c r="H23" s="3339" t="s">
        <v>3254</v>
      </c>
      <c r="I23" s="3340" t="str">
        <f>IF(H23="季度增幅（自定义）",SUMIF(N25:N28,E2,O25:O28),"")</f>
        <v/>
      </c>
      <c r="J23" s="3442"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1">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500">
        <f>IF(E26=G26,F26,IF(G3&lt;10,ROUND(F26+(H26-F26)*(G3-E26)/(G26-E26),4),"——"))</f>
        <v>0.95620000000000005</v>
      </c>
      <c r="E26" s="748">
        <f>ROUNDDOWN(G3,1)</f>
        <v>3.3</v>
      </c>
      <c r="F26" s="35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5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1.0298</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2510</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22518</v>
      </c>
      <c r="D33" s="2094">
        <f>'数据-基础表'!K14</f>
        <v>1114.5</v>
      </c>
      <c r="E33" s="769">
        <f>ROUND(C33*D33/10000,0)</f>
        <v>2510</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5630</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3"/>
      <c r="B37" s="2109" t="s">
        <v>2032</v>
      </c>
      <c r="C37" s="175">
        <f>ROUND(D5*C22*C23*C24*C28*F37,0)</f>
        <v>14130</v>
      </c>
      <c r="D37" s="2094"/>
      <c r="E37" s="171">
        <f>ROUND(C37*D37/10000,0)</f>
        <v>0</v>
      </c>
      <c r="F37" s="171">
        <f>SUMIF(修正!A57:A68,G2,修正!B57:B68)</f>
        <v>0.6</v>
      </c>
      <c r="G37" s="171">
        <f>ROUND(IF(E2="工业",C37*$M$42,C37*$M$41),0)</f>
        <v>3533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4"/>
      <c r="B38" s="2037" t="s">
        <v>2033</v>
      </c>
      <c r="C38" s="175">
        <f>ROUND(D5*C22*C23*C24*C28*F38,0)</f>
        <v>7065</v>
      </c>
      <c r="D38" s="2094"/>
      <c r="E38" s="171">
        <f t="shared" ref="E38:E42" si="4">ROUND(C38*D38/10000,0)</f>
        <v>0</v>
      </c>
      <c r="F38" s="171">
        <f>SUMIF(修正!A57:A68,G2,修正!C57:C68)</f>
        <v>0.3</v>
      </c>
      <c r="G38" s="171">
        <f>ROUND(IF(E2="工业",C38*$M$42,C38*$M$41),0)</f>
        <v>1766</v>
      </c>
      <c r="H38" s="171">
        <f t="shared" ref="H38:H42" si="5">D38</f>
        <v>0</v>
      </c>
      <c r="I38" s="171">
        <f t="shared" ref="I38:I42" si="6">ROUND(G38*H38/10000,0)</f>
        <v>0</v>
      </c>
      <c r="J38" s="3506"/>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4"/>
      <c r="B39" s="2037" t="s">
        <v>3257</v>
      </c>
      <c r="C39" s="175">
        <f>ROUND(D5*C22*C23*C24*C28*F39,0)</f>
        <v>5887</v>
      </c>
      <c r="D39" s="2094"/>
      <c r="E39" s="171">
        <f t="shared" si="4"/>
        <v>0</v>
      </c>
      <c r="F39" s="171">
        <f>SUMIF(修正!A57:A68,G2,修正!D57:D68)</f>
        <v>0.25</v>
      </c>
      <c r="G39" s="171">
        <f>ROUND(IF(E2="工业",C39*$M$42,C39*$M$41),0)</f>
        <v>1472</v>
      </c>
      <c r="H39" s="171">
        <f t="shared" si="5"/>
        <v>0</v>
      </c>
      <c r="I39" s="171">
        <f t="shared" si="6"/>
        <v>0</v>
      </c>
      <c r="J39" s="35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5887</v>
      </c>
      <c r="D40" s="2094"/>
      <c r="E40" s="171">
        <f t="shared" si="4"/>
        <v>0</v>
      </c>
      <c r="F40" s="175">
        <f>SUMIF(修正!A57:A68,G2,修正!E57:E68)</f>
        <v>0.25</v>
      </c>
      <c r="G40" s="171">
        <f>ROUND(IF(E2="工业",C40*$M$42,C40*$M$41),0)</f>
        <v>1472</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6037</v>
      </c>
      <c r="D41" s="2094"/>
      <c r="E41" s="171">
        <f t="shared" si="4"/>
        <v>0</v>
      </c>
      <c r="F41" s="175">
        <f>SUMIF(修正!A57:A68,G2,修正!F57:F68)</f>
        <v>0.25</v>
      </c>
      <c r="G41" s="171">
        <f>ROUND(IF(E2="工业",C41*$M$42,C41*$M$41),0)</f>
        <v>1509</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3622</v>
      </c>
      <c r="D42" s="2099"/>
      <c r="E42" s="187">
        <f t="shared" si="4"/>
        <v>0</v>
      </c>
      <c r="F42" s="763">
        <f>SUMIF(修正!A57:A68,G2,修正!G57:G68)</f>
        <v>0.15</v>
      </c>
      <c r="G42" s="187">
        <f>ROUND(IF(E2="工业",C42*$M$42,C42*$M$41),0)</f>
        <v>906</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0.97009999999999996</v>
      </c>
      <c r="D44" s="171" t="s">
        <v>1995</v>
      </c>
      <c r="E44" s="2149">
        <f>G24</f>
        <v>5.5E-2</v>
      </c>
      <c r="F44" s="171" t="s">
        <v>2004</v>
      </c>
      <c r="G44" s="183">
        <f>项目基本情况!F15</f>
        <v>43.65</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1.0298</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2.98E-2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3401</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1" t="s">
        <v>3292</v>
      </c>
      <c r="B103" s="3801"/>
      <c r="C103" s="3801"/>
      <c r="D103" s="3801"/>
      <c r="E103" s="3801"/>
      <c r="F103" s="3801"/>
      <c r="G103" s="3801"/>
      <c r="H103" s="3801"/>
      <c r="I103" s="3801"/>
      <c r="J103" s="3801"/>
      <c r="K103" s="3504"/>
      <c r="L103" s="3504"/>
      <c r="M103" s="3504"/>
      <c r="N103" s="3504"/>
    </row>
    <row r="104" spans="1:14">
      <c r="A104" s="3802" t="s">
        <v>3293</v>
      </c>
      <c r="B104" s="3802" t="s">
        <v>3294</v>
      </c>
      <c r="C104" s="3387" t="s">
        <v>3295</v>
      </c>
      <c r="D104" s="3388"/>
      <c r="E104" s="3388"/>
      <c r="F104" s="3388"/>
      <c r="G104" s="3388"/>
      <c r="H104" s="3388"/>
      <c r="I104" s="3388"/>
      <c r="J104" s="3389"/>
      <c r="K104" s="3390"/>
      <c r="L104" s="3390"/>
      <c r="M104" s="3390"/>
      <c r="N104" s="3390"/>
    </row>
    <row r="105" spans="1:14">
      <c r="A105" s="3802"/>
      <c r="B105" s="3802"/>
      <c r="C105" s="3505" t="s">
        <v>3296</v>
      </c>
      <c r="D105" s="3505" t="s">
        <v>3297</v>
      </c>
      <c r="E105" s="3505" t="s">
        <v>3298</v>
      </c>
      <c r="F105" s="3505" t="s">
        <v>3299</v>
      </c>
      <c r="G105" s="3505" t="s">
        <v>3300</v>
      </c>
      <c r="H105" s="3505" t="s">
        <v>3301</v>
      </c>
      <c r="I105" s="3505" t="s">
        <v>3302</v>
      </c>
      <c r="J105" s="3505" t="s">
        <v>3303</v>
      </c>
      <c r="K105" s="3505" t="s">
        <v>3304</v>
      </c>
      <c r="L105" s="3505" t="s">
        <v>3305</v>
      </c>
      <c r="M105" s="3505" t="s">
        <v>3306</v>
      </c>
      <c r="N105" s="3505" t="s">
        <v>3307</v>
      </c>
    </row>
    <row r="106" spans="1:14">
      <c r="A106" s="3788" t="s">
        <v>3308</v>
      </c>
      <c r="B106" s="3505">
        <v>1</v>
      </c>
      <c r="C106" s="3505">
        <v>1.5206</v>
      </c>
      <c r="D106" s="3505">
        <v>1.5206</v>
      </c>
      <c r="E106" s="3505">
        <v>1.5019</v>
      </c>
      <c r="F106" s="3505">
        <v>1.5019</v>
      </c>
      <c r="G106" s="3505">
        <v>1.5019</v>
      </c>
      <c r="H106" s="3505">
        <v>1.5019</v>
      </c>
      <c r="I106" s="3505">
        <v>1.5019</v>
      </c>
      <c r="J106" s="3505">
        <v>1.5418000000000001</v>
      </c>
      <c r="K106" s="3505">
        <v>1.5418000000000001</v>
      </c>
      <c r="L106" s="3505">
        <v>1.5418000000000001</v>
      </c>
      <c r="M106" s="3505">
        <v>1.5418000000000001</v>
      </c>
      <c r="N106" s="3505">
        <v>1.5418000000000001</v>
      </c>
    </row>
    <row r="107" spans="1:14">
      <c r="A107" s="3789"/>
      <c r="B107" s="3505">
        <v>2</v>
      </c>
      <c r="C107" s="3505">
        <v>1.2072000000000001</v>
      </c>
      <c r="D107" s="3505">
        <v>1.2072000000000001</v>
      </c>
      <c r="E107" s="3505">
        <v>1.1838</v>
      </c>
      <c r="F107" s="3505">
        <v>1.1838</v>
      </c>
      <c r="G107" s="3505">
        <v>1.1838</v>
      </c>
      <c r="H107" s="3505">
        <v>1.1838</v>
      </c>
      <c r="I107" s="3505">
        <v>1.1838</v>
      </c>
      <c r="J107" s="3505">
        <v>1.1883999999999999</v>
      </c>
      <c r="K107" s="3505">
        <v>1.1883999999999999</v>
      </c>
      <c r="L107" s="3505">
        <v>1.1883999999999999</v>
      </c>
      <c r="M107" s="3505">
        <v>1.1883999999999999</v>
      </c>
      <c r="N107" s="3505">
        <v>1.1883999999999999</v>
      </c>
    </row>
    <row r="108" spans="1:14">
      <c r="A108" s="3789"/>
      <c r="B108" s="3505">
        <v>3</v>
      </c>
      <c r="C108" s="3505">
        <v>1.0430999999999999</v>
      </c>
      <c r="D108" s="3505">
        <v>1.0430999999999999</v>
      </c>
      <c r="E108" s="3505">
        <v>1.0004999999999999</v>
      </c>
      <c r="F108" s="3505">
        <v>1.0004999999999999</v>
      </c>
      <c r="G108" s="3505">
        <v>1.0004999999999999</v>
      </c>
      <c r="H108" s="3505">
        <v>1.0004999999999999</v>
      </c>
      <c r="I108" s="3505">
        <v>1.0004999999999999</v>
      </c>
      <c r="J108" s="3505">
        <v>0.96940000000000004</v>
      </c>
      <c r="K108" s="3505">
        <v>0.96940000000000004</v>
      </c>
      <c r="L108" s="3505">
        <v>0.96940000000000004</v>
      </c>
      <c r="M108" s="3505">
        <v>0.96940000000000004</v>
      </c>
      <c r="N108" s="3505">
        <v>0.96940000000000004</v>
      </c>
    </row>
    <row r="109" spans="1:14">
      <c r="A109" s="3789"/>
      <c r="B109" s="3505">
        <v>4</v>
      </c>
      <c r="C109" s="3505">
        <v>0.94389999999999996</v>
      </c>
      <c r="D109" s="3505">
        <v>0.94389999999999996</v>
      </c>
      <c r="E109" s="3505">
        <v>0.88239999999999996</v>
      </c>
      <c r="F109" s="3505">
        <v>0.88239999999999996</v>
      </c>
      <c r="G109" s="3505">
        <v>0.88239999999999996</v>
      </c>
      <c r="H109" s="3505">
        <v>0.88239999999999996</v>
      </c>
      <c r="I109" s="3505">
        <v>0.88239999999999996</v>
      </c>
      <c r="J109" s="3505">
        <v>0.82299999999999995</v>
      </c>
      <c r="K109" s="3505">
        <v>0.82299999999999995</v>
      </c>
      <c r="L109" s="3505">
        <v>0.82299999999999995</v>
      </c>
      <c r="M109" s="3505">
        <v>0.82299999999999995</v>
      </c>
      <c r="N109" s="3505">
        <v>0.82299999999999995</v>
      </c>
    </row>
    <row r="110" spans="1:14">
      <c r="A110" s="3789"/>
      <c r="B110" s="3505">
        <v>5</v>
      </c>
      <c r="C110" s="3505">
        <v>0.89959999999999996</v>
      </c>
      <c r="D110" s="3505">
        <v>0.89959999999999996</v>
      </c>
      <c r="E110" s="3505">
        <v>0.84799999999999998</v>
      </c>
      <c r="F110" s="3505">
        <v>0.84799999999999998</v>
      </c>
      <c r="G110" s="3505">
        <v>0.84799999999999998</v>
      </c>
      <c r="H110" s="3505">
        <v>0.84799999999999998</v>
      </c>
      <c r="I110" s="3505">
        <v>0.84799999999999998</v>
      </c>
      <c r="J110" s="3505">
        <v>0.74980000000000002</v>
      </c>
      <c r="K110" s="3505">
        <v>0.74980000000000002</v>
      </c>
      <c r="L110" s="3505">
        <v>0.74980000000000002</v>
      </c>
      <c r="M110" s="3505">
        <v>0.74980000000000002</v>
      </c>
      <c r="N110" s="3505">
        <v>0.74980000000000002</v>
      </c>
    </row>
    <row r="111" spans="1:14">
      <c r="A111" s="3789"/>
      <c r="B111" s="3505"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0"/>
      <c r="B112" s="3505">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1" t="s">
        <v>3309</v>
      </c>
      <c r="B113" s="3791"/>
      <c r="C113" s="3791"/>
      <c r="D113" s="3791"/>
      <c r="E113" s="3791"/>
      <c r="F113" s="3791"/>
      <c r="G113" s="3791"/>
      <c r="H113" s="3791"/>
      <c r="I113" s="3791"/>
      <c r="J113" s="3791"/>
      <c r="K113" s="3502"/>
      <c r="L113" s="3502"/>
      <c r="M113" s="3502"/>
      <c r="N113" s="3502"/>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33759.019999999997</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22" t="s">
        <v>1767</v>
      </c>
      <c r="D4" s="3723"/>
      <c r="E4" s="3724" t="s">
        <v>1768</v>
      </c>
      <c r="F4" s="3725"/>
      <c r="G4" s="3722" t="s">
        <v>1769</v>
      </c>
      <c r="H4" s="3723"/>
      <c r="I4" s="3722" t="s">
        <v>1770</v>
      </c>
      <c r="J4" s="3723"/>
      <c r="K4" s="559" t="s">
        <v>1771</v>
      </c>
      <c r="L4" s="2711"/>
      <c r="M4" s="2712"/>
      <c r="N4" s="2712"/>
      <c r="O4" s="2712"/>
      <c r="P4" s="3726" t="s">
        <v>1772</v>
      </c>
      <c r="Q4" s="3727"/>
      <c r="R4" s="3709" t="s">
        <v>1768</v>
      </c>
      <c r="S4" s="3710"/>
      <c r="T4" s="3709" t="s">
        <v>1769</v>
      </c>
      <c r="U4" s="3710"/>
      <c r="V4" s="3706" t="s">
        <v>1770</v>
      </c>
      <c r="W4" s="3706"/>
      <c r="X4" s="1351"/>
      <c r="Y4" s="3709" t="s">
        <v>1772</v>
      </c>
      <c r="Z4" s="3710"/>
      <c r="AA4" s="3703" t="s">
        <v>1768</v>
      </c>
      <c r="AB4" s="3704" t="s">
        <v>1769</v>
      </c>
      <c r="AC4" s="3703" t="s">
        <v>1770</v>
      </c>
    </row>
    <row r="5" spans="1:29" ht="15">
      <c r="A5" s="358"/>
      <c r="B5" s="359"/>
      <c r="C5" s="3715" t="s">
        <v>1670</v>
      </c>
      <c r="D5" s="3716"/>
      <c r="E5" s="3713">
        <f>案例信息!A3</f>
        <v>0</v>
      </c>
      <c r="F5" s="3714"/>
      <c r="G5" s="3715">
        <f>案例信息!A4</f>
        <v>0</v>
      </c>
      <c r="H5" s="3716"/>
      <c r="I5" s="3715">
        <f>案例信息!A5</f>
        <v>0</v>
      </c>
      <c r="J5" s="3716"/>
      <c r="K5" s="559"/>
      <c r="L5" s="2711"/>
      <c r="M5" s="2712"/>
      <c r="N5" s="2712"/>
      <c r="O5" s="2712"/>
      <c r="P5" s="3728"/>
      <c r="Q5" s="3729"/>
      <c r="R5" s="3711"/>
      <c r="S5" s="3712"/>
      <c r="T5" s="3711"/>
      <c r="U5" s="3712"/>
      <c r="V5" s="3706"/>
      <c r="W5" s="3706"/>
      <c r="X5" s="1351"/>
      <c r="Y5" s="3711"/>
      <c r="Z5" s="3712"/>
      <c r="AA5" s="3704"/>
      <c r="AB5" s="3704"/>
      <c r="AC5" s="3704"/>
    </row>
    <row r="6" spans="1:29" ht="15.75" thickBot="1">
      <c r="A6" s="360"/>
      <c r="B6" s="361"/>
      <c r="C6" s="3807" t="s">
        <v>1916</v>
      </c>
      <c r="D6" s="3808"/>
      <c r="E6" s="3809" t="s">
        <v>1916</v>
      </c>
      <c r="F6" s="3810"/>
      <c r="G6" s="3807" t="s">
        <v>1916</v>
      </c>
      <c r="H6" s="3808"/>
      <c r="I6" s="3807" t="s">
        <v>1916</v>
      </c>
      <c r="J6" s="3808"/>
      <c r="K6" s="559" t="s">
        <v>1675</v>
      </c>
      <c r="L6" s="2711"/>
      <c r="M6" s="2712"/>
      <c r="N6" s="2712"/>
      <c r="O6" s="2712"/>
      <c r="P6" s="3730"/>
      <c r="Q6" s="3731"/>
      <c r="R6" s="3711"/>
      <c r="S6" s="3712"/>
      <c r="T6" s="3732"/>
      <c r="U6" s="3733"/>
      <c r="V6" s="3706"/>
      <c r="W6" s="3706"/>
      <c r="X6" s="1351"/>
      <c r="Y6" s="3732"/>
      <c r="Z6" s="3733"/>
      <c r="AA6" s="3705"/>
      <c r="AB6" s="3705"/>
      <c r="AC6" s="3705"/>
    </row>
    <row r="7" spans="1:29" s="108" customFormat="1" ht="15.75" thickBot="1">
      <c r="A7" s="362" t="s">
        <v>1676</v>
      </c>
      <c r="B7" s="363"/>
      <c r="C7" s="364">
        <f>'数据-取费表'!B2</f>
        <v>45457</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07" t="s">
        <v>1677</v>
      </c>
      <c r="Q7" s="3734"/>
      <c r="R7" s="700" t="s">
        <v>14</v>
      </c>
      <c r="S7" s="701">
        <f t="shared" ref="S7:S15" si="0">F7</f>
        <v>0</v>
      </c>
      <c r="T7" s="700" t="s">
        <v>14</v>
      </c>
      <c r="U7" s="701">
        <f t="shared" ref="U7:U15" si="1">H7</f>
        <v>0</v>
      </c>
      <c r="V7" s="700" t="s">
        <v>14</v>
      </c>
      <c r="W7" s="701">
        <f t="shared" ref="W7:W15" si="2">J7</f>
        <v>0</v>
      </c>
      <c r="X7" s="702"/>
      <c r="Y7" s="3707" t="s">
        <v>1677</v>
      </c>
      <c r="Z7" s="3708"/>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07" t="s">
        <v>1680</v>
      </c>
      <c r="Q8" s="3708"/>
      <c r="R8" s="700" t="s">
        <v>14</v>
      </c>
      <c r="S8" s="701">
        <f t="shared" si="0"/>
        <v>100</v>
      </c>
      <c r="T8" s="700" t="s">
        <v>14</v>
      </c>
      <c r="U8" s="701">
        <f t="shared" si="1"/>
        <v>100</v>
      </c>
      <c r="V8" s="700" t="s">
        <v>14</v>
      </c>
      <c r="W8" s="701">
        <f t="shared" si="2"/>
        <v>100</v>
      </c>
      <c r="X8" s="702"/>
      <c r="Y8" s="3707" t="s">
        <v>1680</v>
      </c>
      <c r="Z8" s="3708"/>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44" t="s">
        <v>1683</v>
      </c>
      <c r="Q9" s="1339" t="str">
        <f t="shared" ref="Q9:Q15" si="6">B9</f>
        <v>用途</v>
      </c>
      <c r="R9" s="700" t="s">
        <v>14</v>
      </c>
      <c r="S9" s="701">
        <f t="shared" si="0"/>
        <v>100</v>
      </c>
      <c r="T9" s="700" t="s">
        <v>14</v>
      </c>
      <c r="U9" s="701">
        <f t="shared" si="1"/>
        <v>100</v>
      </c>
      <c r="V9" s="700" t="s">
        <v>14</v>
      </c>
      <c r="W9" s="701">
        <f t="shared" si="2"/>
        <v>100</v>
      </c>
      <c r="X9" s="702"/>
      <c r="Y9" s="3669"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104</v>
      </c>
      <c r="G10" s="383"/>
      <c r="H10" s="127">
        <f>ROUND(100/'数据-取费表'!G16,0)</f>
        <v>104</v>
      </c>
      <c r="I10" s="383"/>
      <c r="J10" s="127">
        <f>ROUND(100/'数据-取费表'!G16,0)</f>
        <v>104</v>
      </c>
      <c r="K10" s="619"/>
      <c r="L10" s="2715"/>
      <c r="M10" s="2716"/>
      <c r="N10" s="2716"/>
      <c r="O10" s="2769"/>
      <c r="P10" s="3744"/>
      <c r="Q10" s="1339" t="str">
        <f t="shared" si="6"/>
        <v>土地使用年限（年）</v>
      </c>
      <c r="R10" s="700" t="s">
        <v>14</v>
      </c>
      <c r="S10" s="701">
        <f t="shared" si="0"/>
        <v>104</v>
      </c>
      <c r="T10" s="700" t="s">
        <v>14</v>
      </c>
      <c r="U10" s="701">
        <f t="shared" si="1"/>
        <v>104</v>
      </c>
      <c r="V10" s="700" t="s">
        <v>14</v>
      </c>
      <c r="W10" s="701">
        <f t="shared" si="2"/>
        <v>104</v>
      </c>
      <c r="X10" s="702"/>
      <c r="Y10" s="3669"/>
      <c r="Z10" s="52" t="str">
        <f t="shared" si="7"/>
        <v>土地使用年限（年）</v>
      </c>
      <c r="AA10" s="703">
        <f t="shared" si="3"/>
        <v>0.96153846153846156</v>
      </c>
      <c r="AB10" s="703">
        <f t="shared" si="4"/>
        <v>0.96153846153846156</v>
      </c>
      <c r="AC10" s="703">
        <f t="shared" si="5"/>
        <v>0.96153846153846156</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44"/>
      <c r="Q11" s="1339" t="str">
        <f t="shared" si="6"/>
        <v>容积率</v>
      </c>
      <c r="R11" s="700" t="s">
        <v>14</v>
      </c>
      <c r="S11" s="701">
        <f t="shared" si="0"/>
        <v>97</v>
      </c>
      <c r="T11" s="700" t="s">
        <v>14</v>
      </c>
      <c r="U11" s="701">
        <f t="shared" si="1"/>
        <v>97</v>
      </c>
      <c r="V11" s="700" t="s">
        <v>14</v>
      </c>
      <c r="W11" s="701">
        <f t="shared" si="2"/>
        <v>97</v>
      </c>
      <c r="X11" s="702"/>
      <c r="Y11" s="3669"/>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44"/>
      <c r="Q12" s="1339">
        <f t="shared" si="6"/>
        <v>111</v>
      </c>
      <c r="R12" s="700" t="s">
        <v>14</v>
      </c>
      <c r="S12" s="701">
        <f t="shared" si="0"/>
        <v>100</v>
      </c>
      <c r="T12" s="700" t="s">
        <v>14</v>
      </c>
      <c r="U12" s="701">
        <f t="shared" si="1"/>
        <v>100</v>
      </c>
      <c r="V12" s="700" t="s">
        <v>14</v>
      </c>
      <c r="W12" s="701">
        <f t="shared" si="2"/>
        <v>100</v>
      </c>
      <c r="X12" s="702"/>
      <c r="Y12" s="3669"/>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44"/>
      <c r="Q13" s="1339">
        <f t="shared" si="6"/>
        <v>111</v>
      </c>
      <c r="R13" s="700" t="s">
        <v>14</v>
      </c>
      <c r="S13" s="701">
        <f t="shared" si="0"/>
        <v>100</v>
      </c>
      <c r="T13" s="700" t="s">
        <v>14</v>
      </c>
      <c r="U13" s="701">
        <f t="shared" si="1"/>
        <v>100</v>
      </c>
      <c r="V13" s="700" t="s">
        <v>14</v>
      </c>
      <c r="W13" s="701">
        <f t="shared" si="2"/>
        <v>100</v>
      </c>
      <c r="X13" s="702"/>
      <c r="Y13" s="3669"/>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44"/>
      <c r="Q14" s="1339">
        <f t="shared" si="6"/>
        <v>111</v>
      </c>
      <c r="R14" s="700" t="s">
        <v>14</v>
      </c>
      <c r="S14" s="701">
        <f t="shared" si="0"/>
        <v>100</v>
      </c>
      <c r="T14" s="700" t="s">
        <v>14</v>
      </c>
      <c r="U14" s="701">
        <f t="shared" si="1"/>
        <v>100</v>
      </c>
      <c r="V14" s="700" t="s">
        <v>14</v>
      </c>
      <c r="W14" s="701">
        <f t="shared" si="2"/>
        <v>100</v>
      </c>
      <c r="X14" s="702"/>
      <c r="Y14" s="3669"/>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37" t="s">
        <v>1688</v>
      </c>
      <c r="Q15" s="1348" t="str">
        <f t="shared" si="6"/>
        <v>产业集聚程度</v>
      </c>
      <c r="R15" s="704" t="s">
        <v>14</v>
      </c>
      <c r="S15" s="705">
        <f t="shared" si="0"/>
        <v>100</v>
      </c>
      <c r="T15" s="704" t="s">
        <v>14</v>
      </c>
      <c r="U15" s="705">
        <f t="shared" si="1"/>
        <v>100</v>
      </c>
      <c r="V15" s="704" t="s">
        <v>14</v>
      </c>
      <c r="W15" s="705">
        <f t="shared" si="2"/>
        <v>100</v>
      </c>
      <c r="X15" s="1351"/>
      <c r="Y15" s="3737"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38"/>
      <c r="Q16" s="1348"/>
      <c r="R16" s="704"/>
      <c r="S16" s="705"/>
      <c r="T16" s="704"/>
      <c r="U16" s="705"/>
      <c r="V16" s="704"/>
      <c r="W16" s="705"/>
      <c r="X16" s="1351"/>
      <c r="Y16" s="3738"/>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38"/>
      <c r="Q17" s="1348" t="str">
        <f>B17</f>
        <v>交通便捷度</v>
      </c>
      <c r="R17" s="704" t="s">
        <v>14</v>
      </c>
      <c r="S17" s="705">
        <f>F17</f>
        <v>100</v>
      </c>
      <c r="T17" s="704" t="s">
        <v>14</v>
      </c>
      <c r="U17" s="705">
        <f>H17</f>
        <v>100</v>
      </c>
      <c r="V17" s="704" t="s">
        <v>14</v>
      </c>
      <c r="W17" s="705">
        <f>J17</f>
        <v>100</v>
      </c>
      <c r="X17" s="1351"/>
      <c r="Y17" s="3738"/>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38"/>
      <c r="Q18" s="1348"/>
      <c r="R18" s="704"/>
      <c r="S18" s="705"/>
      <c r="T18" s="704"/>
      <c r="U18" s="705"/>
      <c r="V18" s="704"/>
      <c r="W18" s="705"/>
      <c r="X18" s="1351"/>
      <c r="Y18" s="3738"/>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38"/>
      <c r="Q19" s="1348" t="str">
        <f t="shared" ref="Q19:Q33" si="8">B19</f>
        <v>区域土地利用方向</v>
      </c>
      <c r="R19" s="704" t="s">
        <v>14</v>
      </c>
      <c r="S19" s="705">
        <f>F19</f>
        <v>100</v>
      </c>
      <c r="T19" s="704" t="s">
        <v>14</v>
      </c>
      <c r="U19" s="705">
        <f>H19</f>
        <v>100</v>
      </c>
      <c r="V19" s="704" t="s">
        <v>14</v>
      </c>
      <c r="W19" s="705">
        <f>J19</f>
        <v>100</v>
      </c>
      <c r="X19" s="1351"/>
      <c r="Y19" s="3738"/>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38"/>
      <c r="Q20" s="1348"/>
      <c r="R20" s="704"/>
      <c r="S20" s="705"/>
      <c r="T20" s="704"/>
      <c r="U20" s="705"/>
      <c r="V20" s="704"/>
      <c r="W20" s="705"/>
      <c r="X20" s="1351"/>
      <c r="Y20" s="3738"/>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38"/>
      <c r="Q21" s="1348" t="str">
        <f t="shared" si="8"/>
        <v>环境状况</v>
      </c>
      <c r="R21" s="704" t="s">
        <v>14</v>
      </c>
      <c r="S21" s="705">
        <f>F21</f>
        <v>100</v>
      </c>
      <c r="T21" s="704" t="s">
        <v>14</v>
      </c>
      <c r="U21" s="705">
        <f>H21</f>
        <v>100</v>
      </c>
      <c r="V21" s="704" t="s">
        <v>14</v>
      </c>
      <c r="W21" s="705">
        <f>J21</f>
        <v>100</v>
      </c>
      <c r="X21" s="1351"/>
      <c r="Y21" s="3738"/>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38"/>
      <c r="Q22" s="1348"/>
      <c r="R22" s="704"/>
      <c r="S22" s="705"/>
      <c r="T22" s="704"/>
      <c r="U22" s="705"/>
      <c r="V22" s="704"/>
      <c r="W22" s="705"/>
      <c r="X22" s="1351"/>
      <c r="Y22" s="3738"/>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38"/>
      <c r="Q23" s="1339" t="str">
        <f t="shared" si="8"/>
        <v>公共配套设施</v>
      </c>
      <c r="R23" s="700" t="s">
        <v>14</v>
      </c>
      <c r="S23" s="701">
        <f>F23</f>
        <v>100</v>
      </c>
      <c r="T23" s="700" t="s">
        <v>14</v>
      </c>
      <c r="U23" s="701">
        <f>H23</f>
        <v>100</v>
      </c>
      <c r="V23" s="700" t="s">
        <v>14</v>
      </c>
      <c r="W23" s="701">
        <f>J23</f>
        <v>100</v>
      </c>
      <c r="X23" s="702"/>
      <c r="Y23" s="3738"/>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38"/>
      <c r="Q24" s="1339"/>
      <c r="R24" s="700"/>
      <c r="S24" s="701"/>
      <c r="T24" s="700"/>
      <c r="U24" s="701"/>
      <c r="V24" s="700"/>
      <c r="W24" s="701"/>
      <c r="X24" s="702"/>
      <c r="Y24" s="3738"/>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38"/>
      <c r="Q25" s="1339" t="str">
        <f t="shared" ref="Q25" si="9">B25</f>
        <v>基础设施水平</v>
      </c>
      <c r="R25" s="700" t="s">
        <v>14</v>
      </c>
      <c r="S25" s="701">
        <f>F25</f>
        <v>100</v>
      </c>
      <c r="T25" s="700" t="s">
        <v>14</v>
      </c>
      <c r="U25" s="701">
        <f>H25</f>
        <v>100</v>
      </c>
      <c r="V25" s="700" t="s">
        <v>14</v>
      </c>
      <c r="W25" s="701">
        <f>J25</f>
        <v>100</v>
      </c>
      <c r="X25" s="702"/>
      <c r="Y25" s="3738"/>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38"/>
      <c r="Q26" s="1339"/>
      <c r="R26" s="700"/>
      <c r="S26" s="701"/>
      <c r="T26" s="700"/>
      <c r="U26" s="701"/>
      <c r="V26" s="700"/>
      <c r="W26" s="701"/>
      <c r="X26" s="702"/>
      <c r="Y26" s="3738"/>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38"/>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38"/>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38"/>
      <c r="Q28" s="1348" t="str">
        <f t="shared" si="8"/>
        <v>毗邻道路的类型与等级</v>
      </c>
      <c r="R28" s="704" t="s">
        <v>14</v>
      </c>
      <c r="S28" s="705">
        <f t="shared" si="10"/>
        <v>100</v>
      </c>
      <c r="T28" s="704" t="s">
        <v>14</v>
      </c>
      <c r="U28" s="705">
        <f t="shared" si="11"/>
        <v>100</v>
      </c>
      <c r="V28" s="704" t="s">
        <v>14</v>
      </c>
      <c r="W28" s="705">
        <f t="shared" si="12"/>
        <v>100</v>
      </c>
      <c r="X28" s="1351"/>
      <c r="Y28" s="3738"/>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38"/>
      <c r="Q29" s="1348"/>
      <c r="R29" s="704"/>
      <c r="S29" s="705"/>
      <c r="T29" s="704"/>
      <c r="U29" s="705"/>
      <c r="V29" s="704"/>
      <c r="W29" s="705"/>
      <c r="X29" s="1351"/>
      <c r="Y29" s="3738"/>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38"/>
      <c r="Q30" s="1348" t="str">
        <f t="shared" si="8"/>
        <v>土地级别</v>
      </c>
      <c r="R30" s="704" t="s">
        <v>14</v>
      </c>
      <c r="S30" s="705">
        <f t="shared" si="10"/>
        <v>100</v>
      </c>
      <c r="T30" s="704" t="s">
        <v>14</v>
      </c>
      <c r="U30" s="705">
        <f t="shared" si="11"/>
        <v>100</v>
      </c>
      <c r="V30" s="704" t="s">
        <v>14</v>
      </c>
      <c r="W30" s="705">
        <f t="shared" si="12"/>
        <v>100</v>
      </c>
      <c r="X30" s="1351"/>
      <c r="Y30" s="3738"/>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8"/>
      <c r="Q31" s="1348">
        <f t="shared" si="8"/>
        <v>111</v>
      </c>
      <c r="R31" s="704" t="s">
        <v>14</v>
      </c>
      <c r="S31" s="705">
        <f t="shared" si="10"/>
        <v>100</v>
      </c>
      <c r="T31" s="704" t="s">
        <v>14</v>
      </c>
      <c r="U31" s="705">
        <f t="shared" si="11"/>
        <v>100</v>
      </c>
      <c r="V31" s="704" t="s">
        <v>14</v>
      </c>
      <c r="W31" s="705">
        <f t="shared" si="12"/>
        <v>100</v>
      </c>
      <c r="X31" s="1351"/>
      <c r="Y31" s="3738"/>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83" t="s">
        <v>1693</v>
      </c>
      <c r="Q32" s="1348">
        <f t="shared" si="8"/>
        <v>111</v>
      </c>
      <c r="R32" s="704" t="s">
        <v>14</v>
      </c>
      <c r="S32" s="705">
        <f t="shared" si="10"/>
        <v>100</v>
      </c>
      <c r="T32" s="704" t="s">
        <v>14</v>
      </c>
      <c r="U32" s="705">
        <f t="shared" si="11"/>
        <v>100</v>
      </c>
      <c r="V32" s="704" t="s">
        <v>14</v>
      </c>
      <c r="W32" s="705">
        <f t="shared" si="12"/>
        <v>100</v>
      </c>
      <c r="X32" s="1351"/>
      <c r="Y32" s="3742"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42"/>
      <c r="Q33" s="1348">
        <f t="shared" si="8"/>
        <v>111</v>
      </c>
      <c r="R33" s="707" t="s">
        <v>14</v>
      </c>
      <c r="S33" s="708">
        <f t="shared" si="10"/>
        <v>100</v>
      </c>
      <c r="T33" s="707" t="s">
        <v>14</v>
      </c>
      <c r="U33" s="708">
        <f t="shared" si="11"/>
        <v>100</v>
      </c>
      <c r="V33" s="707" t="s">
        <v>14</v>
      </c>
      <c r="W33" s="708">
        <f t="shared" si="12"/>
        <v>100</v>
      </c>
      <c r="X33" s="709"/>
      <c r="Y33" s="3742"/>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42"/>
      <c r="Q34" s="1348" t="str">
        <f>B34</f>
        <v>宗地面积</v>
      </c>
      <c r="R34" s="704" t="s">
        <v>14</v>
      </c>
      <c r="S34" s="705">
        <f t="shared" si="10"/>
        <v>100</v>
      </c>
      <c r="T34" s="704" t="s">
        <v>14</v>
      </c>
      <c r="U34" s="705">
        <f t="shared" si="11"/>
        <v>100</v>
      </c>
      <c r="V34" s="704" t="s">
        <v>14</v>
      </c>
      <c r="W34" s="705">
        <f t="shared" si="12"/>
        <v>100</v>
      </c>
      <c r="X34" s="1351"/>
      <c r="Y34" s="3742"/>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42"/>
      <c r="Q35" s="1348" t="str">
        <f t="shared" ref="Q35:Q40" si="14">B35</f>
        <v>宗地形状</v>
      </c>
      <c r="R35" s="704" t="s">
        <v>14</v>
      </c>
      <c r="S35" s="705">
        <f t="shared" si="10"/>
        <v>100</v>
      </c>
      <c r="T35" s="704" t="s">
        <v>14</v>
      </c>
      <c r="U35" s="705">
        <f t="shared" si="11"/>
        <v>100</v>
      </c>
      <c r="V35" s="704" t="s">
        <v>14</v>
      </c>
      <c r="W35" s="705">
        <f t="shared" si="12"/>
        <v>100</v>
      </c>
      <c r="X35" s="1351"/>
      <c r="Y35" s="3742"/>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42"/>
      <c r="Q36" s="1348" t="str">
        <f t="shared" si="14"/>
        <v>宗地开发程度</v>
      </c>
      <c r="R36" s="700" t="s">
        <v>14</v>
      </c>
      <c r="S36" s="701">
        <f t="shared" si="10"/>
        <v>100</v>
      </c>
      <c r="T36" s="700" t="s">
        <v>14</v>
      </c>
      <c r="U36" s="701">
        <f t="shared" si="11"/>
        <v>100</v>
      </c>
      <c r="V36" s="700" t="s">
        <v>14</v>
      </c>
      <c r="W36" s="701">
        <f t="shared" si="12"/>
        <v>100</v>
      </c>
      <c r="X36" s="702"/>
      <c r="Y36" s="3742"/>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42" t="s">
        <v>1693</v>
      </c>
      <c r="Q37" s="1348" t="str">
        <f t="shared" si="14"/>
        <v>工程地质条件</v>
      </c>
      <c r="R37" s="704" t="s">
        <v>14</v>
      </c>
      <c r="S37" s="705">
        <f t="shared" si="10"/>
        <v>100</v>
      </c>
      <c r="T37" s="704" t="s">
        <v>14</v>
      </c>
      <c r="U37" s="705">
        <f t="shared" si="11"/>
        <v>100</v>
      </c>
      <c r="V37" s="704" t="s">
        <v>14</v>
      </c>
      <c r="W37" s="705">
        <f t="shared" si="12"/>
        <v>100</v>
      </c>
      <c r="X37" s="1351"/>
      <c r="Y37" s="3742"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42"/>
      <c r="Q38" s="1348">
        <f t="shared" si="14"/>
        <v>111</v>
      </c>
      <c r="R38" s="704" t="s">
        <v>14</v>
      </c>
      <c r="S38" s="705">
        <f t="shared" si="10"/>
        <v>100</v>
      </c>
      <c r="T38" s="704" t="s">
        <v>14</v>
      </c>
      <c r="U38" s="705">
        <f t="shared" si="11"/>
        <v>100</v>
      </c>
      <c r="V38" s="704" t="s">
        <v>14</v>
      </c>
      <c r="W38" s="705">
        <f t="shared" si="12"/>
        <v>100</v>
      </c>
      <c r="X38" s="1351"/>
      <c r="Y38" s="3742"/>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42"/>
      <c r="Q39" s="1348">
        <f t="shared" si="14"/>
        <v>111</v>
      </c>
      <c r="R39" s="704" t="s">
        <v>14</v>
      </c>
      <c r="S39" s="705">
        <f t="shared" si="10"/>
        <v>100</v>
      </c>
      <c r="T39" s="704" t="s">
        <v>14</v>
      </c>
      <c r="U39" s="705">
        <f t="shared" si="11"/>
        <v>100</v>
      </c>
      <c r="V39" s="704" t="s">
        <v>14</v>
      </c>
      <c r="W39" s="705">
        <f t="shared" si="12"/>
        <v>100</v>
      </c>
      <c r="X39" s="1351"/>
      <c r="Y39" s="3742"/>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42"/>
      <c r="Q40" s="1348">
        <f t="shared" si="14"/>
        <v>111</v>
      </c>
      <c r="R40" s="707" t="s">
        <v>14</v>
      </c>
      <c r="S40" s="708">
        <f t="shared" si="10"/>
        <v>100</v>
      </c>
      <c r="T40" s="707" t="s">
        <v>14</v>
      </c>
      <c r="U40" s="708">
        <f t="shared" si="11"/>
        <v>100</v>
      </c>
      <c r="V40" s="707" t="s">
        <v>14</v>
      </c>
      <c r="W40" s="708">
        <f t="shared" si="12"/>
        <v>100</v>
      </c>
      <c r="X40" s="709"/>
      <c r="Y40" s="3742"/>
      <c r="Z40" s="710">
        <f t="shared" si="13"/>
        <v>111</v>
      </c>
      <c r="AA40" s="1349">
        <f t="shared" si="3"/>
        <v>1</v>
      </c>
      <c r="AB40" s="1349">
        <f t="shared" si="4"/>
        <v>1</v>
      </c>
      <c r="AC40" s="1349">
        <f t="shared" si="5"/>
        <v>1</v>
      </c>
    </row>
    <row r="41" spans="1:31" ht="15">
      <c r="A41" s="430" t="s">
        <v>1841</v>
      </c>
      <c r="B41" s="3453" t="s">
        <v>3447</v>
      </c>
      <c r="C41" s="629" t="s">
        <v>0</v>
      </c>
      <c r="D41" s="432"/>
      <c r="E41" s="433">
        <f>案例信息!O3</f>
        <v>0</v>
      </c>
      <c r="F41" s="434"/>
      <c r="G41" s="435">
        <f>案例信息!O4</f>
        <v>0</v>
      </c>
      <c r="H41" s="436"/>
      <c r="I41" s="433">
        <f>案例信息!O5</f>
        <v>0</v>
      </c>
      <c r="J41" s="436"/>
      <c r="K41" s="713"/>
      <c r="L41" s="2720"/>
      <c r="M41" s="2712"/>
      <c r="N41" s="2712"/>
      <c r="O41" s="2721"/>
      <c r="P41" s="3744" t="str">
        <f>A41</f>
        <v>成交单价</v>
      </c>
      <c r="Q41" s="3744"/>
      <c r="R41" s="3706">
        <f>E41</f>
        <v>0</v>
      </c>
      <c r="S41" s="3706"/>
      <c r="T41" s="3706">
        <f>G41</f>
        <v>0</v>
      </c>
      <c r="U41" s="3706"/>
      <c r="V41" s="3706">
        <f>I41</f>
        <v>0</v>
      </c>
      <c r="W41" s="3706"/>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44" t="str">
        <f>A42</f>
        <v>比较价值（元/平方米）</v>
      </c>
      <c r="Q42" s="3744"/>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46" t="str">
        <f>A43</f>
        <v>估价对象XX用房的比较价值（楼面单价，元/平方米）</v>
      </c>
      <c r="Q43" s="3747"/>
      <c r="R43" s="3786" t="e">
        <f>ROUND(IF(D42="简单平均",AVERAGE(R42:W42),R42*F42+T42*H42+V42*J42),0)</f>
        <v>#DIV/0!</v>
      </c>
      <c r="S43" s="3786"/>
      <c r="T43" s="3786"/>
      <c r="U43" s="3786"/>
      <c r="V43" s="3786"/>
      <c r="W43" s="3786"/>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22" t="s">
        <v>1884</v>
      </c>
      <c r="H50" s="3787"/>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34873.519999999997</v>
      </c>
      <c r="F51" s="638" t="e">
        <f t="shared" ref="F51:F60" si="15">ROUND(B51*E51/10000,0)</f>
        <v>#DIV/0!</v>
      </c>
      <c r="G51" s="3721"/>
      <c r="H51" s="3744"/>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15311.600000000002</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7"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6" t="s">
        <v>3441</v>
      </c>
      <c r="D97" s="3446" t="s">
        <v>3442</v>
      </c>
      <c r="E97" s="3446" t="s">
        <v>3443</v>
      </c>
      <c r="F97" s="3446" t="s">
        <v>3444</v>
      </c>
      <c r="G97" s="3446"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14" t="s">
        <v>2079</v>
      </c>
      <c r="D1" s="3815"/>
      <c r="E1" s="3815"/>
      <c r="F1" s="3815"/>
      <c r="G1" s="3815"/>
      <c r="H1" s="3815"/>
      <c r="I1" s="3815"/>
      <c r="J1" s="3815"/>
      <c r="K1" s="3815"/>
      <c r="L1" s="3815"/>
      <c r="M1" s="3815"/>
      <c r="N1" s="3815"/>
      <c r="O1" s="3815"/>
      <c r="P1" s="3815"/>
      <c r="Q1" s="3815"/>
      <c r="R1" s="3815"/>
      <c r="S1" s="3816"/>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1" t="s">
        <v>27</v>
      </c>
      <c r="D22" s="3812"/>
      <c r="E22" s="3812"/>
      <c r="F22" s="3812"/>
      <c r="G22" s="3812"/>
      <c r="H22" s="3812"/>
      <c r="I22" s="3812"/>
      <c r="J22" s="3812"/>
      <c r="K22" s="3812"/>
      <c r="L22" s="3812"/>
      <c r="M22" s="3812"/>
      <c r="N22" s="3812"/>
      <c r="O22" s="3812"/>
      <c r="P22" s="3812"/>
      <c r="Q22" s="3813"/>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v>
      </c>
      <c r="B3" s="3516"/>
      <c r="C3" s="3516"/>
      <c r="D3" s="3516"/>
      <c r="E3" s="3516"/>
    </row>
    <row r="4" spans="1:5" ht="19.5" thickBot="1">
      <c r="A4" s="1489"/>
      <c r="B4" s="3514" t="s">
        <v>916</v>
      </c>
      <c r="C4" s="3514"/>
      <c r="D4" s="3514"/>
      <c r="E4" s="1489"/>
    </row>
    <row r="5" spans="1:5" ht="16.5" thickTop="1">
      <c r="A5" s="1487"/>
      <c r="B5" s="3512" t="s">
        <v>908</v>
      </c>
      <c r="C5" s="1490" t="s">
        <v>909</v>
      </c>
      <c r="D5" s="846">
        <f ca="1">结果表!H101</f>
        <v>135439</v>
      </c>
      <c r="E5" s="1487"/>
    </row>
    <row r="6" spans="1:5" ht="15.75">
      <c r="A6" s="1487"/>
      <c r="B6" s="3512"/>
      <c r="C6" s="1490" t="s">
        <v>910</v>
      </c>
      <c r="D6" s="846" t="str">
        <f ca="1">NUMBERSTRING(INT(D5*10000),2)&amp;"元整"</f>
        <v>壹拾叁亿伍仟肆佰叁拾玖万元整</v>
      </c>
      <c r="E6" s="1487"/>
    </row>
    <row r="7" spans="1:5" ht="15.75">
      <c r="A7" s="1487"/>
      <c r="B7" s="3517"/>
      <c r="C7" s="1491" t="s">
        <v>911</v>
      </c>
      <c r="D7" s="847">
        <f ca="1">结果表!H102</f>
        <v>26938</v>
      </c>
      <c r="E7" s="1487"/>
    </row>
    <row r="8" spans="1:5" ht="15.75">
      <c r="A8" s="1487"/>
      <c r="B8" s="3518" t="str">
        <f>结果表!E103</f>
        <v>2.估价师知悉的法定优先受偿款</v>
      </c>
      <c r="C8" s="1492" t="s">
        <v>912</v>
      </c>
      <c r="D8" s="847">
        <f>结果表!H103</f>
        <v>0</v>
      </c>
      <c r="E8" s="1487"/>
    </row>
    <row r="9" spans="1:5" ht="15.75">
      <c r="A9" s="1487"/>
      <c r="B9" s="3520"/>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1" t="str">
        <f>结果表!E107</f>
        <v>3.房地产抵押价值</v>
      </c>
      <c r="C13" s="1495" t="s">
        <v>909</v>
      </c>
      <c r="D13" s="849">
        <f ca="1">结果表!H107</f>
        <v>135439</v>
      </c>
      <c r="E13" s="1487"/>
    </row>
    <row r="14" spans="1:5" ht="15.75">
      <c r="A14" s="1487"/>
      <c r="B14" s="3512"/>
      <c r="C14" s="1490" t="s">
        <v>910</v>
      </c>
      <c r="D14" s="846" t="str">
        <f ca="1">NUMBERSTRING(INT(D13*10000),2)&amp;"元整"</f>
        <v>壹拾叁亿伍仟肆佰叁拾玖万元整</v>
      </c>
      <c r="E14" s="1487"/>
    </row>
    <row r="15" spans="1:5" ht="15">
      <c r="A15" s="1487"/>
      <c r="B15" s="3517"/>
      <c r="C15" s="1491" t="s">
        <v>920</v>
      </c>
      <c r="D15" s="855">
        <f ca="1">结果表!H108</f>
        <v>26938</v>
      </c>
      <c r="E15" s="1487"/>
    </row>
    <row r="16" spans="1:5" ht="15">
      <c r="A16" s="1487"/>
      <c r="B16" s="3518" t="str">
        <f>结果表!E109</f>
        <v>——</v>
      </c>
      <c r="C16" s="1495" t="s">
        <v>921</v>
      </c>
      <c r="D16" s="1496" t="str">
        <f>结果表!H109</f>
        <v>——</v>
      </c>
      <c r="E16" s="1487"/>
    </row>
    <row r="17" spans="1:5" ht="15.75">
      <c r="A17" s="1487"/>
      <c r="B17" s="3519"/>
      <c r="C17" s="1490" t="s">
        <v>922</v>
      </c>
      <c r="D17" s="846" t="e">
        <f>NUMBERSTRING(INT(D16*10000),2)&amp;"元整"</f>
        <v>#VALUE!</v>
      </c>
      <c r="E17" s="1487"/>
    </row>
    <row r="18" spans="1:5" ht="15">
      <c r="A18" s="1487"/>
      <c r="B18" s="3520"/>
      <c r="C18" s="1491" t="s">
        <v>911</v>
      </c>
      <c r="D18" s="855" t="str">
        <f>结果表!H110</f>
        <v>——</v>
      </c>
      <c r="E18" s="1487"/>
    </row>
    <row r="19" spans="1:5" ht="15.75">
      <c r="A19" s="1487"/>
      <c r="B19" s="3511" t="str">
        <f>结果表!E111</f>
        <v>4.抵押净值</v>
      </c>
      <c r="C19" s="1495" t="s">
        <v>909</v>
      </c>
      <c r="D19" s="847">
        <f ca="1">结果表!H111</f>
        <v>101545</v>
      </c>
      <c r="E19" s="1487"/>
    </row>
    <row r="20" spans="1:5" ht="15.75">
      <c r="A20" s="1487"/>
      <c r="B20" s="3512"/>
      <c r="C20" s="1490" t="s">
        <v>922</v>
      </c>
      <c r="D20" s="846" t="str">
        <f ca="1">NUMBERSTRING(INT(D19*10000),2)&amp;"元整"</f>
        <v>壹拾亿壹仟伍佰肆拾伍万元整</v>
      </c>
      <c r="E20" s="1487"/>
    </row>
    <row r="21" spans="1:5" ht="15.75" thickBot="1">
      <c r="A21" s="1487"/>
      <c r="B21" s="3513"/>
      <c r="C21" s="1497" t="s">
        <v>920</v>
      </c>
      <c r="D21" s="856">
        <f ca="1">结果表!H112</f>
        <v>20197</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24" t="s">
        <v>2606</v>
      </c>
      <c r="B20" s="3817" t="s">
        <v>2627</v>
      </c>
      <c r="C20" s="3099" t="s">
        <v>2438</v>
      </c>
      <c r="D20" s="3100"/>
      <c r="E20" s="3101">
        <v>1</v>
      </c>
      <c r="F20" s="3102" t="s">
        <v>2439</v>
      </c>
      <c r="G20" s="3102"/>
    </row>
    <row r="21" spans="1:13" ht="19.5" customHeight="1">
      <c r="A21" s="3825"/>
      <c r="B21" s="3818"/>
      <c r="C21" s="3103" t="s">
        <v>2440</v>
      </c>
      <c r="D21" s="3104"/>
      <c r="E21" s="3105">
        <v>1</v>
      </c>
      <c r="F21" s="3102" t="s">
        <v>2441</v>
      </c>
      <c r="G21" s="3102"/>
    </row>
    <row r="22" spans="1:13" ht="19.5" customHeight="1">
      <c r="A22" s="3825"/>
      <c r="B22" s="3818"/>
      <c r="C22" s="3103" t="s">
        <v>2442</v>
      </c>
      <c r="D22" s="3104"/>
      <c r="E22" s="3105">
        <v>0.9</v>
      </c>
      <c r="F22" s="3102" t="s">
        <v>2443</v>
      </c>
      <c r="G22" s="3102"/>
    </row>
    <row r="23" spans="1:13" ht="19.5" customHeight="1">
      <c r="A23" s="3825"/>
      <c r="B23" s="3818"/>
      <c r="C23" s="3103" t="s">
        <v>2444</v>
      </c>
      <c r="D23" s="3104"/>
      <c r="E23" s="3105">
        <v>0.9</v>
      </c>
      <c r="F23" s="3102" t="s">
        <v>2445</v>
      </c>
      <c r="G23" s="3102"/>
    </row>
    <row r="24" spans="1:13" ht="19.5" customHeight="1">
      <c r="A24" s="3825"/>
      <c r="B24" s="3818"/>
      <c r="C24" s="3103" t="s">
        <v>2446</v>
      </c>
      <c r="D24" s="3104"/>
      <c r="E24" s="3105">
        <v>0.8</v>
      </c>
      <c r="F24" s="3102" t="s">
        <v>2447</v>
      </c>
      <c r="G24" s="3102"/>
    </row>
    <row r="25" spans="1:13" ht="19.5" customHeight="1" thickBot="1">
      <c r="A25" s="3826"/>
      <c r="B25" s="3819"/>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0" t="s">
        <v>2630</v>
      </c>
      <c r="B27" s="3817" t="s">
        <v>2611</v>
      </c>
      <c r="C27" s="3099" t="s">
        <v>2451</v>
      </c>
      <c r="D27" s="3100"/>
      <c r="E27" s="3101">
        <v>1</v>
      </c>
      <c r="F27" s="3102" t="s">
        <v>2452</v>
      </c>
      <c r="G27" s="3102"/>
    </row>
    <row r="28" spans="1:13" ht="19.5" customHeight="1">
      <c r="A28" s="3821"/>
      <c r="B28" s="3818"/>
      <c r="C28" s="3103" t="s">
        <v>2453</v>
      </c>
      <c r="D28" s="3104"/>
      <c r="E28" s="3105">
        <v>1</v>
      </c>
      <c r="F28" s="3102" t="s">
        <v>2454</v>
      </c>
      <c r="G28" s="3102"/>
    </row>
    <row r="29" spans="1:13" ht="19.5" customHeight="1">
      <c r="A29" s="3821"/>
      <c r="B29" s="3818"/>
      <c r="C29" s="3103" t="s">
        <v>2455</v>
      </c>
      <c r="D29" s="3104"/>
      <c r="E29" s="3105">
        <v>0.8</v>
      </c>
      <c r="F29" s="3102" t="s">
        <v>2456</v>
      </c>
      <c r="G29" s="3102"/>
    </row>
    <row r="30" spans="1:13" ht="19.5" customHeight="1">
      <c r="A30" s="3821"/>
      <c r="B30" s="3818"/>
      <c r="C30" s="3103" t="s">
        <v>2457</v>
      </c>
      <c r="D30" s="3104"/>
      <c r="E30" s="3105">
        <v>0.8</v>
      </c>
      <c r="F30" s="3102" t="s">
        <v>2458</v>
      </c>
      <c r="G30" s="3102"/>
    </row>
    <row r="31" spans="1:13" ht="19.5" customHeight="1">
      <c r="A31" s="3821"/>
      <c r="B31" s="3818"/>
      <c r="C31" s="3103" t="s">
        <v>2459</v>
      </c>
      <c r="D31" s="3104"/>
      <c r="E31" s="3105">
        <v>0.8</v>
      </c>
      <c r="F31" s="3102" t="s">
        <v>2460</v>
      </c>
      <c r="G31" s="3102"/>
    </row>
    <row r="32" spans="1:13" ht="19.5" customHeight="1">
      <c r="A32" s="3821"/>
      <c r="B32" s="3818"/>
      <c r="C32" s="3103" t="s">
        <v>2461</v>
      </c>
      <c r="D32" s="3104"/>
      <c r="E32" s="3105">
        <v>0.7</v>
      </c>
      <c r="F32" s="3102" t="s">
        <v>2462</v>
      </c>
      <c r="G32" s="3102"/>
    </row>
    <row r="33" spans="1:7" ht="19.5" customHeight="1">
      <c r="A33" s="3821"/>
      <c r="B33" s="3818"/>
      <c r="C33" s="3103" t="s">
        <v>2463</v>
      </c>
      <c r="D33" s="3104"/>
      <c r="E33" s="3105">
        <v>0.8</v>
      </c>
      <c r="F33" s="3102" t="s">
        <v>2464</v>
      </c>
      <c r="G33" s="3102"/>
    </row>
    <row r="34" spans="1:7" ht="19.5" customHeight="1">
      <c r="A34" s="3821"/>
      <c r="B34" s="3818"/>
      <c r="C34" s="3103" t="s">
        <v>2465</v>
      </c>
      <c r="D34" s="3104"/>
      <c r="E34" s="3105">
        <v>0.6</v>
      </c>
      <c r="F34" s="3102" t="s">
        <v>2466</v>
      </c>
      <c r="G34" s="3102"/>
    </row>
    <row r="35" spans="1:7" ht="19.5" customHeight="1">
      <c r="A35" s="3821"/>
      <c r="B35" s="3818"/>
      <c r="C35" s="3103" t="s">
        <v>2467</v>
      </c>
      <c r="D35" s="3104"/>
      <c r="E35" s="3105">
        <v>0.2</v>
      </c>
      <c r="F35" s="3102" t="s">
        <v>2468</v>
      </c>
      <c r="G35" s="3102"/>
    </row>
    <row r="36" spans="1:7" ht="19.5" customHeight="1">
      <c r="A36" s="3821"/>
      <c r="B36" s="3818"/>
      <c r="C36" s="3103" t="s">
        <v>2469</v>
      </c>
      <c r="D36" s="3104"/>
      <c r="E36" s="3105">
        <v>0.2</v>
      </c>
      <c r="F36" s="3102" t="s">
        <v>2470</v>
      </c>
      <c r="G36" s="3102"/>
    </row>
    <row r="37" spans="1:7" ht="19.5" customHeight="1">
      <c r="A37" s="3821"/>
      <c r="B37" s="3823" t="s">
        <v>2631</v>
      </c>
      <c r="C37" s="3103" t="s">
        <v>2471</v>
      </c>
      <c r="D37" s="3104"/>
      <c r="E37" s="3105">
        <v>0.6</v>
      </c>
      <c r="F37" s="3102" t="s">
        <v>2472</v>
      </c>
      <c r="G37" s="3102"/>
    </row>
    <row r="38" spans="1:7" ht="19.5" customHeight="1">
      <c r="A38" s="3821"/>
      <c r="B38" s="3818"/>
      <c r="C38" s="3103" t="s">
        <v>2473</v>
      </c>
      <c r="D38" s="3104"/>
      <c r="E38" s="3105">
        <v>0.6</v>
      </c>
      <c r="F38" s="3102" t="s">
        <v>2474</v>
      </c>
      <c r="G38" s="3102"/>
    </row>
    <row r="39" spans="1:7" ht="19.5" customHeight="1" thickBot="1">
      <c r="A39" s="3822"/>
      <c r="B39" s="3819"/>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24" t="s">
        <v>2609</v>
      </c>
      <c r="B41" s="3817" t="s">
        <v>2633</v>
      </c>
      <c r="C41" s="3099" t="s">
        <v>2478</v>
      </c>
      <c r="D41" s="3100"/>
      <c r="E41" s="3101">
        <v>1</v>
      </c>
      <c r="F41" s="3102" t="s">
        <v>2479</v>
      </c>
      <c r="G41" s="3102"/>
    </row>
    <row r="42" spans="1:7" ht="19.5" customHeight="1">
      <c r="A42" s="3825"/>
      <c r="B42" s="3818"/>
      <c r="C42" s="3103" t="s">
        <v>2480</v>
      </c>
      <c r="D42" s="3104"/>
      <c r="E42" s="3105">
        <v>1</v>
      </c>
      <c r="F42" s="3102" t="s">
        <v>2481</v>
      </c>
      <c r="G42" s="3102"/>
    </row>
    <row r="43" spans="1:7" ht="19.5" customHeight="1">
      <c r="A43" s="3825"/>
      <c r="B43" s="3827"/>
      <c r="C43" s="3103" t="s">
        <v>2482</v>
      </c>
      <c r="D43" s="3104"/>
      <c r="E43" s="3105">
        <v>1.5</v>
      </c>
      <c r="F43" s="3102" t="s">
        <v>2483</v>
      </c>
      <c r="G43" s="3102"/>
    </row>
    <row r="44" spans="1:7" ht="19.5" customHeight="1">
      <c r="A44" s="3825"/>
      <c r="B44" s="3114" t="s">
        <v>2634</v>
      </c>
      <c r="C44" s="3103" t="s">
        <v>2635</v>
      </c>
      <c r="D44" s="3104"/>
      <c r="E44" s="3105">
        <v>2</v>
      </c>
      <c r="F44" s="3102" t="s">
        <v>2484</v>
      </c>
      <c r="G44" s="3102"/>
    </row>
    <row r="45" spans="1:7" ht="19.5" customHeight="1">
      <c r="A45" s="3825"/>
      <c r="B45" s="3823" t="s">
        <v>2636</v>
      </c>
      <c r="C45" s="3103" t="s">
        <v>2485</v>
      </c>
      <c r="D45" s="3104"/>
      <c r="E45" s="3105">
        <v>1</v>
      </c>
      <c r="F45" s="3102" t="s">
        <v>2486</v>
      </c>
      <c r="G45" s="3102"/>
    </row>
    <row r="46" spans="1:7" ht="19.5" customHeight="1">
      <c r="A46" s="3825"/>
      <c r="B46" s="3818"/>
      <c r="C46" s="3103" t="s">
        <v>2487</v>
      </c>
      <c r="D46" s="3104"/>
      <c r="E46" s="3105">
        <v>1</v>
      </c>
      <c r="F46" s="3102" t="s">
        <v>2488</v>
      </c>
      <c r="G46" s="3102"/>
    </row>
    <row r="47" spans="1:7" ht="19.5" customHeight="1">
      <c r="A47" s="3825"/>
      <c r="B47" s="3818"/>
      <c r="C47" s="3103" t="s">
        <v>2489</v>
      </c>
      <c r="D47" s="3104"/>
      <c r="E47" s="3105">
        <v>1</v>
      </c>
      <c r="F47" s="3102" t="s">
        <v>2490</v>
      </c>
      <c r="G47" s="3102"/>
    </row>
    <row r="48" spans="1:7" ht="19.5" customHeight="1">
      <c r="A48" s="3825"/>
      <c r="B48" s="3818"/>
      <c r="C48" s="3103" t="s">
        <v>2491</v>
      </c>
      <c r="D48" s="3104"/>
      <c r="E48" s="3105">
        <v>1</v>
      </c>
      <c r="F48" s="3102" t="s">
        <v>2492</v>
      </c>
      <c r="G48" s="3102"/>
    </row>
    <row r="49" spans="1:7" ht="19.5" customHeight="1">
      <c r="A49" s="3825"/>
      <c r="B49" s="3818"/>
      <c r="C49" s="3103" t="s">
        <v>2493</v>
      </c>
      <c r="D49" s="3104"/>
      <c r="E49" s="3105">
        <v>1</v>
      </c>
      <c r="F49" s="3102" t="s">
        <v>2494</v>
      </c>
      <c r="G49" s="3102"/>
    </row>
    <row r="50" spans="1:7" ht="19.5" customHeight="1">
      <c r="A50" s="3825"/>
      <c r="B50" s="3818"/>
      <c r="C50" s="3103" t="s">
        <v>2495</v>
      </c>
      <c r="D50" s="3104"/>
      <c r="E50" s="3105">
        <v>1</v>
      </c>
      <c r="F50" s="3102" t="s">
        <v>2496</v>
      </c>
      <c r="G50" s="3102"/>
    </row>
    <row r="51" spans="1:7" ht="19.5" customHeight="1" thickBot="1">
      <c r="A51" s="3826"/>
      <c r="B51" s="3819"/>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3" t="s">
        <v>2650</v>
      </c>
      <c r="C73" s="3088" t="s">
        <v>2651</v>
      </c>
      <c r="D73" s="3088" t="s">
        <v>2652</v>
      </c>
      <c r="E73" s="3114">
        <v>0.2</v>
      </c>
      <c r="F73" s="3114">
        <v>25</v>
      </c>
    </row>
    <row r="74" spans="1:7" ht="24">
      <c r="A74" s="3114">
        <v>2</v>
      </c>
      <c r="B74" s="3818"/>
      <c r="C74" s="3088" t="s">
        <v>2653</v>
      </c>
      <c r="D74" s="3088" t="s">
        <v>2654</v>
      </c>
      <c r="E74" s="3114">
        <v>0.2</v>
      </c>
      <c r="F74" s="3114">
        <v>25</v>
      </c>
    </row>
    <row r="75" spans="1:7" ht="24">
      <c r="A75" s="3114">
        <v>3</v>
      </c>
      <c r="B75" s="3818"/>
      <c r="C75" s="3088" t="s">
        <v>2655</v>
      </c>
      <c r="D75" s="3088" t="s">
        <v>2656</v>
      </c>
      <c r="E75" s="3114">
        <v>0.2</v>
      </c>
      <c r="F75" s="3114">
        <v>25</v>
      </c>
    </row>
    <row r="76" spans="1:7" ht="13.5">
      <c r="A76" s="3114">
        <v>4</v>
      </c>
      <c r="B76" s="3818"/>
      <c r="C76" s="3088" t="s">
        <v>2657</v>
      </c>
      <c r="D76" s="3088" t="s">
        <v>2658</v>
      </c>
      <c r="E76" s="3114">
        <v>0.15</v>
      </c>
      <c r="F76" s="3114">
        <v>20</v>
      </c>
    </row>
    <row r="77" spans="1:7" ht="24">
      <c r="A77" s="3114">
        <v>5</v>
      </c>
      <c r="B77" s="3818"/>
      <c r="C77" s="3088" t="s">
        <v>2659</v>
      </c>
      <c r="D77" s="3088" t="s">
        <v>2660</v>
      </c>
      <c r="E77" s="3114">
        <v>0.15</v>
      </c>
      <c r="F77" s="3114">
        <v>20</v>
      </c>
    </row>
    <row r="78" spans="1:7" ht="24">
      <c r="A78" s="3114">
        <v>6</v>
      </c>
      <c r="B78" s="3818"/>
      <c r="C78" s="3088" t="s">
        <v>2661</v>
      </c>
      <c r="D78" s="3088" t="s">
        <v>2662</v>
      </c>
      <c r="E78" s="3114">
        <v>0.15</v>
      </c>
      <c r="F78" s="3114">
        <v>20</v>
      </c>
    </row>
    <row r="79" spans="1:7" ht="24">
      <c r="A79" s="3114">
        <v>7</v>
      </c>
      <c r="B79" s="3818"/>
      <c r="C79" s="3088" t="s">
        <v>2663</v>
      </c>
      <c r="D79" s="3088" t="s">
        <v>2664</v>
      </c>
      <c r="E79" s="3114">
        <v>0.15</v>
      </c>
      <c r="F79" s="3114">
        <v>20</v>
      </c>
    </row>
    <row r="80" spans="1:7" ht="24">
      <c r="A80" s="3114">
        <v>8</v>
      </c>
      <c r="B80" s="3818"/>
      <c r="C80" s="3088" t="s">
        <v>2665</v>
      </c>
      <c r="D80" s="3088" t="s">
        <v>2666</v>
      </c>
      <c r="E80" s="3114">
        <v>0.1</v>
      </c>
      <c r="F80" s="3114">
        <v>15</v>
      </c>
    </row>
    <row r="81" spans="1:6" ht="24">
      <c r="A81" s="3114">
        <v>9</v>
      </c>
      <c r="B81" s="3818"/>
      <c r="C81" s="3088" t="s">
        <v>2667</v>
      </c>
      <c r="D81" s="3088" t="s">
        <v>2668</v>
      </c>
      <c r="E81" s="3114">
        <v>0.1</v>
      </c>
      <c r="F81" s="3114">
        <v>15</v>
      </c>
    </row>
    <row r="82" spans="1:6" ht="24">
      <c r="A82" s="3114">
        <v>10</v>
      </c>
      <c r="B82" s="3818"/>
      <c r="C82" s="3088" t="s">
        <v>2669</v>
      </c>
      <c r="D82" s="3088" t="s">
        <v>2670</v>
      </c>
      <c r="E82" s="3114">
        <v>0.1</v>
      </c>
      <c r="F82" s="3114">
        <v>15</v>
      </c>
    </row>
    <row r="83" spans="1:6" ht="24">
      <c r="A83" s="3114">
        <v>11</v>
      </c>
      <c r="B83" s="3818"/>
      <c r="C83" s="3088" t="s">
        <v>2671</v>
      </c>
      <c r="D83" s="3088" t="s">
        <v>2672</v>
      </c>
      <c r="E83" s="3114">
        <v>0.1</v>
      </c>
      <c r="F83" s="3114">
        <v>15</v>
      </c>
    </row>
    <row r="84" spans="1:6" ht="24">
      <c r="A84" s="3114">
        <v>12</v>
      </c>
      <c r="B84" s="3818"/>
      <c r="C84" s="3088" t="s">
        <v>2673</v>
      </c>
      <c r="D84" s="3088" t="s">
        <v>2674</v>
      </c>
      <c r="E84" s="3114">
        <v>0.1</v>
      </c>
      <c r="F84" s="3114">
        <v>15</v>
      </c>
    </row>
    <row r="85" spans="1:6" ht="13.5">
      <c r="A85" s="3114">
        <v>13</v>
      </c>
      <c r="B85" s="3818"/>
      <c r="C85" s="3088" t="s">
        <v>2675</v>
      </c>
      <c r="D85" s="3088" t="s">
        <v>2676</v>
      </c>
      <c r="E85" s="3114">
        <v>0.1</v>
      </c>
      <c r="F85" s="3114">
        <v>15</v>
      </c>
    </row>
    <row r="86" spans="1:6" ht="13.5">
      <c r="A86" s="3114">
        <v>14</v>
      </c>
      <c r="B86" s="3818"/>
      <c r="C86" s="3088" t="s">
        <v>2677</v>
      </c>
      <c r="D86" s="3088" t="s">
        <v>2678</v>
      </c>
      <c r="E86" s="3114">
        <v>0.1</v>
      </c>
      <c r="F86" s="3114">
        <v>15</v>
      </c>
    </row>
    <row r="87" spans="1:6" ht="13.5">
      <c r="A87" s="3114">
        <v>15</v>
      </c>
      <c r="B87" s="3818"/>
      <c r="C87" s="3088" t="s">
        <v>2679</v>
      </c>
      <c r="D87" s="3088" t="s">
        <v>2680</v>
      </c>
      <c r="E87" s="3114">
        <v>0.1</v>
      </c>
      <c r="F87" s="3114">
        <v>15</v>
      </c>
    </row>
    <row r="88" spans="1:6" ht="24">
      <c r="A88" s="3114">
        <v>16</v>
      </c>
      <c r="B88" s="3818"/>
      <c r="C88" s="3088" t="s">
        <v>2681</v>
      </c>
      <c r="D88" s="3088" t="s">
        <v>2682</v>
      </c>
      <c r="E88" s="3114">
        <v>0.1</v>
      </c>
      <c r="F88" s="3114">
        <v>15</v>
      </c>
    </row>
    <row r="89" spans="1:6" ht="24">
      <c r="A89" s="3114">
        <v>17</v>
      </c>
      <c r="B89" s="3827"/>
      <c r="C89" s="3088" t="s">
        <v>2683</v>
      </c>
      <c r="D89" s="3088" t="s">
        <v>2684</v>
      </c>
      <c r="E89" s="3114">
        <v>0.1</v>
      </c>
      <c r="F89" s="3114">
        <v>15</v>
      </c>
    </row>
    <row r="90" spans="1:6" ht="13.5">
      <c r="A90" s="3114">
        <v>18</v>
      </c>
      <c r="B90" s="3823" t="s">
        <v>2685</v>
      </c>
      <c r="C90" s="3088" t="s">
        <v>2686</v>
      </c>
      <c r="D90" s="3088" t="s">
        <v>2687</v>
      </c>
      <c r="E90" s="3114">
        <v>0.2</v>
      </c>
      <c r="F90" s="3114">
        <v>25</v>
      </c>
    </row>
    <row r="91" spans="1:6" ht="24">
      <c r="A91" s="3114">
        <v>19</v>
      </c>
      <c r="B91" s="3818"/>
      <c r="C91" s="3088" t="s">
        <v>2688</v>
      </c>
      <c r="D91" s="3088" t="s">
        <v>2689</v>
      </c>
      <c r="E91" s="3114">
        <v>0.2</v>
      </c>
      <c r="F91" s="3114">
        <v>25</v>
      </c>
    </row>
    <row r="92" spans="1:6" ht="13.5">
      <c r="A92" s="3114">
        <v>20</v>
      </c>
      <c r="B92" s="3818"/>
      <c r="C92" s="3088" t="s">
        <v>2690</v>
      </c>
      <c r="D92" s="3088" t="s">
        <v>2691</v>
      </c>
      <c r="E92" s="3114">
        <v>0.15</v>
      </c>
      <c r="F92" s="3114">
        <v>20</v>
      </c>
    </row>
    <row r="93" spans="1:6" ht="13.5">
      <c r="A93" s="3114">
        <v>21</v>
      </c>
      <c r="B93" s="3818"/>
      <c r="C93" s="3088" t="s">
        <v>2692</v>
      </c>
      <c r="D93" s="3088" t="s">
        <v>2693</v>
      </c>
      <c r="E93" s="3114">
        <v>0.15</v>
      </c>
      <c r="F93" s="3114">
        <v>20</v>
      </c>
    </row>
    <row r="94" spans="1:6" ht="13.5">
      <c r="A94" s="3114">
        <v>22</v>
      </c>
      <c r="B94" s="3818"/>
      <c r="C94" s="3088" t="s">
        <v>2694</v>
      </c>
      <c r="D94" s="3088" t="s">
        <v>2695</v>
      </c>
      <c r="E94" s="3114">
        <v>0.15</v>
      </c>
      <c r="F94" s="3114">
        <v>20</v>
      </c>
    </row>
    <row r="95" spans="1:6" ht="36">
      <c r="A95" s="3114">
        <v>23</v>
      </c>
      <c r="B95" s="3818"/>
      <c r="C95" s="3088" t="s">
        <v>2696</v>
      </c>
      <c r="D95" s="3088" t="s">
        <v>2697</v>
      </c>
      <c r="E95" s="3114">
        <v>0.15</v>
      </c>
      <c r="F95" s="3114">
        <v>20</v>
      </c>
    </row>
    <row r="96" spans="1:6" ht="13.5">
      <c r="A96" s="3114">
        <v>24</v>
      </c>
      <c r="B96" s="3818"/>
      <c r="C96" s="3088" t="s">
        <v>2698</v>
      </c>
      <c r="D96" s="3088" t="s">
        <v>2699</v>
      </c>
      <c r="E96" s="3114">
        <v>0.1</v>
      </c>
      <c r="F96" s="3114">
        <v>15</v>
      </c>
    </row>
    <row r="97" spans="1:6" ht="13.5">
      <c r="A97" s="3114">
        <v>25</v>
      </c>
      <c r="B97" s="3818"/>
      <c r="C97" s="3088" t="s">
        <v>2700</v>
      </c>
      <c r="D97" s="3088" t="s">
        <v>2701</v>
      </c>
      <c r="E97" s="3114">
        <v>0.1</v>
      </c>
      <c r="F97" s="3114">
        <v>15</v>
      </c>
    </row>
    <row r="98" spans="1:6" ht="24">
      <c r="A98" s="3114">
        <v>26</v>
      </c>
      <c r="B98" s="3818"/>
      <c r="C98" s="3088" t="s">
        <v>2702</v>
      </c>
      <c r="D98" s="3088" t="s">
        <v>2703</v>
      </c>
      <c r="E98" s="3114">
        <v>0.1</v>
      </c>
      <c r="F98" s="3114">
        <v>15</v>
      </c>
    </row>
    <row r="99" spans="1:6" ht="24">
      <c r="A99" s="3114">
        <v>27</v>
      </c>
      <c r="B99" s="3818"/>
      <c r="C99" s="3088" t="s">
        <v>2704</v>
      </c>
      <c r="D99" s="3088" t="s">
        <v>2705</v>
      </c>
      <c r="E99" s="3114">
        <v>0.1</v>
      </c>
      <c r="F99" s="3114">
        <v>15</v>
      </c>
    </row>
    <row r="100" spans="1:6" ht="13.5">
      <c r="A100" s="3114">
        <v>28</v>
      </c>
      <c r="B100" s="3818"/>
      <c r="C100" s="3088" t="s">
        <v>2706</v>
      </c>
      <c r="D100" s="3088" t="s">
        <v>2707</v>
      </c>
      <c r="E100" s="3114">
        <v>0.1</v>
      </c>
      <c r="F100" s="3114">
        <v>15</v>
      </c>
    </row>
    <row r="101" spans="1:6" ht="13.5">
      <c r="A101" s="3114">
        <v>29</v>
      </c>
      <c r="B101" s="3818"/>
      <c r="C101" s="3088" t="s">
        <v>2708</v>
      </c>
      <c r="D101" s="3088" t="s">
        <v>2709</v>
      </c>
      <c r="E101" s="3114">
        <v>0.1</v>
      </c>
      <c r="F101" s="3114">
        <v>15</v>
      </c>
    </row>
    <row r="102" spans="1:6" ht="13.5">
      <c r="A102" s="3114">
        <v>30</v>
      </c>
      <c r="B102" s="3818"/>
      <c r="C102" s="3088" t="s">
        <v>2710</v>
      </c>
      <c r="D102" s="3088" t="s">
        <v>2711</v>
      </c>
      <c r="E102" s="3114">
        <v>0.1</v>
      </c>
      <c r="F102" s="3114">
        <v>15</v>
      </c>
    </row>
    <row r="103" spans="1:6" ht="24">
      <c r="A103" s="3114">
        <v>31</v>
      </c>
      <c r="B103" s="3818"/>
      <c r="C103" s="3088" t="s">
        <v>2712</v>
      </c>
      <c r="D103" s="3088" t="s">
        <v>2713</v>
      </c>
      <c r="E103" s="3114">
        <v>0.1</v>
      </c>
      <c r="F103" s="3114">
        <v>15</v>
      </c>
    </row>
    <row r="104" spans="1:6" ht="24">
      <c r="A104" s="3114">
        <v>32</v>
      </c>
      <c r="B104" s="3818"/>
      <c r="C104" s="3088" t="s">
        <v>2714</v>
      </c>
      <c r="D104" s="3088" t="s">
        <v>2715</v>
      </c>
      <c r="E104" s="3114">
        <v>0.1</v>
      </c>
      <c r="F104" s="3114">
        <v>15</v>
      </c>
    </row>
    <row r="105" spans="1:6" ht="24">
      <c r="A105" s="3114">
        <v>33</v>
      </c>
      <c r="B105" s="3818"/>
      <c r="C105" s="3088" t="s">
        <v>2716</v>
      </c>
      <c r="D105" s="3088" t="s">
        <v>2717</v>
      </c>
      <c r="E105" s="3114">
        <v>0.1</v>
      </c>
      <c r="F105" s="3114">
        <v>15</v>
      </c>
    </row>
    <row r="106" spans="1:6" ht="24">
      <c r="A106" s="3114">
        <v>34</v>
      </c>
      <c r="B106" s="3827"/>
      <c r="C106" s="3088" t="s">
        <v>2718</v>
      </c>
      <c r="D106" s="3088" t="s">
        <v>2719</v>
      </c>
      <c r="E106" s="3114">
        <v>0.1</v>
      </c>
      <c r="F106" s="3114">
        <v>15</v>
      </c>
    </row>
    <row r="107" spans="1:6" ht="24">
      <c r="A107" s="3114">
        <v>35</v>
      </c>
      <c r="B107" s="3823" t="s">
        <v>2720</v>
      </c>
      <c r="C107" s="3114" t="s">
        <v>2721</v>
      </c>
      <c r="D107" s="3088" t="s">
        <v>2722</v>
      </c>
      <c r="E107" s="3114">
        <v>0.15</v>
      </c>
      <c r="F107" s="3114">
        <v>20</v>
      </c>
    </row>
    <row r="108" spans="1:6" ht="13.5">
      <c r="A108" s="3114">
        <v>36</v>
      </c>
      <c r="B108" s="3818"/>
      <c r="C108" s="3114" t="s">
        <v>2723</v>
      </c>
      <c r="D108" s="3088" t="s">
        <v>2724</v>
      </c>
      <c r="E108" s="3114">
        <v>0.15</v>
      </c>
      <c r="F108" s="3114">
        <v>20</v>
      </c>
    </row>
    <row r="109" spans="1:6" ht="13.5">
      <c r="A109" s="3114">
        <v>37</v>
      </c>
      <c r="B109" s="3818"/>
      <c r="C109" s="3114" t="s">
        <v>2725</v>
      </c>
      <c r="D109" s="3088" t="s">
        <v>2726</v>
      </c>
      <c r="E109" s="3114">
        <v>0.15</v>
      </c>
      <c r="F109" s="3114">
        <v>20</v>
      </c>
    </row>
    <row r="110" spans="1:6" ht="13.5">
      <c r="A110" s="3114">
        <v>38</v>
      </c>
      <c r="B110" s="3818"/>
      <c r="C110" s="3114" t="s">
        <v>2727</v>
      </c>
      <c r="D110" s="3088" t="s">
        <v>2728</v>
      </c>
      <c r="E110" s="3114">
        <v>0.1</v>
      </c>
      <c r="F110" s="3114">
        <v>15</v>
      </c>
    </row>
    <row r="111" spans="1:6" ht="24">
      <c r="A111" s="3114">
        <v>39</v>
      </c>
      <c r="B111" s="3818"/>
      <c r="C111" s="3114" t="s">
        <v>2729</v>
      </c>
      <c r="D111" s="3088" t="s">
        <v>2730</v>
      </c>
      <c r="E111" s="3114">
        <v>0.1</v>
      </c>
      <c r="F111" s="3114">
        <v>15</v>
      </c>
    </row>
    <row r="112" spans="1:6" ht="24">
      <c r="A112" s="3114">
        <v>40</v>
      </c>
      <c r="B112" s="3827"/>
      <c r="C112" s="3114" t="s">
        <v>2731</v>
      </c>
      <c r="D112" s="3088" t="s">
        <v>2732</v>
      </c>
      <c r="E112" s="3114">
        <v>0.1</v>
      </c>
      <c r="F112" s="3114">
        <v>15</v>
      </c>
    </row>
    <row r="113" spans="1:6" ht="13.5">
      <c r="A113" s="3114">
        <v>41</v>
      </c>
      <c r="B113" s="3828" t="s">
        <v>2733</v>
      </c>
      <c r="C113" s="3114" t="s">
        <v>2734</v>
      </c>
      <c r="D113" s="3088" t="s">
        <v>2735</v>
      </c>
      <c r="E113" s="3114">
        <v>0.1</v>
      </c>
      <c r="F113" s="3114">
        <v>15</v>
      </c>
    </row>
    <row r="114" spans="1:6" ht="13.5">
      <c r="A114" s="3114">
        <v>42</v>
      </c>
      <c r="B114" s="3828"/>
      <c r="C114" s="3114" t="s">
        <v>2736</v>
      </c>
      <c r="D114" s="3088" t="s">
        <v>2737</v>
      </c>
      <c r="E114" s="3114">
        <v>0.1</v>
      </c>
      <c r="F114" s="3114">
        <v>15</v>
      </c>
    </row>
    <row r="115" spans="1:6" ht="24">
      <c r="A115" s="3114">
        <v>43</v>
      </c>
      <c r="B115" s="3828"/>
      <c r="C115" s="3114" t="s">
        <v>2738</v>
      </c>
      <c r="D115" s="3088" t="s">
        <v>2739</v>
      </c>
      <c r="E115" s="3114">
        <v>0.1</v>
      </c>
      <c r="F115" s="3114">
        <v>15</v>
      </c>
    </row>
    <row r="116" spans="1:6" ht="13.5">
      <c r="A116" s="3114">
        <v>44</v>
      </c>
      <c r="B116" s="3823" t="s">
        <v>2740</v>
      </c>
      <c r="C116" s="3114" t="s">
        <v>2741</v>
      </c>
      <c r="D116" s="3088" t="s">
        <v>2742</v>
      </c>
      <c r="E116" s="3114">
        <v>0.1</v>
      </c>
      <c r="F116" s="3114">
        <v>15</v>
      </c>
    </row>
    <row r="117" spans="1:6" ht="24">
      <c r="A117" s="3114">
        <v>45</v>
      </c>
      <c r="B117" s="3827"/>
      <c r="C117" s="3088" t="s">
        <v>2743</v>
      </c>
      <c r="D117" s="3088" t="s">
        <v>2744</v>
      </c>
      <c r="E117" s="3114">
        <v>0.1</v>
      </c>
      <c r="F117" s="3114">
        <v>15</v>
      </c>
    </row>
    <row r="118" spans="1:6" ht="24">
      <c r="A118" s="3114">
        <v>46</v>
      </c>
      <c r="B118" s="3823" t="s">
        <v>2745</v>
      </c>
      <c r="C118" s="3114" t="s">
        <v>2746</v>
      </c>
      <c r="D118" s="3088" t="s">
        <v>2747</v>
      </c>
      <c r="E118" s="3114">
        <v>0.1</v>
      </c>
      <c r="F118" s="3114">
        <v>15</v>
      </c>
    </row>
    <row r="119" spans="1:6" ht="24">
      <c r="A119" s="3114">
        <v>47</v>
      </c>
      <c r="B119" s="3827"/>
      <c r="C119" s="3114" t="s">
        <v>2748</v>
      </c>
      <c r="D119" s="3088" t="s">
        <v>2749</v>
      </c>
      <c r="E119" s="3114">
        <v>0.1</v>
      </c>
      <c r="F119" s="3114">
        <v>15</v>
      </c>
    </row>
    <row r="120" spans="1:6" ht="13.5">
      <c r="A120" s="3114">
        <v>48</v>
      </c>
      <c r="B120" s="3823" t="s">
        <v>2750</v>
      </c>
      <c r="C120" s="3114" t="s">
        <v>2751</v>
      </c>
      <c r="D120" s="3088" t="s">
        <v>2752</v>
      </c>
      <c r="E120" s="3114">
        <v>0.1</v>
      </c>
      <c r="F120" s="3114">
        <v>15</v>
      </c>
    </row>
    <row r="121" spans="1:6" ht="13.5">
      <c r="A121" s="3114">
        <v>49</v>
      </c>
      <c r="B121" s="3827"/>
      <c r="C121" s="3114" t="s">
        <v>2753</v>
      </c>
      <c r="D121" s="3088" t="s">
        <v>2754</v>
      </c>
      <c r="E121" s="3114">
        <v>0.1</v>
      </c>
      <c r="F121" s="3114">
        <v>15</v>
      </c>
    </row>
    <row r="122" spans="1:6" ht="24">
      <c r="A122" s="3114">
        <v>50</v>
      </c>
      <c r="B122" s="3828" t="s">
        <v>2755</v>
      </c>
      <c r="C122" s="3114" t="s">
        <v>2756</v>
      </c>
      <c r="D122" s="3088" t="s">
        <v>2757</v>
      </c>
      <c r="E122" s="3114">
        <v>0.1</v>
      </c>
      <c r="F122" s="3114">
        <v>15</v>
      </c>
    </row>
    <row r="123" spans="1:6" ht="24">
      <c r="A123" s="3114">
        <v>51</v>
      </c>
      <c r="B123" s="3828"/>
      <c r="C123" s="3114" t="s">
        <v>2758</v>
      </c>
      <c r="D123" s="3088" t="s">
        <v>2759</v>
      </c>
      <c r="E123" s="3114">
        <v>0.1</v>
      </c>
      <c r="F123" s="3114">
        <v>15</v>
      </c>
    </row>
    <row r="124" spans="1:6" ht="24">
      <c r="A124" s="3114">
        <v>52</v>
      </c>
      <c r="B124" s="3828" t="s">
        <v>2760</v>
      </c>
      <c r="C124" s="3114" t="s">
        <v>2761</v>
      </c>
      <c r="D124" s="3088" t="s">
        <v>2762</v>
      </c>
      <c r="E124" s="3114">
        <v>0.1</v>
      </c>
      <c r="F124" s="3114">
        <v>15</v>
      </c>
    </row>
    <row r="125" spans="1:6" ht="24">
      <c r="A125" s="3114">
        <v>53</v>
      </c>
      <c r="B125" s="3828"/>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8" t="s">
        <v>2768</v>
      </c>
      <c r="C127" s="3114" t="s">
        <v>2769</v>
      </c>
      <c r="D127" s="3088" t="s">
        <v>2770</v>
      </c>
      <c r="E127" s="3114">
        <v>0.1</v>
      </c>
      <c r="F127" s="3114">
        <v>15</v>
      </c>
    </row>
    <row r="128" spans="1:6" ht="13.5">
      <c r="A128" s="3114">
        <v>56</v>
      </c>
      <c r="B128" s="3828"/>
      <c r="C128" s="3114" t="s">
        <v>2771</v>
      </c>
      <c r="D128" s="3088" t="s">
        <v>2772</v>
      </c>
      <c r="E128" s="3114">
        <v>0.1</v>
      </c>
      <c r="F128" s="3114">
        <v>15</v>
      </c>
    </row>
    <row r="129" spans="1:6" ht="24">
      <c r="A129" s="3114">
        <v>57</v>
      </c>
      <c r="B129" s="3828"/>
      <c r="C129" s="3114" t="s">
        <v>2773</v>
      </c>
      <c r="D129" s="3088" t="s">
        <v>2774</v>
      </c>
      <c r="E129" s="3114">
        <v>0.1</v>
      </c>
      <c r="F129" s="3114">
        <v>15</v>
      </c>
    </row>
    <row r="130" spans="1:6" ht="24">
      <c r="A130" s="3114">
        <v>58</v>
      </c>
      <c r="B130" s="3828" t="s">
        <v>2775</v>
      </c>
      <c r="C130" s="3114" t="s">
        <v>2776</v>
      </c>
      <c r="D130" s="3088" t="s">
        <v>2777</v>
      </c>
      <c r="E130" s="3114">
        <v>0.1</v>
      </c>
      <c r="F130" s="3114">
        <v>15</v>
      </c>
    </row>
    <row r="131" spans="1:6" ht="13.5">
      <c r="A131" s="3114">
        <v>59</v>
      </c>
      <c r="B131" s="3828"/>
      <c r="C131" s="3114" t="s">
        <v>2778</v>
      </c>
      <c r="D131" s="3088" t="s">
        <v>2779</v>
      </c>
      <c r="E131" s="3114">
        <v>0.1</v>
      </c>
      <c r="F131" s="3114">
        <v>15</v>
      </c>
    </row>
    <row r="132" spans="1:6" ht="13.5">
      <c r="A132" s="3114">
        <v>60</v>
      </c>
      <c r="B132" s="3823" t="s">
        <v>2780</v>
      </c>
      <c r="C132" s="3114" t="s">
        <v>2781</v>
      </c>
      <c r="D132" s="3088" t="s">
        <v>2782</v>
      </c>
      <c r="E132" s="3114">
        <v>0.1</v>
      </c>
      <c r="F132" s="3114">
        <v>15</v>
      </c>
    </row>
    <row r="133" spans="1:6" ht="13.5">
      <c r="A133" s="3114">
        <v>61</v>
      </c>
      <c r="B133" s="382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8" t="s">
        <v>2788</v>
      </c>
      <c r="C135" s="3114" t="s">
        <v>2789</v>
      </c>
      <c r="D135" s="3088" t="s">
        <v>2790</v>
      </c>
      <c r="E135" s="3114">
        <v>0.1</v>
      </c>
      <c r="F135" s="3114">
        <v>15</v>
      </c>
    </row>
    <row r="136" spans="1:6" ht="13.5">
      <c r="A136" s="3114">
        <v>64</v>
      </c>
      <c r="B136" s="3828"/>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60176</v>
      </c>
      <c r="C2" s="2" t="s">
        <v>106</v>
      </c>
      <c r="D2" s="199"/>
      <c r="E2" s="199"/>
      <c r="F2" s="199"/>
      <c r="G2" s="199"/>
    </row>
    <row r="3" spans="1:7" s="200" customFormat="1" ht="18" customHeight="1" thickBot="1">
      <c r="A3" s="203" t="s">
        <v>58</v>
      </c>
      <c r="B3" s="204">
        <f ca="1">ROUND(B2*10000/'数据-汇总表'!E3,0)</f>
        <v>11969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v>
      </c>
      <c r="E19" s="211">
        <f>'数据-取费表'!B31</f>
        <v>200</v>
      </c>
      <c r="F19" s="231"/>
      <c r="G19" s="1" t="s">
        <v>435</v>
      </c>
    </row>
    <row r="20" spans="1:7" s="214" customFormat="1" ht="13.5" customHeight="1">
      <c r="A20" s="773" t="s">
        <v>418</v>
      </c>
      <c r="B20" s="210" t="s">
        <v>77</v>
      </c>
      <c r="C20" s="232">
        <f>ROUND((C5+C19)*F20,0)</f>
        <v>432</v>
      </c>
      <c r="D20" s="232"/>
      <c r="E20" s="232"/>
      <c r="F20" s="233">
        <f>'数据-取费表'!B37</f>
        <v>0.02</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1533</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15</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2646</v>
      </c>
      <c r="D27" s="235">
        <f>C29</f>
        <v>2.3999999999999998E-3</v>
      </c>
      <c r="E27" s="236" t="s">
        <v>99</v>
      </c>
      <c r="F27" s="246">
        <f>'数据-取费表'!Q16</f>
        <v>0.12</v>
      </c>
      <c r="G27" s="247" t="s">
        <v>430</v>
      </c>
    </row>
    <row r="28" spans="1:7" s="214" customFormat="1" ht="13.5" customHeight="1">
      <c r="A28" s="776" t="s">
        <v>348</v>
      </c>
      <c r="B28" s="248" t="s">
        <v>423</v>
      </c>
      <c r="C28" s="249">
        <f>ROUND((C5+C19+C20)*F27*'数据-取费表'!B21/'数据-取费表'!B20,0)</f>
        <v>2646</v>
      </c>
      <c r="D28" s="235"/>
      <c r="E28" s="236"/>
      <c r="F28" s="246"/>
      <c r="G28" s="247"/>
    </row>
    <row r="29" spans="1:7" s="214" customFormat="1" ht="13.5" customHeight="1">
      <c r="A29" s="776" t="s">
        <v>346</v>
      </c>
      <c r="B29" s="248" t="s">
        <v>424</v>
      </c>
      <c r="C29" s="238">
        <f>ROUND(C21*F27*'数据-取费表'!B21/'数据-取费表'!B20,4)</f>
        <v>2.3999999999999998E-3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28398</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26235</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24027</v>
      </c>
      <c r="D34" s="217"/>
      <c r="E34" s="220"/>
      <c r="F34" s="257">
        <f>IF('数据-取费表'!B24=0,1,'数据-取费表'!N16)</f>
        <v>1</v>
      </c>
      <c r="G34" s="219" t="s">
        <v>89</v>
      </c>
    </row>
    <row r="35" spans="1:7" ht="13.5" customHeight="1">
      <c r="A35" s="776" t="s">
        <v>350</v>
      </c>
      <c r="B35" s="215" t="s">
        <v>33</v>
      </c>
      <c r="C35" s="220">
        <f>ROUND(C34*F35,0)</f>
        <v>721</v>
      </c>
      <c r="D35" s="220"/>
      <c r="E35" s="220"/>
      <c r="F35" s="259">
        <f>'数据-取费表'!B33</f>
        <v>0.03</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v>
      </c>
      <c r="E37" s="249">
        <f>'数据-取费表'!B35</f>
        <v>200</v>
      </c>
      <c r="F37" s="259"/>
      <c r="G37" s="261" t="s">
        <v>92</v>
      </c>
    </row>
    <row r="38" spans="1:7" ht="13.5" customHeight="1">
      <c r="A38" s="776" t="s">
        <v>353</v>
      </c>
      <c r="B38" s="215" t="s">
        <v>36</v>
      </c>
      <c r="C38" s="220">
        <f>ROUND(C34*F38,0)</f>
        <v>481</v>
      </c>
      <c r="D38" s="220"/>
      <c r="E38" s="220"/>
      <c r="F38" s="259">
        <f>'数据-取费表'!B36</f>
        <v>0.02</v>
      </c>
      <c r="G38" s="219" t="s">
        <v>90</v>
      </c>
    </row>
    <row r="39" spans="1:7" s="214" customFormat="1" ht="13.5" customHeight="1">
      <c r="A39" s="773" t="s">
        <v>337</v>
      </c>
      <c r="B39" s="210" t="s">
        <v>77</v>
      </c>
      <c r="C39" s="232">
        <f>ROUND(C33*F20,0)</f>
        <v>525</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923</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905</v>
      </c>
      <c r="D42" s="238"/>
      <c r="E42" s="238"/>
      <c r="F42" s="239"/>
      <c r="G42" s="3693" t="s">
        <v>94</v>
      </c>
    </row>
    <row r="43" spans="1:7" ht="13.5" customHeight="1">
      <c r="A43" s="776" t="s">
        <v>346</v>
      </c>
      <c r="B43" s="215" t="s">
        <v>425</v>
      </c>
      <c r="C43" s="238">
        <f ca="1">ROUND(IF('数据-取费表'!B22&lt;=1,C39*F22*'数据-取费表'!B21/2,C39*(POWER((1+F22),'数据-取费表'!B21/2)-1)),0)</f>
        <v>18</v>
      </c>
      <c r="D43" s="238"/>
      <c r="E43" s="238"/>
      <c r="F43" s="239"/>
      <c r="G43" s="3694"/>
    </row>
    <row r="44" spans="1:7" ht="13.5" customHeight="1">
      <c r="A44" s="776" t="s">
        <v>347</v>
      </c>
      <c r="B44" s="215" t="s">
        <v>427</v>
      </c>
      <c r="C44" s="238">
        <f ca="1">ROUND(IF('数据-取费表'!B22&lt;=1,C40*F22*'数据-取费表'!B21/2,C40*(POWER((1+F22),'数据-取费表'!B21/2)-1)),4)</f>
        <v>6.9999999999999999E-4</v>
      </c>
      <c r="D44" s="238"/>
      <c r="E44" s="238"/>
      <c r="F44" s="239"/>
      <c r="G44" s="3695"/>
    </row>
    <row r="45" spans="1:7" s="214" customFormat="1" ht="13.5" customHeight="1">
      <c r="A45" s="773" t="s">
        <v>340</v>
      </c>
      <c r="B45" s="244" t="s">
        <v>85</v>
      </c>
      <c r="C45" s="245">
        <f>C46</f>
        <v>3211</v>
      </c>
      <c r="D45" s="235">
        <f>C47</f>
        <v>2.3999999999999998E-3</v>
      </c>
      <c r="E45" s="236" t="s">
        <v>102</v>
      </c>
      <c r="F45" s="246"/>
      <c r="G45" s="247" t="s">
        <v>433</v>
      </c>
    </row>
    <row r="46" spans="1:7" s="214" customFormat="1" ht="13.5" customHeight="1">
      <c r="A46" s="776" t="s">
        <v>348</v>
      </c>
      <c r="B46" s="248" t="s">
        <v>426</v>
      </c>
      <c r="C46" s="249">
        <f>ROUND((C33+C39)*F27,0)</f>
        <v>3211</v>
      </c>
      <c r="D46" s="263"/>
      <c r="E46" s="236"/>
      <c r="F46" s="246"/>
      <c r="G46" s="247"/>
    </row>
    <row r="47" spans="1:7" s="214" customFormat="1" ht="13.5" customHeight="1">
      <c r="A47" s="776" t="s">
        <v>346</v>
      </c>
      <c r="B47" s="248" t="s">
        <v>428</v>
      </c>
      <c r="C47" s="238">
        <f>ROUND(C40*F27,4)</f>
        <v>2.3999999999999998E-3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33451</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31778</v>
      </c>
      <c r="D51" s="232"/>
      <c r="E51" s="232"/>
      <c r="F51" s="264"/>
      <c r="G51" s="234" t="s">
        <v>37</v>
      </c>
    </row>
    <row r="52" spans="1:7" s="208" customFormat="1" ht="16.5" thickBot="1">
      <c r="A52" s="265" t="s">
        <v>38</v>
      </c>
      <c r="B52" s="266"/>
      <c r="C52" s="267">
        <f ca="1">C31+C51</f>
        <v>60176</v>
      </c>
      <c r="D52" s="266"/>
      <c r="E52" s="266"/>
      <c r="F52" s="266"/>
      <c r="G52" s="268"/>
    </row>
    <row r="55" spans="1:7" ht="15">
      <c r="B55" s="270" t="s">
        <v>39</v>
      </c>
      <c r="C55" s="271"/>
    </row>
    <row r="56" spans="1:7">
      <c r="B56" s="273" t="s">
        <v>40</v>
      </c>
      <c r="C56" s="274">
        <f ca="1">ROUND(C51/C52,3)</f>
        <v>0.52800000000000002</v>
      </c>
    </row>
    <row r="57" spans="1:7">
      <c r="B57" s="273" t="s">
        <v>41</v>
      </c>
      <c r="C57" s="275">
        <f ca="1">1-C56</f>
        <v>0.47199999999999998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0" customWidth="1"/>
    <col min="12" max="12" width="9.75" customWidth="1"/>
    <col min="14" max="14" width="13.75" customWidth="1"/>
    <col min="15" max="15" width="20" customWidth="1"/>
    <col min="16" max="17" width="19.25" customWidth="1"/>
    <col min="18" max="18" width="9.625" customWidth="1"/>
  </cols>
  <sheetData>
    <row r="3" spans="11:11" s="3451" customFormat="1">
      <c r="K3" s="3452"/>
    </row>
    <row r="4" spans="11:11" s="3451" customFormat="1">
      <c r="K4" s="3452"/>
    </row>
    <row r="5" spans="11:11" s="3451" customFormat="1">
      <c r="K5" s="3452"/>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66" t="str">
        <f>项目基本情况!S2</f>
        <v>北京市房地产</v>
      </c>
      <c r="B2" s="3667"/>
      <c r="C2" s="3667"/>
      <c r="D2" s="3667"/>
      <c r="E2" s="3667"/>
      <c r="F2" s="3667"/>
      <c r="G2" s="3667"/>
      <c r="H2" s="3667"/>
      <c r="I2" s="3668"/>
    </row>
    <row r="3" spans="1:12" ht="12.75">
      <c r="A3" s="3670" t="s">
        <v>1261</v>
      </c>
      <c r="B3" s="3671"/>
      <c r="C3" s="3671"/>
      <c r="D3" s="3671"/>
      <c r="E3" s="3671"/>
      <c r="F3" s="3671"/>
      <c r="G3" s="3671"/>
      <c r="H3" s="3671"/>
      <c r="I3" s="3671"/>
    </row>
    <row r="4" spans="1:12" ht="14.25">
      <c r="A4" s="1750" t="s">
        <v>1262</v>
      </c>
      <c r="B4" s="1751" t="s">
        <v>1263</v>
      </c>
      <c r="C4" s="1752" t="s">
        <v>3454</v>
      </c>
      <c r="D4" s="1752" t="s">
        <v>3450</v>
      </c>
      <c r="E4" s="3675" t="s">
        <v>1264</v>
      </c>
      <c r="F4" s="3676"/>
      <c r="G4" s="3676"/>
      <c r="H4" s="3676"/>
      <c r="I4" s="3677"/>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14" t="s">
        <v>1265</v>
      </c>
      <c r="B5" s="3669">
        <v>25</v>
      </c>
      <c r="C5" s="3672"/>
      <c r="D5" s="3660"/>
      <c r="E5" s="131" t="s">
        <v>1266</v>
      </c>
      <c r="F5" s="1753"/>
      <c r="G5" s="1753"/>
      <c r="H5" s="1753"/>
      <c r="I5" s="1369"/>
    </row>
    <row r="6" spans="1:12" ht="12.75">
      <c r="A6" s="3614"/>
      <c r="B6" s="3669"/>
      <c r="C6" s="3674"/>
      <c r="D6" s="3660"/>
      <c r="E6" s="131" t="s">
        <v>1267</v>
      </c>
      <c r="F6" s="1753"/>
      <c r="G6" s="1753"/>
      <c r="H6" s="1753"/>
      <c r="I6" s="1369"/>
    </row>
    <row r="7" spans="1:12" ht="12.75">
      <c r="A7" s="3614"/>
      <c r="B7" s="3669"/>
      <c r="C7" s="3673"/>
      <c r="D7" s="3660"/>
      <c r="E7" s="131" t="s">
        <v>1268</v>
      </c>
      <c r="F7" s="1753"/>
      <c r="G7" s="1753"/>
      <c r="H7" s="1753"/>
      <c r="I7" s="1369"/>
    </row>
    <row r="8" spans="1:12" ht="12.75">
      <c r="A8" s="3614" t="s">
        <v>1269</v>
      </c>
      <c r="B8" s="3669">
        <v>15</v>
      </c>
      <c r="C8" s="3672"/>
      <c r="D8" s="3660"/>
      <c r="E8" s="131" t="s">
        <v>1270</v>
      </c>
      <c r="F8" s="1753"/>
      <c r="G8" s="1753"/>
      <c r="H8" s="1753"/>
      <c r="I8" s="1369"/>
    </row>
    <row r="9" spans="1:12" ht="12.75">
      <c r="A9" s="3614"/>
      <c r="B9" s="3669"/>
      <c r="C9" s="3673"/>
      <c r="D9" s="3660"/>
      <c r="E9" s="131" t="s">
        <v>1271</v>
      </c>
      <c r="F9" s="1753"/>
      <c r="G9" s="1753"/>
      <c r="H9" s="1753"/>
      <c r="I9" s="1369"/>
    </row>
    <row r="10" spans="1:12" ht="12.75">
      <c r="A10" s="3614" t="s">
        <v>1272</v>
      </c>
      <c r="B10" s="3669">
        <v>15</v>
      </c>
      <c r="C10" s="3672"/>
      <c r="D10" s="3660"/>
      <c r="E10" s="131" t="s">
        <v>1273</v>
      </c>
      <c r="F10" s="1753"/>
      <c r="G10" s="1753"/>
      <c r="H10" s="1753"/>
      <c r="I10" s="1369"/>
    </row>
    <row r="11" spans="1:12" ht="12.75">
      <c r="A11" s="3614"/>
      <c r="B11" s="3669"/>
      <c r="C11" s="3673"/>
      <c r="D11" s="3660"/>
      <c r="E11" s="131" t="s">
        <v>1274</v>
      </c>
      <c r="F11" s="1753"/>
      <c r="G11" s="1753"/>
      <c r="H11" s="1753"/>
      <c r="I11" s="1369"/>
    </row>
    <row r="12" spans="1:12" ht="12.75">
      <c r="A12" s="3614" t="s">
        <v>1275</v>
      </c>
      <c r="B12" s="3669">
        <v>15</v>
      </c>
      <c r="C12" s="3672"/>
      <c r="D12" s="3660"/>
      <c r="E12" s="131" t="s">
        <v>1276</v>
      </c>
      <c r="F12" s="1753"/>
      <c r="G12" s="1753"/>
      <c r="H12" s="1753"/>
      <c r="I12" s="1369"/>
    </row>
    <row r="13" spans="1:12" ht="12.75">
      <c r="A13" s="3614"/>
      <c r="B13" s="3669"/>
      <c r="C13" s="3673"/>
      <c r="D13" s="3660"/>
      <c r="E13" s="131" t="s">
        <v>1277</v>
      </c>
      <c r="F13" s="1753"/>
      <c r="G13" s="1753"/>
      <c r="H13" s="1753"/>
      <c r="I13" s="1369"/>
    </row>
    <row r="14" spans="1:12" ht="12.75">
      <c r="A14" s="3614" t="s">
        <v>1278</v>
      </c>
      <c r="B14" s="3669">
        <v>30</v>
      </c>
      <c r="C14" s="3829">
        <v>55</v>
      </c>
      <c r="D14" s="3832">
        <v>45</v>
      </c>
      <c r="E14" s="131" t="s">
        <v>1279</v>
      </c>
      <c r="F14" s="1753"/>
      <c r="G14" s="1753"/>
      <c r="H14" s="1753"/>
      <c r="I14" s="1369"/>
    </row>
    <row r="15" spans="1:12" ht="12.75">
      <c r="A15" s="3614"/>
      <c r="B15" s="3669"/>
      <c r="C15" s="3830"/>
      <c r="D15" s="3832"/>
      <c r="E15" s="131" t="s">
        <v>1280</v>
      </c>
      <c r="F15" s="1753"/>
      <c r="G15" s="1753"/>
      <c r="H15" s="1753"/>
      <c r="I15" s="1369"/>
    </row>
    <row r="16" spans="1:12" ht="12.75">
      <c r="A16" s="3614"/>
      <c r="B16" s="3669"/>
      <c r="C16" s="3831"/>
      <c r="D16" s="3832"/>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1" t="s">
        <v>2126</v>
      </c>
      <c r="F18" s="3692"/>
      <c r="G18" s="3692"/>
      <c r="H18" s="3692"/>
      <c r="I18" s="3692"/>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84" t="s">
        <v>1296</v>
      </c>
      <c r="B24" s="1758" t="s">
        <v>1288</v>
      </c>
      <c r="C24" s="136">
        <f>IF(B30=0,0,D30)</f>
        <v>0</v>
      </c>
      <c r="D24" s="1765"/>
      <c r="E24" s="129"/>
      <c r="F24" s="129"/>
      <c r="G24" s="129"/>
      <c r="H24" s="129"/>
      <c r="I24" s="129"/>
    </row>
    <row r="25" spans="1:36" ht="14.25">
      <c r="A25" s="3685"/>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1" t="s">
        <v>1309</v>
      </c>
      <c r="B36" s="1783" t="s">
        <v>1310</v>
      </c>
      <c r="C36" s="145"/>
      <c r="D36" s="1784"/>
      <c r="E36" s="1785"/>
      <c r="F36" s="1786"/>
      <c r="G36" s="129"/>
      <c r="H36" s="129"/>
      <c r="I36" s="129"/>
    </row>
    <row r="37" spans="1:15" ht="15.75" thickBot="1">
      <c r="A37" s="3662"/>
      <c r="B37" s="1670" t="s">
        <v>1311</v>
      </c>
      <c r="C37" s="147"/>
      <c r="D37" s="1135"/>
      <c r="E37" s="1135"/>
      <c r="F37" s="1786"/>
      <c r="G37" s="129"/>
      <c r="H37" s="129"/>
      <c r="I37" s="129"/>
    </row>
    <row r="38" spans="1:15" ht="15.75" thickBot="1">
      <c r="A38" s="3663"/>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1" t="s">
        <v>1323</v>
      </c>
      <c r="B45" s="3682"/>
      <c r="C45" s="3683"/>
      <c r="D45" s="155" t="e">
        <f ca="1">ROUND(H101*F45,0)</f>
        <v>#N/A</v>
      </c>
      <c r="E45" s="156" t="s">
        <v>1324</v>
      </c>
      <c r="F45" s="157">
        <v>1</v>
      </c>
      <c r="G45" s="158" t="s">
        <v>1325</v>
      </c>
      <c r="H45" s="129"/>
      <c r="I45" s="129"/>
      <c r="J45" s="3601" t="s">
        <v>1326</v>
      </c>
      <c r="K45" s="3601"/>
      <c r="L45" s="3601"/>
      <c r="M45" s="3601"/>
      <c r="N45" s="3601"/>
      <c r="O45" s="3601"/>
    </row>
    <row r="46" spans="1:15" ht="14.25" customHeight="1">
      <c r="A46" s="3678" t="s">
        <v>1327</v>
      </c>
      <c r="B46" s="3679"/>
      <c r="C46" s="3679"/>
      <c r="D46" s="3679"/>
      <c r="E46" s="3679"/>
      <c r="F46" s="3679"/>
      <c r="G46" s="3680"/>
      <c r="H46" s="1802"/>
      <c r="I46" s="159"/>
      <c r="J46" s="3463">
        <v>1</v>
      </c>
      <c r="K46" s="3602" t="s">
        <v>1328</v>
      </c>
      <c r="L46" s="3602"/>
      <c r="M46" s="3603"/>
      <c r="N46" s="3603"/>
      <c r="O46" s="3603"/>
    </row>
    <row r="47" spans="1:15" ht="12" customHeight="1">
      <c r="A47" s="160" t="s">
        <v>1329</v>
      </c>
      <c r="B47" s="161"/>
      <c r="C47" s="162"/>
      <c r="D47" s="1083" t="s">
        <v>1330</v>
      </c>
      <c r="E47" s="302" t="s">
        <v>1331</v>
      </c>
      <c r="F47" s="163" t="s">
        <v>1332</v>
      </c>
      <c r="G47" s="2542" t="s">
        <v>1333</v>
      </c>
      <c r="H47" s="2543"/>
      <c r="I47" s="159"/>
      <c r="J47" s="3463">
        <v>2</v>
      </c>
      <c r="K47" s="3602" t="s">
        <v>1334</v>
      </c>
      <c r="L47" s="3602"/>
      <c r="M47" s="3604">
        <f>'数据-取费表'!B2</f>
        <v>45457</v>
      </c>
      <c r="N47" s="3604"/>
      <c r="O47" s="3604"/>
    </row>
    <row r="48" spans="1:15" ht="25.5">
      <c r="A48" s="3664" t="s">
        <v>1335</v>
      </c>
      <c r="B48" s="3665"/>
      <c r="C48" s="3665"/>
      <c r="D48" s="3458" t="b">
        <f>IF(H48="情况1",0,IF(H48="情况2",D52,IF(H48="情况3",D53,IF(H48="情况4",D54))))</f>
        <v>0</v>
      </c>
      <c r="E48" s="3474" t="str">
        <f>IF(H48="情况4","(销售额-原购置价)×税（费）率","销售额×税（费）率")</f>
        <v>销售额×税（费）率</v>
      </c>
      <c r="F48" s="2544">
        <f>IF(H48="情况1","免征",'数据-取费表'!B41)</f>
        <v>5.6000000000000001E-2</v>
      </c>
      <c r="G48" s="2545" t="s">
        <v>1336</v>
      </c>
      <c r="H48" s="2546"/>
      <c r="I48" s="1802"/>
      <c r="J48" s="3463">
        <v>3</v>
      </c>
      <c r="K48" s="3602" t="s">
        <v>1337</v>
      </c>
      <c r="L48" s="3602"/>
      <c r="M48" s="3605" t="e">
        <f ca="1">H101</f>
        <v>#N/A</v>
      </c>
      <c r="N48" s="3605"/>
      <c r="O48" s="3605"/>
    </row>
    <row r="49" spans="1:35" ht="25.5" customHeight="1">
      <c r="A49" s="3473" t="s">
        <v>1338</v>
      </c>
      <c r="B49" s="3650" t="s">
        <v>1339</v>
      </c>
      <c r="C49" s="3650"/>
      <c r="D49" s="1586">
        <v>0</v>
      </c>
      <c r="E49" s="324" t="s">
        <v>1340</v>
      </c>
      <c r="F49" s="3456" t="s">
        <v>28</v>
      </c>
      <c r="G49" s="3633"/>
      <c r="H49" s="2306" t="s">
        <v>2129</v>
      </c>
      <c r="I49" s="2307"/>
      <c r="J49" s="3463">
        <v>4</v>
      </c>
      <c r="K49" s="3602" t="str">
        <f>IF(项目基本情况!E8="房地产抵押价值","房地产抵押价值","抵押担保权已注销时的房地产抵押价值")</f>
        <v>房地产抵押价值</v>
      </c>
      <c r="L49" s="3602"/>
      <c r="M49" s="3605" t="e">
        <f ca="1">IF(项目基本情况!E8="房地产抵押价值",H107,H109)</f>
        <v>#N/A</v>
      </c>
      <c r="N49" s="3605"/>
      <c r="O49" s="3605"/>
    </row>
    <row r="50" spans="1:35" ht="25.5" customHeight="1">
      <c r="A50" s="2547"/>
      <c r="B50" s="3650" t="s">
        <v>1341</v>
      </c>
      <c r="C50" s="3650"/>
      <c r="D50" s="2548"/>
      <c r="E50" s="332"/>
      <c r="F50" s="3456"/>
      <c r="G50" s="3634"/>
      <c r="H50" s="2308" t="s">
        <v>2130</v>
      </c>
      <c r="I50" s="2307"/>
      <c r="J50" s="3601" t="s">
        <v>1342</v>
      </c>
      <c r="K50" s="3601"/>
      <c r="L50" s="3601"/>
      <c r="M50" s="3601"/>
      <c r="N50" s="3601"/>
      <c r="O50" s="3601"/>
    </row>
    <row r="51" spans="1:35" ht="20.45" customHeight="1">
      <c r="A51" s="2549"/>
      <c r="B51" s="3650" t="s">
        <v>1343</v>
      </c>
      <c r="C51" s="3650"/>
      <c r="D51" s="1083"/>
      <c r="E51" s="327"/>
      <c r="F51" s="3456"/>
      <c r="G51" s="3635"/>
      <c r="H51" s="2308" t="s">
        <v>2131</v>
      </c>
      <c r="I51" s="2307"/>
      <c r="J51" s="3457" t="s">
        <v>1344</v>
      </c>
      <c r="K51" s="3602" t="s">
        <v>1345</v>
      </c>
      <c r="L51" s="3602"/>
      <c r="M51" s="3457" t="s">
        <v>1346</v>
      </c>
      <c r="N51" s="3457" t="s">
        <v>1347</v>
      </c>
      <c r="O51" s="3457" t="s">
        <v>1348</v>
      </c>
    </row>
    <row r="52" spans="1:35" ht="24" customHeight="1">
      <c r="A52" s="3476" t="s">
        <v>1349</v>
      </c>
      <c r="B52" s="3650" t="s">
        <v>1350</v>
      </c>
      <c r="C52" s="3650"/>
      <c r="D52" s="1083" t="e">
        <f ca="1">ROUND(D45*'数据-取费表'!B41/(1+'数据-取费表'!C42),0)</f>
        <v>#N/A</v>
      </c>
      <c r="E52" s="3474" t="s">
        <v>1351</v>
      </c>
      <c r="F52" s="2550">
        <f>'数据-取费表'!B41</f>
        <v>5.6000000000000001E-2</v>
      </c>
      <c r="G52" s="2551"/>
      <c r="H52" s="2540"/>
      <c r="I52" s="1803"/>
      <c r="J52" s="3463">
        <v>1</v>
      </c>
      <c r="K52" s="3627" t="s">
        <v>1352</v>
      </c>
      <c r="L52" s="3627"/>
      <c r="M52" s="2521" t="b">
        <f>D48</f>
        <v>0</v>
      </c>
      <c r="N52" s="3463" t="str">
        <f>E48</f>
        <v>销售额×税（费）率</v>
      </c>
      <c r="O52" s="2522">
        <f>F48</f>
        <v>5.6000000000000001E-2</v>
      </c>
    </row>
    <row r="53" spans="1:35" ht="12" customHeight="1">
      <c r="A53" s="3476" t="s">
        <v>1353</v>
      </c>
      <c r="B53" s="3651" t="s">
        <v>2286</v>
      </c>
      <c r="C53" s="3652"/>
      <c r="D53" s="1083" t="e">
        <f ca="1">ROUND(D45*'数据-取费表'!B41/(1+'数据-取费表'!C42),0)</f>
        <v>#N/A</v>
      </c>
      <c r="E53" s="3474" t="s">
        <v>1351</v>
      </c>
      <c r="F53" s="2550">
        <f>'数据-取费表'!B41</f>
        <v>5.6000000000000001E-2</v>
      </c>
      <c r="G53" s="2551"/>
      <c r="H53" s="2540"/>
      <c r="I53" s="1803"/>
      <c r="J53" s="3463">
        <v>2</v>
      </c>
      <c r="K53" s="3627" t="s">
        <v>1354</v>
      </c>
      <c r="L53" s="3627"/>
      <c r="M53" s="2521" t="e">
        <f t="shared" ref="M53:O54" ca="1" si="0">D55</f>
        <v>#N/A</v>
      </c>
      <c r="N53" s="3463" t="str">
        <f t="shared" si="0"/>
        <v>销售额×税（费）率</v>
      </c>
      <c r="O53" s="2522" t="str">
        <f t="shared" si="0"/>
        <v>免征</v>
      </c>
    </row>
    <row r="54" spans="1:35" ht="12" customHeight="1">
      <c r="A54" s="3476" t="s">
        <v>1355</v>
      </c>
      <c r="B54" s="3651" t="s">
        <v>2287</v>
      </c>
      <c r="C54" s="3652"/>
      <c r="D54" s="1083" t="e">
        <f ca="1">C68</f>
        <v>#N/A</v>
      </c>
      <c r="E54" s="327" t="s">
        <v>1356</v>
      </c>
      <c r="F54" s="2550">
        <f>'数据-取费表'!B41</f>
        <v>5.6000000000000001E-2</v>
      </c>
      <c r="G54" s="2551"/>
      <c r="H54" s="2552"/>
      <c r="I54" s="1803"/>
      <c r="J54" s="3463">
        <v>3</v>
      </c>
      <c r="K54" s="3627" t="s">
        <v>1357</v>
      </c>
      <c r="L54" s="3627"/>
      <c r="M54" s="2521" t="e">
        <f t="shared" ca="1" si="0"/>
        <v>#N/A</v>
      </c>
      <c r="N54" s="3463" t="str">
        <f t="shared" si="0"/>
        <v>增值额×税（费）率</v>
      </c>
      <c r="O54" s="2523" t="str">
        <f t="shared" si="0"/>
        <v>免征</v>
      </c>
    </row>
    <row r="55" spans="1:35" ht="24" customHeight="1">
      <c r="A55" s="3687" t="s">
        <v>1358</v>
      </c>
      <c r="B55" s="3665"/>
      <c r="C55" s="3665"/>
      <c r="D55" s="3458" t="e">
        <f ca="1">IF(H55="个人住宅",0,ROUND(D45*I55,0))</f>
        <v>#N/A</v>
      </c>
      <c r="E55" s="3474" t="s">
        <v>1359</v>
      </c>
      <c r="F55" s="2550" t="str">
        <f>IF(H55="正常",I55,"免征")</f>
        <v>免征</v>
      </c>
      <c r="G55" s="2551"/>
      <c r="H55" s="2546"/>
      <c r="I55" s="165">
        <f>'数据-取费表'!B49</f>
        <v>5.0000000000000001E-4</v>
      </c>
      <c r="J55" s="3463">
        <f>IF(H59="非个人房产","",4)</f>
        <v>4</v>
      </c>
      <c r="K55" s="3627" t="str">
        <f>IF(H59="非个人房产","——","个人所得税")</f>
        <v>个人所得税</v>
      </c>
      <c r="L55" s="3627"/>
      <c r="M55" s="2524" t="e">
        <f ca="1">D59</f>
        <v>#N/A</v>
      </c>
      <c r="N55" s="3464" t="str">
        <f>E59</f>
        <v>差额计税</v>
      </c>
      <c r="O55" s="2525">
        <f>F59</f>
        <v>0.01</v>
      </c>
    </row>
    <row r="56" spans="1:35" ht="24.75">
      <c r="A56" s="3687" t="s">
        <v>1360</v>
      </c>
      <c r="B56" s="3665"/>
      <c r="C56" s="3665"/>
      <c r="D56" s="3458" t="e">
        <f ca="1">IF(H56="个人住宅",D57,D58)</f>
        <v>#N/A</v>
      </c>
      <c r="E56" s="3474" t="s">
        <v>1361</v>
      </c>
      <c r="F56" s="2550" t="str">
        <f>IF(H56="正常",F58,"免征")</f>
        <v>免征</v>
      </c>
      <c r="G56" s="2553" t="s">
        <v>1362</v>
      </c>
      <c r="H56" s="2554"/>
      <c r="I56" s="1804"/>
      <c r="J56" s="3463" t="str">
        <f>IF(项目基本情况!K6="上海银行",IF(J55="",4,J55+1),"")</f>
        <v/>
      </c>
      <c r="K56" s="3608" t="str">
        <f>IF(项目基本情况!K6="上海银行","其他处置费用","")</f>
        <v/>
      </c>
      <c r="L56" s="3609"/>
      <c r="M56" s="2521" t="str">
        <f>IF(项目基本情况!K6="上海银行",M69,"")</f>
        <v/>
      </c>
      <c r="N56" s="3608" t="str">
        <f>IF(项目基本情况!K6="上海银行","包含处置中涉及的律师、诉讼、拍卖、评估等费用","")</f>
        <v/>
      </c>
      <c r="O56" s="3611"/>
    </row>
    <row r="57" spans="1:35" ht="12.75">
      <c r="A57" s="3476" t="s">
        <v>1338</v>
      </c>
      <c r="B57" s="3651" t="s">
        <v>1363</v>
      </c>
      <c r="C57" s="3652"/>
      <c r="D57" s="1586">
        <v>0</v>
      </c>
      <c r="E57" s="324" t="s">
        <v>1340</v>
      </c>
      <c r="F57" s="302"/>
      <c r="G57" s="2551"/>
      <c r="H57" s="2555"/>
      <c r="I57" s="1804"/>
      <c r="J57" s="3627">
        <f>IF(AND(J55="",J56=""),4,IF(项目基本情况!K6="上海银行",'结果表-6号楼'!J56+1,'结果表-6号楼'!J55+1))</f>
        <v>5</v>
      </c>
      <c r="K57" s="3627" t="s">
        <v>1364</v>
      </c>
      <c r="L57" s="2526" t="s">
        <v>1365</v>
      </c>
      <c r="M57" s="2527"/>
      <c r="N57" s="2528">
        <f ca="1">SUMIF(M52:M56,"&lt;9e307")</f>
        <v>0</v>
      </c>
      <c r="O57" s="2529"/>
      <c r="P57" s="2686" t="e">
        <f ca="1">N57/M49</f>
        <v>#N/A</v>
      </c>
    </row>
    <row r="58" spans="1:35" ht="24.75">
      <c r="A58" s="3476" t="s">
        <v>1349</v>
      </c>
      <c r="B58" s="3651" t="s">
        <v>1366</v>
      </c>
      <c r="C58" s="3650"/>
      <c r="D58" s="3458" t="e">
        <f ca="1">IF(H58="转让取得",C81,C97)</f>
        <v>#N/A</v>
      </c>
      <c r="E58" s="3474" t="s">
        <v>1361</v>
      </c>
      <c r="F58" s="302" t="s">
        <v>28</v>
      </c>
      <c r="G58" s="2551"/>
      <c r="H58" s="2554"/>
      <c r="I58" s="1804"/>
      <c r="J58" s="3627"/>
      <c r="K58" s="3627"/>
      <c r="L58" s="2526" t="s">
        <v>1367</v>
      </c>
      <c r="M58" s="2530"/>
      <c r="N58" s="2531" t="str">
        <f ca="1">NUMBERSTRING(INT(N57*10000),2)&amp;"元整"</f>
        <v>零元整</v>
      </c>
      <c r="O58" s="2532"/>
    </row>
    <row r="59" spans="1:35" ht="24.75" thickBot="1">
      <c r="A59" s="3631" t="s">
        <v>1368</v>
      </c>
      <c r="B59" s="3632"/>
      <c r="C59" s="3632"/>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29">
        <f>J57+1</f>
        <v>6</v>
      </c>
      <c r="K59" s="3627" t="s">
        <v>1369</v>
      </c>
      <c r="L59" s="3463" t="s">
        <v>1365</v>
      </c>
      <c r="M59" s="2533"/>
      <c r="N59" s="2534" t="e">
        <f ca="1">M49-N57</f>
        <v>#N/A</v>
      </c>
      <c r="O59" s="2535"/>
    </row>
    <row r="60" spans="1:35" ht="12" customHeight="1">
      <c r="A60" s="1805"/>
      <c r="B60" s="1743"/>
      <c r="C60" s="1743"/>
      <c r="D60" s="1743"/>
      <c r="E60" s="1574"/>
      <c r="F60" s="1804"/>
      <c r="G60" s="1804"/>
      <c r="H60" s="1806"/>
      <c r="I60" s="129"/>
      <c r="J60" s="3630"/>
      <c r="K60" s="3627"/>
      <c r="L60" s="2526" t="s">
        <v>1367</v>
      </c>
      <c r="M60" s="2530"/>
      <c r="N60" s="2531" t="e">
        <f ca="1">NUMBERSTRING(INT(N59*10000),2)&amp;"元整"</f>
        <v>#N/A</v>
      </c>
      <c r="O60" s="2532"/>
    </row>
    <row r="61" spans="1:35" ht="13.5" thickBot="1">
      <c r="A61" s="3686" t="s">
        <v>1370</v>
      </c>
      <c r="B61" s="3686"/>
      <c r="C61" s="3686"/>
      <c r="D61" s="3686"/>
      <c r="E61" s="3686"/>
      <c r="F61" s="1804"/>
      <c r="G61" s="1804"/>
      <c r="H61" s="1806"/>
      <c r="I61" s="129"/>
      <c r="J61" s="3463">
        <f>J59+1</f>
        <v>7</v>
      </c>
      <c r="K61" s="3627" t="s">
        <v>1371</v>
      </c>
      <c r="L61" s="3627"/>
      <c r="M61" s="2536"/>
      <c r="N61" s="2537" t="e">
        <f ca="1">ROUND(N59*10000/'数据-汇总表'!E3,0)</f>
        <v>#N/A</v>
      </c>
      <c r="O61" s="2538"/>
    </row>
    <row r="62" spans="1:35" ht="12.75">
      <c r="A62" s="3646" t="s">
        <v>1372</v>
      </c>
      <c r="B62" s="3647"/>
      <c r="C62" s="3469"/>
      <c r="D62" s="3469"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0" t="s">
        <v>1376</v>
      </c>
      <c r="K63" s="3459" t="s">
        <v>1377</v>
      </c>
      <c r="L63" s="3459"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0"/>
      <c r="K64" s="3459" t="s">
        <v>1379</v>
      </c>
      <c r="L64" s="3459"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0"/>
      <c r="K65" s="3459" t="s">
        <v>1382</v>
      </c>
      <c r="L65" s="3459"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0"/>
      <c r="K66" s="3459" t="s">
        <v>1384</v>
      </c>
      <c r="L66" s="3459"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0"/>
      <c r="K67" s="3459" t="s">
        <v>1387</v>
      </c>
      <c r="L67" s="3459"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0"/>
      <c r="K68" s="3459" t="s">
        <v>1389</v>
      </c>
      <c r="L68" s="3459"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0"/>
      <c r="K69" s="3459" t="s">
        <v>1390</v>
      </c>
      <c r="L69" s="3459"/>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4" t="s">
        <v>1391</v>
      </c>
      <c r="B70" s="3655"/>
      <c r="C70" s="3655"/>
      <c r="D70" s="3655"/>
      <c r="E70" s="3655"/>
      <c r="F70" s="3655"/>
      <c r="G70" s="3655"/>
      <c r="H70" s="365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6" t="s">
        <v>1372</v>
      </c>
      <c r="B71" s="3647"/>
      <c r="C71" s="3469"/>
      <c r="D71" s="3469"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1"/>
      <c r="F72" s="3470"/>
      <c r="G72" s="3470"/>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1"/>
      <c r="F73" s="3470"/>
      <c r="G73" s="3470"/>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1"/>
      <c r="F74" s="3470"/>
      <c r="G74" s="3470"/>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1" t="s">
        <v>1399</v>
      </c>
      <c r="F76" s="3650"/>
      <c r="G76" s="3650"/>
      <c r="H76" s="365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8" t="s">
        <v>1401</v>
      </c>
      <c r="F77" s="186"/>
      <c r="G77" s="1818"/>
      <c r="H77" s="3472"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43" t="s">
        <v>1403</v>
      </c>
      <c r="F78" s="3644"/>
      <c r="G78" s="3644"/>
      <c r="H78" s="364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1"/>
      <c r="F79" s="3470"/>
      <c r="G79" s="3470"/>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8" t="e">
        <f ca="1">IF(C80&gt;=200%,"增值额超过扣除项目金额200%",IF(C80&gt;=100%,"增值额超过扣除项目金额100%，未超过200%",IF(C80&gt;=50%,"增值额超过扣除项目金额50%，未超过100%",IF(C80&lt;50%,"增值额未超过扣除项目金额50%"))))</f>
        <v>#N/A</v>
      </c>
      <c r="F80" s="3470"/>
      <c r="G80" s="3470"/>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4" t="s">
        <v>1407</v>
      </c>
      <c r="B83" s="3655"/>
      <c r="C83" s="3655"/>
      <c r="D83" s="3655"/>
      <c r="E83" s="3655"/>
      <c r="F83" s="3655"/>
      <c r="G83" s="3655"/>
      <c r="H83" s="365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6" t="s">
        <v>1372</v>
      </c>
      <c r="B84" s="3647"/>
      <c r="C84" s="3469"/>
      <c r="D84" s="3469"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1"/>
      <c r="F85" s="3470"/>
      <c r="G85" s="3470"/>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1"/>
      <c r="F86" s="3470"/>
      <c r="G86" s="3470"/>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6"/>
      <c r="F87" s="3467"/>
      <c r="G87" s="3467"/>
      <c r="H87" s="3468"/>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7"/>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7"/>
      <c r="G89" s="3467"/>
      <c r="H89" s="3468"/>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7"/>
      <c r="G90" s="3612" t="s">
        <v>2124</v>
      </c>
      <c r="H90" s="3613"/>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43" t="s">
        <v>1416</v>
      </c>
      <c r="F91" s="3644"/>
      <c r="G91" s="364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43" t="s">
        <v>1419</v>
      </c>
      <c r="F92" s="3644"/>
      <c r="G92" s="3644"/>
      <c r="H92" s="3645"/>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43" t="s">
        <v>1403</v>
      </c>
      <c r="F93" s="3644"/>
      <c r="G93" s="3644"/>
      <c r="H93" s="364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88" t="s">
        <v>1423</v>
      </c>
      <c r="F94" s="3689"/>
      <c r="G94" s="3689"/>
      <c r="H94" s="369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1"/>
      <c r="F95" s="3470"/>
      <c r="G95" s="3470"/>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8" t="e">
        <f ca="1">IF(C96&gt;=200%,"增值额超过扣除项目金额200%",IF(C96&gt;=100%,"增值额超过扣除项目金额100%，未超过200%",IF(C96&gt;=50%,"增值额超过扣除项目金额50%，未超过100%",IF(C96&lt;50%,"增值额未超过扣除项目金额50%"))))</f>
        <v>#N/A</v>
      </c>
      <c r="F96" s="3470"/>
      <c r="G96" s="3470"/>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593" t="s">
        <v>1425</v>
      </c>
      <c r="B100" s="3594"/>
      <c r="C100" s="3594"/>
      <c r="D100" s="3628"/>
      <c r="E100" s="3594" t="s">
        <v>1426</v>
      </c>
      <c r="F100" s="3594"/>
      <c r="G100" s="3594"/>
      <c r="H100" s="3628"/>
      <c r="I100" s="129"/>
    </row>
    <row r="101" spans="1:35" ht="18.75" customHeight="1">
      <c r="A101" s="3636" t="s">
        <v>1427</v>
      </c>
      <c r="B101" s="3637"/>
      <c r="C101" s="2581" t="str">
        <f>C4</f>
        <v>成本法-6号楼</v>
      </c>
      <c r="D101" s="2582" t="str">
        <f>D4</f>
        <v>收益法-6号楼</v>
      </c>
      <c r="E101" s="3606" t="s">
        <v>1428</v>
      </c>
      <c r="F101" s="3607"/>
      <c r="G101" s="1823" t="s">
        <v>1429</v>
      </c>
      <c r="H101" s="2591" t="e">
        <f ca="1">H118</f>
        <v>#N/A</v>
      </c>
      <c r="I101" s="129"/>
    </row>
    <row r="102" spans="1:35" ht="18.75" customHeight="1">
      <c r="A102" s="3638" t="s">
        <v>1430</v>
      </c>
      <c r="B102" s="2580" t="s">
        <v>1429</v>
      </c>
      <c r="C102" s="2581" t="e">
        <f ca="1">IF(D32="楼面单价",ROUND(C19,0),C19)</f>
        <v>#N/A</v>
      </c>
      <c r="D102" s="2582" t="e">
        <f ca="1">IF(D32="楼面单价",ROUND(D19,0),D19)</f>
        <v>#N/A</v>
      </c>
      <c r="E102" s="3606"/>
      <c r="F102" s="3607"/>
      <c r="G102" s="1823" t="s">
        <v>1431</v>
      </c>
      <c r="H102" s="2551" t="e">
        <f ca="1">I118</f>
        <v>#N/A</v>
      </c>
      <c r="I102" s="129"/>
    </row>
    <row r="103" spans="1:35" ht="42.75" customHeight="1">
      <c r="A103" s="3638"/>
      <c r="B103" s="2580" t="s">
        <v>1431</v>
      </c>
      <c r="C103" s="2583" t="e">
        <f ca="1">C20</f>
        <v>#N/A</v>
      </c>
      <c r="D103" s="2584">
        <f ca="1">D20</f>
        <v>0</v>
      </c>
      <c r="E103" s="3599" t="s">
        <v>1432</v>
      </c>
      <c r="F103" s="3600"/>
      <c r="G103" s="1824" t="s">
        <v>1433</v>
      </c>
      <c r="H103" s="2591">
        <f>IF(D36="正常操作",H104+H105+H106,H105+H106)</f>
        <v>0</v>
      </c>
      <c r="I103" s="129"/>
    </row>
    <row r="104" spans="1:35" ht="18.75" customHeight="1">
      <c r="A104" s="3638"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48"/>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39" t="str">
        <f>IF(项目基本情况!E8="已注销","——","3.房地产抵押价值")</f>
        <v>3.房地产抵押价值</v>
      </c>
      <c r="F107" s="3607"/>
      <c r="G107" s="1823" t="s">
        <v>1429</v>
      </c>
      <c r="H107" s="2591" t="e">
        <f ca="1">IF(E107="——","——",H101-H103)</f>
        <v>#N/A</v>
      </c>
      <c r="I107" s="129"/>
    </row>
    <row r="108" spans="1:35" ht="18.75" customHeight="1">
      <c r="A108" s="129"/>
      <c r="B108" s="129"/>
      <c r="C108" s="129"/>
      <c r="D108" s="129"/>
      <c r="E108" s="3639"/>
      <c r="F108" s="3607"/>
      <c r="G108" s="1823" t="s">
        <v>1431</v>
      </c>
      <c r="H108" s="2551" t="e">
        <f ca="1">IF(H107=H101,H102,ROUND(H107*10000/'数据-汇总表'!E3,0))</f>
        <v>#N/A</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07"/>
      <c r="G109" s="1823" t="s">
        <v>1429</v>
      </c>
      <c r="H109" s="2594" t="str">
        <f>IF(E109="——","——",H101-H105-H106)</f>
        <v>——</v>
      </c>
      <c r="I109" s="129"/>
    </row>
    <row r="110" spans="1:35" ht="18.75" customHeight="1">
      <c r="A110" s="129"/>
      <c r="B110" s="129"/>
      <c r="C110" s="129"/>
      <c r="D110" s="129"/>
      <c r="E110" s="3639"/>
      <c r="F110" s="3607"/>
      <c r="G110" s="1823" t="s">
        <v>1431</v>
      </c>
      <c r="H110" s="2551"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4.抵押净值</v>
      </c>
      <c r="F111" s="3626"/>
      <c r="G111" s="1823" t="s">
        <v>1429</v>
      </c>
      <c r="H111" s="2591" t="e">
        <f ca="1">IF(E111="——","——",N59)</f>
        <v>#N/A</v>
      </c>
      <c r="I111" s="129"/>
    </row>
    <row r="112" spans="1:35" ht="18.75" customHeight="1" thickBot="1">
      <c r="A112" s="129"/>
      <c r="B112" s="129"/>
      <c r="C112" s="129"/>
      <c r="D112" s="129"/>
      <c r="E112" s="3641"/>
      <c r="F112" s="3642"/>
      <c r="G112" s="1826" t="s">
        <v>1431</v>
      </c>
      <c r="H112" s="2595" t="e">
        <f ca="1">IF(E111="——","——",N61)</f>
        <v>#N/A</v>
      </c>
      <c r="I112" s="129"/>
    </row>
    <row r="113" spans="1:27" ht="18.75" customHeight="1">
      <c r="A113" s="129"/>
      <c r="B113" s="129"/>
      <c r="C113" s="129"/>
      <c r="D113" s="129"/>
      <c r="E113" s="3649" t="s">
        <v>1437</v>
      </c>
      <c r="F113" s="3649"/>
      <c r="G113" s="3649"/>
      <c r="H113" s="3649"/>
      <c r="I113" s="129"/>
    </row>
    <row r="114" spans="1:27" ht="3.75" customHeight="1">
      <c r="A114" s="1743"/>
      <c r="B114" s="1743"/>
      <c r="C114" s="1743"/>
      <c r="D114" s="1743"/>
      <c r="E114" s="1805"/>
      <c r="F114" s="1805"/>
      <c r="G114" s="1805"/>
      <c r="H114" s="1805"/>
      <c r="I114" s="1743"/>
    </row>
    <row r="115" spans="1:27" ht="18.75" customHeight="1">
      <c r="A115" s="3657" t="s">
        <v>1439</v>
      </c>
      <c r="B115" s="3658"/>
      <c r="C115" s="3658"/>
      <c r="D115" s="3658"/>
      <c r="E115" s="3658"/>
      <c r="F115" s="3658"/>
      <c r="G115" s="3658"/>
      <c r="H115" s="3658"/>
      <c r="I115" s="3659"/>
    </row>
    <row r="116" spans="1:27" ht="27" customHeight="1">
      <c r="A116" s="3614" t="s">
        <v>1440</v>
      </c>
      <c r="B116" s="3618" t="s">
        <v>1441</v>
      </c>
      <c r="C116" s="3618" t="s">
        <v>1442</v>
      </c>
      <c r="D116" s="3624" t="s">
        <v>1443</v>
      </c>
      <c r="E116" s="3625"/>
      <c r="F116" s="3656" t="s">
        <v>1444</v>
      </c>
      <c r="G116" s="3656"/>
      <c r="H116" s="3614" t="s">
        <v>1445</v>
      </c>
      <c r="I116" s="3614"/>
    </row>
    <row r="117" spans="1:27" ht="18.75" customHeight="1">
      <c r="A117" s="3614"/>
      <c r="B117" s="3619"/>
      <c r="C117" s="3619"/>
      <c r="D117" s="3461" t="s">
        <v>1446</v>
      </c>
      <c r="E117" s="3461" t="s">
        <v>1447</v>
      </c>
      <c r="F117" s="3461" t="s">
        <v>1446</v>
      </c>
      <c r="G117" s="3461" t="s">
        <v>1448</v>
      </c>
      <c r="H117" s="3461" t="s">
        <v>1446</v>
      </c>
      <c r="I117" s="3461" t="s">
        <v>1448</v>
      </c>
    </row>
    <row r="118" spans="1:27" ht="24.75" customHeight="1">
      <c r="A118" s="2596" t="str">
        <f>项目基本情况!S2</f>
        <v>北京市房地产</v>
      </c>
      <c r="B118" s="3461">
        <f>M18</f>
        <v>0</v>
      </c>
      <c r="C118" s="3461">
        <f>M19</f>
        <v>0</v>
      </c>
      <c r="D118" s="3461" t="e">
        <f ca="1">ROUND(IF(D32="总价",C34,E118*B118/10000),0)</f>
        <v>#N/A</v>
      </c>
      <c r="E118" s="3461" t="e">
        <f ca="1">ROUND(IF(C33="自定义",IF(D32="楼面单价",C34,D118*10000/B118),I118-G118),0)</f>
        <v>#N/A</v>
      </c>
      <c r="F118" s="3461" t="e">
        <f ca="1">ROUND(IF(D32="总价",C35,G118*B118/10000),0)</f>
        <v>#N/A</v>
      </c>
      <c r="G118" s="3461" t="e">
        <f ca="1">ROUND(IF(D32="楼面单价",C35,F118*10000/B118),0)</f>
        <v>#N/A</v>
      </c>
      <c r="H118" s="3461" t="e">
        <f ca="1">ROUND(IF(D32="总价",C32,I118*B118/10000),0)</f>
        <v>#N/A</v>
      </c>
      <c r="I118" s="3461" t="e">
        <f ca="1">ROUND(IF(D32="楼面单价",C32,H118*10000/B118),0)</f>
        <v>#N/A</v>
      </c>
    </row>
    <row r="119" spans="1:27" ht="18.75" customHeight="1">
      <c r="A119" s="3614" t="s">
        <v>1449</v>
      </c>
      <c r="B119" s="3614"/>
      <c r="C119" s="3614"/>
      <c r="D119" s="3620" t="e">
        <f ca="1">NUMBERSTRING(INT(D118*10000),2)&amp;"元整"</f>
        <v>#N/A</v>
      </c>
      <c r="E119" s="3621"/>
      <c r="F119" s="3620" t="e">
        <f ca="1">NUMBERSTRING(INT(F118*10000),2)&amp;"元整"</f>
        <v>#N/A</v>
      </c>
      <c r="G119" s="3621"/>
      <c r="H119" s="3620" t="e">
        <f ca="1">NUMBERSTRING(INT(H118*10000),2)&amp;"元整"</f>
        <v>#N/A</v>
      </c>
      <c r="I119" s="3621"/>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1449</v>
      </c>
      <c r="B121" s="3622"/>
      <c r="C121" s="3621"/>
      <c r="D121" s="3620" t="str">
        <f>IF(D120=0,"零元整",NUMBERSTRING(INT(D120*10000),2)&amp;"元整")</f>
        <v>零元整</v>
      </c>
      <c r="E121" s="3622"/>
      <c r="F121" s="3622"/>
      <c r="G121" s="3622"/>
      <c r="H121" s="3622"/>
      <c r="I121" s="3621"/>
      <c r="AA121" s="724"/>
    </row>
    <row r="122" spans="1:27" ht="18.75" customHeight="1">
      <c r="A122" s="3626" t="str">
        <f>IF(项目基本情况!B9="房地产市场价值","",MID(E107,3,LEN(E107)-2))</f>
        <v>房地产抵押价值</v>
      </c>
      <c r="B122" s="3626"/>
      <c r="C122" s="3626"/>
      <c r="D122" s="3615" t="e">
        <f ca="1">H107</f>
        <v>#N/A</v>
      </c>
      <c r="E122" s="3616"/>
      <c r="F122" s="3616"/>
      <c r="G122" s="3616"/>
      <c r="H122" s="3616"/>
      <c r="I122" s="3617"/>
      <c r="AA122" s="724"/>
    </row>
    <row r="123" spans="1:27" ht="18.75" customHeight="1">
      <c r="A123" s="3614" t="s">
        <v>1449</v>
      </c>
      <c r="B123" s="3614"/>
      <c r="C123" s="3614"/>
      <c r="D123" s="3620" t="e">
        <f ca="1">NUMBERSTRING(INT(D122*10000),2)&amp;"元整"</f>
        <v>#N/A</v>
      </c>
      <c r="E123" s="3622"/>
      <c r="F123" s="3622"/>
      <c r="G123" s="3622"/>
      <c r="H123" s="3622"/>
      <c r="I123" s="3621"/>
      <c r="AA123" s="724"/>
    </row>
    <row r="124" spans="1:27" ht="18.75" customHeight="1">
      <c r="A124" s="3626" t="str">
        <f>IF(项目基本情况!B9="房地产市场价值","",MID(E109,3,LEN(E109)-2))</f>
        <v/>
      </c>
      <c r="B124" s="3626"/>
      <c r="C124" s="3626"/>
      <c r="D124" s="3615" t="str">
        <f>H109</f>
        <v>——</v>
      </c>
      <c r="E124" s="3616"/>
      <c r="F124" s="3616"/>
      <c r="G124" s="3616"/>
      <c r="H124" s="3616"/>
      <c r="I124" s="3617"/>
      <c r="AA124" s="724"/>
    </row>
    <row r="125" spans="1:27" ht="18.75" customHeight="1">
      <c r="A125" s="3614" t="s">
        <v>1449</v>
      </c>
      <c r="B125" s="3614"/>
      <c r="C125" s="3614"/>
      <c r="D125" s="3620" t="e">
        <f>NUMBERSTRING(INT(D124*10000),2)&amp;"元整"</f>
        <v>#VALUE!</v>
      </c>
      <c r="E125" s="3622"/>
      <c r="F125" s="3622"/>
      <c r="G125" s="3622"/>
      <c r="H125" s="3622"/>
      <c r="I125" s="3621"/>
      <c r="AA125" s="724"/>
    </row>
    <row r="126" spans="1:27" ht="18.75" customHeight="1">
      <c r="A126" s="3626" t="str">
        <f>IF(项目基本情况!B9="房地产市场价值","",MID(E111,3,LEN(E111)-2))</f>
        <v>抵押净值</v>
      </c>
      <c r="B126" s="3626"/>
      <c r="C126" s="3626"/>
      <c r="D126" s="3615" t="e">
        <f ca="1">H111</f>
        <v>#N/A</v>
      </c>
      <c r="E126" s="3616"/>
      <c r="F126" s="3616"/>
      <c r="G126" s="3616"/>
      <c r="H126" s="3616"/>
      <c r="I126" s="3617"/>
      <c r="AA126" s="724"/>
    </row>
    <row r="127" spans="1:27" ht="18.75" customHeight="1">
      <c r="A127" s="3614" t="s">
        <v>1449</v>
      </c>
      <c r="B127" s="3614"/>
      <c r="C127" s="3614"/>
      <c r="D127" s="3620" t="e">
        <f ca="1">NUMBERSTRING(INT(D126*10000),2)&amp;"元整"</f>
        <v>#N/A</v>
      </c>
      <c r="E127" s="3622"/>
      <c r="F127" s="3622"/>
      <c r="G127" s="3622"/>
      <c r="H127" s="3622"/>
      <c r="I127" s="3621"/>
      <c r="AA127" s="724"/>
    </row>
    <row r="128" spans="1:27" ht="21.75" customHeight="1">
      <c r="A128" s="3623" t="s">
        <v>1450</v>
      </c>
      <c r="B128" s="3623"/>
      <c r="C128" s="3623"/>
      <c r="D128" s="3623"/>
      <c r="E128" s="3623"/>
      <c r="F128" s="3623"/>
      <c r="G128" s="3623"/>
      <c r="H128" s="3623"/>
      <c r="I128" s="3623"/>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1114.5</v>
      </c>
      <c r="D6" s="217"/>
      <c r="E6" s="218"/>
      <c r="F6" s="218"/>
      <c r="G6" s="219"/>
    </row>
    <row r="7" spans="1:9" s="214" customFormat="1" ht="13.5" customHeight="1">
      <c r="A7" s="774" t="s">
        <v>1471</v>
      </c>
      <c r="B7" s="215" t="s">
        <v>1472</v>
      </c>
      <c r="C7" s="220">
        <f>ROUND(C6*F7,0)</f>
        <v>34</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0.03</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0.02</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693" t="s">
        <v>1541</v>
      </c>
    </row>
    <row r="43" spans="1:7" ht="13.5" customHeight="1">
      <c r="A43" s="776" t="s">
        <v>346</v>
      </c>
      <c r="B43" s="215" t="s">
        <v>1503</v>
      </c>
      <c r="C43" s="238" t="e">
        <f ca="1">ROUND(IF('数据-取费表'!B22&lt;=1,C39*F22*'数据-取费表'!B21/2,C39*(POWER((1+F22),'数据-取费表'!B21/2)-1)),0)</f>
        <v>#N/A</v>
      </c>
      <c r="D43" s="238"/>
      <c r="E43" s="238"/>
      <c r="F43" s="239"/>
      <c r="G43" s="3694"/>
    </row>
    <row r="44" spans="1:7" ht="13.5" customHeight="1">
      <c r="A44" s="776" t="s">
        <v>347</v>
      </c>
      <c r="B44" s="215" t="s">
        <v>1506</v>
      </c>
      <c r="C44" s="238">
        <f ca="1">ROUND(IF('数据-取费表'!B22&lt;=1,C40*F22*'数据-取费表'!B21/2,C40*(POWER((1+F22),'数据-取费表'!B21/2)-1)),4)</f>
        <v>6.9999999999999999E-4</v>
      </c>
      <c r="D44" s="238"/>
      <c r="E44" s="238"/>
      <c r="F44" s="239"/>
      <c r="G44" s="3695"/>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698" t="s">
        <v>693</v>
      </c>
      <c r="C6" s="1070" t="e">
        <f ca="1">ROUND(F6*F8*F7*(1-F9)/10000,0)</f>
        <v>#N/A</v>
      </c>
      <c r="D6" s="155" t="s">
        <v>2104</v>
      </c>
      <c r="E6" s="302" t="s">
        <v>695</v>
      </c>
      <c r="F6" s="303" t="e">
        <f ca="1">INDIRECT("'数据-取费表'!u"&amp;$G$1)</f>
        <v>#N/A</v>
      </c>
      <c r="G6" s="1380"/>
      <c r="H6" s="1065" t="s">
        <v>397</v>
      </c>
      <c r="I6" s="3698" t="s">
        <v>693</v>
      </c>
      <c r="J6" s="301" t="e">
        <f ca="1">ROUND(M6*M8*M7*(1-M9)/10000,0)</f>
        <v>#N/A</v>
      </c>
      <c r="K6" s="155" t="s">
        <v>2103</v>
      </c>
      <c r="L6" s="302" t="s">
        <v>695</v>
      </c>
      <c r="M6" s="303" t="e">
        <f ca="1">INDIRECT("'数据-取费表'!z"&amp;$G$1)</f>
        <v>#N/A</v>
      </c>
    </row>
    <row r="7" spans="1:37" ht="18" customHeight="1">
      <c r="A7" s="1069"/>
      <c r="B7" s="3699"/>
      <c r="C7" s="1071"/>
      <c r="D7" s="307"/>
      <c r="E7" s="3460" t="s">
        <v>696</v>
      </c>
      <c r="F7" s="303" t="e">
        <f ca="1">IF(INDIRECT("'数据-取费表'!ah"&amp;$G$1)="",INDIRECT("'数据-取费表'!k"&amp;$G$1),INDIRECT("'数据-取费表'!ah"&amp;$G$1))</f>
        <v>#N/A</v>
      </c>
      <c r="G7" s="1380"/>
      <c r="H7" s="304"/>
      <c r="I7" s="3699"/>
      <c r="J7" s="306"/>
      <c r="K7" s="307"/>
      <c r="L7" s="302" t="s">
        <v>696</v>
      </c>
      <c r="M7" s="303" t="e">
        <f ca="1">F7</f>
        <v>#N/A</v>
      </c>
    </row>
    <row r="8" spans="1:37" ht="18" customHeight="1">
      <c r="A8" s="304"/>
      <c r="B8" s="3699"/>
      <c r="C8" s="306"/>
      <c r="D8" s="307"/>
      <c r="E8" s="302" t="s">
        <v>697</v>
      </c>
      <c r="F8" s="303" t="e">
        <f ca="1">INDIRECT("'数据-取费表'!ai"&amp;$G$1)</f>
        <v>#N/A</v>
      </c>
      <c r="G8" s="1380"/>
      <c r="H8" s="304"/>
      <c r="I8" s="3699"/>
      <c r="J8" s="306"/>
      <c r="K8" s="307"/>
      <c r="L8" s="302" t="s">
        <v>697</v>
      </c>
      <c r="M8" s="303" t="e">
        <f ca="1">INDIRECT("'数据-取费表'!ai"&amp;$G$1)</f>
        <v>#N/A</v>
      </c>
    </row>
    <row r="9" spans="1:37" ht="18" customHeight="1">
      <c r="A9" s="304"/>
      <c r="B9" s="3700"/>
      <c r="C9" s="306"/>
      <c r="D9" s="307"/>
      <c r="E9" s="302" t="s">
        <v>698</v>
      </c>
      <c r="F9" s="312" t="e">
        <f ca="1">INDIRECT("'数据-取费表'!w"&amp;$G$1)</f>
        <v>#N/A</v>
      </c>
      <c r="G9" s="1380"/>
      <c r="H9" s="304"/>
      <c r="I9" s="3700"/>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4" t="s">
        <v>704</v>
      </c>
      <c r="E13" s="3454"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1" t="s">
        <v>707</v>
      </c>
      <c r="E14" s="3470"/>
      <c r="F14" s="319"/>
      <c r="G14" s="1380"/>
      <c r="H14" s="978" t="s">
        <v>397</v>
      </c>
      <c r="I14" s="302" t="s">
        <v>708</v>
      </c>
      <c r="J14" s="21" t="e">
        <f ca="1">C29</f>
        <v>#N/A</v>
      </c>
      <c r="K14" s="3458"/>
      <c r="L14" s="803"/>
      <c r="M14" s="804"/>
    </row>
    <row r="15" spans="1:37" s="1393" customFormat="1" ht="18" customHeight="1" thickBot="1">
      <c r="A15" s="978" t="s">
        <v>398</v>
      </c>
      <c r="B15" s="302" t="s">
        <v>709</v>
      </c>
      <c r="C15" s="21" t="e">
        <f ca="1">ROUND(C14*F15,0)</f>
        <v>#N/A</v>
      </c>
      <c r="D15" s="3455" t="s">
        <v>710</v>
      </c>
      <c r="E15" s="3455" t="s">
        <v>711</v>
      </c>
      <c r="F15" s="321">
        <f>'数据-取费表'!B33</f>
        <v>0.03</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5"/>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1" t="s">
        <v>719</v>
      </c>
      <c r="L17" s="3474"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4"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5"/>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0.02</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5"/>
      <c r="F22" s="23"/>
      <c r="G22" s="1380"/>
      <c r="H22" s="978" t="s">
        <v>401</v>
      </c>
      <c r="I22" s="302" t="s">
        <v>737</v>
      </c>
      <c r="J22" s="21" t="e">
        <f ca="1">ROUND(J14*M22,2)</f>
        <v>#N/A</v>
      </c>
      <c r="K22" s="3474"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4"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5"/>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5"/>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5"/>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1" t="s">
        <v>719</v>
      </c>
      <c r="E31" s="3474"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4"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4"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4"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4"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1" t="s">
        <v>836</v>
      </c>
      <c r="L53" s="3702"/>
      <c r="O53" s="1414" t="s">
        <v>408</v>
      </c>
      <c r="P53" s="1415" t="s">
        <v>837</v>
      </c>
      <c r="Q53" s="1416" t="e">
        <f ca="1">Q47+Q48</f>
        <v>#N/A</v>
      </c>
      <c r="R53" s="1416" t="s">
        <v>409</v>
      </c>
    </row>
    <row r="54" spans="1:18" s="1380" customFormat="1" ht="13.5" thickBot="1">
      <c r="A54" s="1149"/>
      <c r="B54" s="1363" t="s">
        <v>678</v>
      </c>
      <c r="C54" s="955"/>
      <c r="D54" s="1362"/>
      <c r="E54" s="3462"/>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2"/>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1114.5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2677</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36071</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24020</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28431</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95"/>
      <c r="B4" s="3796"/>
      <c r="C4" s="3796"/>
      <c r="D4" s="3797"/>
      <c r="E4" s="3797"/>
      <c r="F4" s="3797"/>
      <c r="G4" s="3797"/>
      <c r="H4" s="3797"/>
      <c r="I4" s="3797"/>
      <c r="J4" s="3798"/>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24029</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21192</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9"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80"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92" t="s">
        <v>1956</v>
      </c>
      <c r="X8" s="3793"/>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94"/>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9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4"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5"/>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3"/>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99" t="s">
        <v>3253</v>
      </c>
      <c r="B20" s="167" t="s">
        <v>1990</v>
      </c>
      <c r="C20" s="3321">
        <f>ROUND(IF(F21="与级别开发程度一致",0,(G21-E21)/C21),0)</f>
        <v>0</v>
      </c>
      <c r="D20" s="3337" t="s">
        <v>1994</v>
      </c>
      <c r="E20" s="3338"/>
      <c r="F20" s="3805" t="s">
        <v>1991</v>
      </c>
      <c r="G20" s="3806"/>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0"/>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45457</v>
      </c>
      <c r="H23" s="3339" t="s">
        <v>3254</v>
      </c>
      <c r="I23" s="3340" t="str">
        <f>IF(H23="季度增幅（自定义）",SUMIF(N25:N28,E2,O25:O28),"")</f>
        <v/>
      </c>
      <c r="J23" s="3442"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0.94599999999999995</v>
      </c>
      <c r="D24" s="2056" t="s">
        <v>2003</v>
      </c>
      <c r="E24" s="1331">
        <f>存贷款利率!E24/100</f>
        <v>4.3499999999999997E-2</v>
      </c>
      <c r="F24" s="2056" t="s">
        <v>1995</v>
      </c>
      <c r="G24" s="764">
        <f>SUMIF(M30:Q30,E2,M33:Q33)</f>
        <v>5.5E-2</v>
      </c>
      <c r="H24" s="2056" t="s">
        <v>2004</v>
      </c>
      <c r="I24" s="765">
        <f>SUMIF('数据-取费表'!C6:C15,E2,'数据-取费表'!F6:F15)/COUNTIF('数据-取费表'!C6:C15,E2)</f>
        <v>33.64</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8">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7">
        <f>IF(E26=G26,F26,IF(G3&lt;10,ROUND(F26+(H26-F26)*(G3-E26)/(G26-E26),4),"——"))</f>
        <v>1</v>
      </c>
      <c r="E26" s="748">
        <f>ROUNDDOWN(G3,1)</f>
        <v>2.5</v>
      </c>
      <c r="F26" s="34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2677</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24017</v>
      </c>
      <c r="D33" s="2094">
        <f>'数据-汇总表'!F20</f>
        <v>1114.5</v>
      </c>
      <c r="E33" s="769">
        <f>ROUND(C33*D33/10000,0)</f>
        <v>2677</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6004</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3"/>
      <c r="B37" s="2109" t="s">
        <v>2032</v>
      </c>
      <c r="C37" s="175">
        <f>ROUND(D5*C22*C23*C24*C28*F37,0)</f>
        <v>14410</v>
      </c>
      <c r="D37" s="2094">
        <f>'数据-汇总表'!G20</f>
        <v>0</v>
      </c>
      <c r="E37" s="171">
        <f>ROUND(C37*D37/10000,0)</f>
        <v>0</v>
      </c>
      <c r="F37" s="171">
        <f>SUMIF(修正!A57:A68,G2,修正!B57:B68)</f>
        <v>0.6</v>
      </c>
      <c r="G37" s="171">
        <f>ROUND(IF(E2="工业",C37*$M$42,C37*$M$41),0)</f>
        <v>3603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4"/>
      <c r="B38" s="2037" t="s">
        <v>2033</v>
      </c>
      <c r="C38" s="175">
        <f>ROUND(D5*C22*C23*C24*C28*F38,0)</f>
        <v>7205</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3"/>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04"/>
      <c r="B39" s="2037" t="s">
        <v>3257</v>
      </c>
      <c r="C39" s="175">
        <f>ROUND(D5*C22*C23*C24*C28*F39,0)</f>
        <v>6004</v>
      </c>
      <c r="D39" s="2094"/>
      <c r="E39" s="171">
        <f t="shared" si="4"/>
        <v>0</v>
      </c>
      <c r="F39" s="171">
        <f>SUMIF(修正!A57:A68,G2,修正!D57:D68)</f>
        <v>0.25</v>
      </c>
      <c r="G39" s="171">
        <f>ROUND(IF(E2="工业",C39*$M$42,C39*$M$41),0)</f>
        <v>1501</v>
      </c>
      <c r="H39" s="171">
        <f t="shared" si="5"/>
        <v>0</v>
      </c>
      <c r="I39" s="171">
        <f t="shared" si="6"/>
        <v>0</v>
      </c>
      <c r="J39" s="348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6004</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1" t="s">
        <v>3292</v>
      </c>
      <c r="B103" s="3801"/>
      <c r="C103" s="3801"/>
      <c r="D103" s="3801"/>
      <c r="E103" s="3801"/>
      <c r="F103" s="3801"/>
      <c r="G103" s="3801"/>
      <c r="H103" s="3801"/>
      <c r="I103" s="3801"/>
      <c r="J103" s="3801"/>
      <c r="K103" s="3481"/>
      <c r="L103" s="3481"/>
      <c r="M103" s="3481"/>
      <c r="N103" s="3481"/>
    </row>
    <row r="104" spans="1:14">
      <c r="A104" s="3802" t="s">
        <v>3293</v>
      </c>
      <c r="B104" s="3802" t="s">
        <v>3294</v>
      </c>
      <c r="C104" s="3387" t="s">
        <v>3295</v>
      </c>
      <c r="D104" s="3388"/>
      <c r="E104" s="3388"/>
      <c r="F104" s="3388"/>
      <c r="G104" s="3388"/>
      <c r="H104" s="3388"/>
      <c r="I104" s="3388"/>
      <c r="J104" s="3389"/>
      <c r="K104" s="3390"/>
      <c r="L104" s="3390"/>
      <c r="M104" s="3390"/>
      <c r="N104" s="3390"/>
    </row>
    <row r="105" spans="1:14">
      <c r="A105" s="3802"/>
      <c r="B105" s="3802"/>
      <c r="C105" s="3482" t="s">
        <v>1957</v>
      </c>
      <c r="D105" s="3482" t="s">
        <v>1958</v>
      </c>
      <c r="E105" s="3482" t="s">
        <v>1959</v>
      </c>
      <c r="F105" s="3482" t="s">
        <v>1960</v>
      </c>
      <c r="G105" s="3482" t="s">
        <v>1961</v>
      </c>
      <c r="H105" s="3482" t="s">
        <v>1962</v>
      </c>
      <c r="I105" s="3482" t="s">
        <v>1963</v>
      </c>
      <c r="J105" s="3482" t="s">
        <v>1964</v>
      </c>
      <c r="K105" s="3482" t="s">
        <v>1965</v>
      </c>
      <c r="L105" s="3482" t="s">
        <v>1966</v>
      </c>
      <c r="M105" s="3482" t="s">
        <v>1967</v>
      </c>
      <c r="N105" s="3482" t="s">
        <v>1968</v>
      </c>
    </row>
    <row r="106" spans="1:14">
      <c r="A106" s="3788" t="s">
        <v>3308</v>
      </c>
      <c r="B106" s="3482">
        <v>1</v>
      </c>
      <c r="C106" s="3482">
        <v>1.5206</v>
      </c>
      <c r="D106" s="3482">
        <v>1.5206</v>
      </c>
      <c r="E106" s="3482">
        <v>1.5019</v>
      </c>
      <c r="F106" s="3482">
        <v>1.5019</v>
      </c>
      <c r="G106" s="3482">
        <v>1.5019</v>
      </c>
      <c r="H106" s="3482">
        <v>1.5019</v>
      </c>
      <c r="I106" s="3482">
        <v>1.5019</v>
      </c>
      <c r="J106" s="3482">
        <v>1.5418000000000001</v>
      </c>
      <c r="K106" s="3482">
        <v>1.5418000000000001</v>
      </c>
      <c r="L106" s="3482">
        <v>1.5418000000000001</v>
      </c>
      <c r="M106" s="3482">
        <v>1.5418000000000001</v>
      </c>
      <c r="N106" s="3482">
        <v>1.5418000000000001</v>
      </c>
    </row>
    <row r="107" spans="1:14">
      <c r="A107" s="3789"/>
      <c r="B107" s="3482">
        <v>2</v>
      </c>
      <c r="C107" s="3482">
        <v>1.2072000000000001</v>
      </c>
      <c r="D107" s="3482">
        <v>1.2072000000000001</v>
      </c>
      <c r="E107" s="3482">
        <v>1.1838</v>
      </c>
      <c r="F107" s="3482">
        <v>1.1838</v>
      </c>
      <c r="G107" s="3482">
        <v>1.1838</v>
      </c>
      <c r="H107" s="3482">
        <v>1.1838</v>
      </c>
      <c r="I107" s="3482">
        <v>1.1838</v>
      </c>
      <c r="J107" s="3482">
        <v>1.1883999999999999</v>
      </c>
      <c r="K107" s="3482">
        <v>1.1883999999999999</v>
      </c>
      <c r="L107" s="3482">
        <v>1.1883999999999999</v>
      </c>
      <c r="M107" s="3482">
        <v>1.1883999999999999</v>
      </c>
      <c r="N107" s="3482">
        <v>1.1883999999999999</v>
      </c>
    </row>
    <row r="108" spans="1:14">
      <c r="A108" s="3789"/>
      <c r="B108" s="3482">
        <v>3</v>
      </c>
      <c r="C108" s="3482">
        <v>1.0430999999999999</v>
      </c>
      <c r="D108" s="3482">
        <v>1.0430999999999999</v>
      </c>
      <c r="E108" s="3482">
        <v>1.0004999999999999</v>
      </c>
      <c r="F108" s="3482">
        <v>1.0004999999999999</v>
      </c>
      <c r="G108" s="3482">
        <v>1.0004999999999999</v>
      </c>
      <c r="H108" s="3482">
        <v>1.0004999999999999</v>
      </c>
      <c r="I108" s="3482">
        <v>1.0004999999999999</v>
      </c>
      <c r="J108" s="3482">
        <v>0.96940000000000004</v>
      </c>
      <c r="K108" s="3482">
        <v>0.96940000000000004</v>
      </c>
      <c r="L108" s="3482">
        <v>0.96940000000000004</v>
      </c>
      <c r="M108" s="3482">
        <v>0.96940000000000004</v>
      </c>
      <c r="N108" s="3482">
        <v>0.96940000000000004</v>
      </c>
    </row>
    <row r="109" spans="1:14">
      <c r="A109" s="3789"/>
      <c r="B109" s="3482">
        <v>4</v>
      </c>
      <c r="C109" s="3482">
        <v>0.94389999999999996</v>
      </c>
      <c r="D109" s="3482">
        <v>0.94389999999999996</v>
      </c>
      <c r="E109" s="3482">
        <v>0.88239999999999996</v>
      </c>
      <c r="F109" s="3482">
        <v>0.88239999999999996</v>
      </c>
      <c r="G109" s="3482">
        <v>0.88239999999999996</v>
      </c>
      <c r="H109" s="3482">
        <v>0.88239999999999996</v>
      </c>
      <c r="I109" s="3482">
        <v>0.88239999999999996</v>
      </c>
      <c r="J109" s="3482">
        <v>0.82299999999999995</v>
      </c>
      <c r="K109" s="3482">
        <v>0.82299999999999995</v>
      </c>
      <c r="L109" s="3482">
        <v>0.82299999999999995</v>
      </c>
      <c r="M109" s="3482">
        <v>0.82299999999999995</v>
      </c>
      <c r="N109" s="3482">
        <v>0.82299999999999995</v>
      </c>
    </row>
    <row r="110" spans="1:14">
      <c r="A110" s="3789"/>
      <c r="B110" s="3482">
        <v>5</v>
      </c>
      <c r="C110" s="3482">
        <v>0.89959999999999996</v>
      </c>
      <c r="D110" s="3482">
        <v>0.89959999999999996</v>
      </c>
      <c r="E110" s="3482">
        <v>0.84799999999999998</v>
      </c>
      <c r="F110" s="3482">
        <v>0.84799999999999998</v>
      </c>
      <c r="G110" s="3482">
        <v>0.84799999999999998</v>
      </c>
      <c r="H110" s="3482">
        <v>0.84799999999999998</v>
      </c>
      <c r="I110" s="3482">
        <v>0.84799999999999998</v>
      </c>
      <c r="J110" s="3482">
        <v>0.74980000000000002</v>
      </c>
      <c r="K110" s="3482">
        <v>0.74980000000000002</v>
      </c>
      <c r="L110" s="3482">
        <v>0.74980000000000002</v>
      </c>
      <c r="M110" s="3482">
        <v>0.74980000000000002</v>
      </c>
      <c r="N110" s="3482">
        <v>0.74980000000000002</v>
      </c>
    </row>
    <row r="111" spans="1:14">
      <c r="A111" s="3789"/>
      <c r="B111" s="3482"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0"/>
      <c r="B112" s="3482">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1" t="s">
        <v>3309</v>
      </c>
      <c r="B113" s="3791"/>
      <c r="C113" s="3791"/>
      <c r="D113" s="3791"/>
      <c r="E113" s="3791"/>
      <c r="F113" s="3791"/>
      <c r="G113" s="3791"/>
      <c r="H113" s="3791"/>
      <c r="I113" s="3791"/>
      <c r="J113" s="3791"/>
      <c r="K113" s="3479"/>
      <c r="L113" s="3479"/>
      <c r="M113" s="3479"/>
      <c r="N113" s="3479"/>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5" t="s">
        <v>2838</v>
      </c>
      <c r="B1" s="3835"/>
      <c r="C1" s="3835"/>
      <c r="D1" s="3835"/>
      <c r="E1" s="3835"/>
      <c r="F1" s="3835"/>
      <c r="G1" s="3836"/>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33"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34"/>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7" t="s">
        <v>3180</v>
      </c>
      <c r="B1" s="3837"/>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927</v>
      </c>
      <c r="B2" s="3522" t="s">
        <v>928</v>
      </c>
      <c r="C2" s="3522" t="s">
        <v>929</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23"/>
      <c r="B3" s="3523"/>
      <c r="C3" s="3523"/>
      <c r="D3" s="850" t="s">
        <v>924</v>
      </c>
      <c r="E3" s="850" t="s">
        <v>930</v>
      </c>
      <c r="F3" s="850" t="s">
        <v>924</v>
      </c>
      <c r="G3" s="850" t="s">
        <v>925</v>
      </c>
      <c r="H3" s="850" t="s">
        <v>924</v>
      </c>
      <c r="I3" s="850" t="s">
        <v>925</v>
      </c>
    </row>
    <row r="4" spans="1:9" ht="15">
      <c r="A4" s="1501" t="str">
        <f>项目基本情况!S2</f>
        <v>北京市房地产</v>
      </c>
      <c r="B4" s="850">
        <f>项目基本情况!C17</f>
        <v>50278.1</v>
      </c>
      <c r="C4" s="850">
        <f>项目基本情况!C18</f>
        <v>10326.19</v>
      </c>
      <c r="D4" s="850">
        <f ca="1">结果表!D118</f>
        <v>105507</v>
      </c>
      <c r="E4" s="850">
        <f ca="1">结果表!E118</f>
        <v>20985</v>
      </c>
      <c r="F4" s="850">
        <f ca="1">结果表!F118</f>
        <v>29932</v>
      </c>
      <c r="G4" s="850">
        <f ca="1">结果表!G118</f>
        <v>5953</v>
      </c>
      <c r="H4" s="850">
        <f ca="1">结果表!H118</f>
        <v>135439</v>
      </c>
      <c r="I4" s="850">
        <f ca="1">结果表!I118</f>
        <v>26938</v>
      </c>
    </row>
    <row r="5" spans="1:9" ht="30" customHeight="1">
      <c r="A5" s="3523" t="s">
        <v>926</v>
      </c>
      <c r="B5" s="3523"/>
      <c r="C5" s="3523"/>
      <c r="D5" s="3523" t="str">
        <f ca="1">结果表!D119</f>
        <v>壹拾亿伍仟伍佰零柒万元整</v>
      </c>
      <c r="E5" s="3523"/>
      <c r="F5" s="3523" t="str">
        <f ca="1">结果表!F119</f>
        <v>贰亿玖仟玖佰叁拾贰万元整</v>
      </c>
      <c r="G5" s="3523"/>
      <c r="H5" s="3523" t="str">
        <f ca="1">结果表!H119</f>
        <v>壹拾叁亿伍仟肆佰叁拾玖万元整</v>
      </c>
      <c r="I5" s="3523"/>
    </row>
    <row r="6" spans="1:9" ht="15.75">
      <c r="A6" s="3524" t="str">
        <f>结果表!A120</f>
        <v>估价师知悉的法定优先受偿款</v>
      </c>
      <c r="B6" s="3524"/>
      <c r="C6" s="3524"/>
      <c r="D6" s="3524">
        <f>结果表!D120</f>
        <v>0</v>
      </c>
      <c r="E6" s="3524"/>
      <c r="F6" s="3524"/>
      <c r="G6" s="3524"/>
      <c r="H6" s="3524"/>
      <c r="I6" s="3524"/>
    </row>
    <row r="7" spans="1:9" ht="15">
      <c r="A7" s="3523" t="s">
        <v>926</v>
      </c>
      <c r="B7" s="3523"/>
      <c r="C7" s="3523"/>
      <c r="D7" s="3525" t="str">
        <f>结果表!D121</f>
        <v>零元整</v>
      </c>
      <c r="E7" s="3526"/>
      <c r="F7" s="3526"/>
      <c r="G7" s="3526"/>
      <c r="H7" s="3526"/>
      <c r="I7" s="3527"/>
    </row>
    <row r="8" spans="1:9" ht="15.75">
      <c r="A8" s="3524" t="str">
        <f>结果表!A122</f>
        <v>房地产抵押价值</v>
      </c>
      <c r="B8" s="3524"/>
      <c r="C8" s="3524"/>
      <c r="D8" s="3524">
        <f ca="1">结果表!D122</f>
        <v>135439</v>
      </c>
      <c r="E8" s="3524"/>
      <c r="F8" s="3524"/>
      <c r="G8" s="3524"/>
      <c r="H8" s="3524"/>
      <c r="I8" s="3524"/>
    </row>
    <row r="9" spans="1:9" ht="15">
      <c r="A9" s="3523" t="s">
        <v>926</v>
      </c>
      <c r="B9" s="3523"/>
      <c r="C9" s="3523"/>
      <c r="D9" s="3523" t="str">
        <f ca="1">结果表!D123</f>
        <v>壹拾叁亿伍仟肆佰叁拾玖万元整</v>
      </c>
      <c r="E9" s="3523"/>
      <c r="F9" s="3523"/>
      <c r="G9" s="3523"/>
      <c r="H9" s="3523"/>
      <c r="I9" s="3523"/>
    </row>
    <row r="10" spans="1:9" ht="15.75">
      <c r="A10" s="3524" t="str">
        <f>结果表!A124</f>
        <v/>
      </c>
      <c r="B10" s="3524"/>
      <c r="C10" s="3524"/>
      <c r="D10" s="3524" t="str">
        <f>结果表!D124</f>
        <v>——</v>
      </c>
      <c r="E10" s="3524"/>
      <c r="F10" s="3524"/>
      <c r="G10" s="3524"/>
      <c r="H10" s="3524"/>
      <c r="I10" s="3524"/>
    </row>
    <row r="11" spans="1:9" ht="15">
      <c r="A11" s="3523" t="s">
        <v>926</v>
      </c>
      <c r="B11" s="3523"/>
      <c r="C11" s="3523"/>
      <c r="D11" s="3523" t="e">
        <f>结果表!D125</f>
        <v>#VALUE!</v>
      </c>
      <c r="E11" s="3523"/>
      <c r="F11" s="3523"/>
      <c r="G11" s="3523"/>
      <c r="H11" s="3523"/>
      <c r="I11" s="3523"/>
    </row>
    <row r="12" spans="1:9" ht="15.75">
      <c r="A12" s="3524" t="str">
        <f>结果表!A126</f>
        <v>抵押净值</v>
      </c>
      <c r="B12" s="3524"/>
      <c r="C12" s="3524"/>
      <c r="D12" s="3524">
        <f ca="1">结果表!D126</f>
        <v>101545</v>
      </c>
      <c r="E12" s="3524"/>
      <c r="F12" s="3524"/>
      <c r="G12" s="3524"/>
      <c r="H12" s="3524"/>
      <c r="I12" s="3524"/>
    </row>
    <row r="13" spans="1:9" ht="15.75" thickBot="1">
      <c r="A13" s="3528" t="s">
        <v>926</v>
      </c>
      <c r="B13" s="3528"/>
      <c r="C13" s="3528"/>
      <c r="D13" s="3528" t="str">
        <f ca="1">结果表!D127</f>
        <v>壹拾亿壹仟伍佰肆拾伍万元整</v>
      </c>
      <c r="E13" s="3528"/>
      <c r="F13" s="3528"/>
      <c r="G13" s="3528"/>
      <c r="H13" s="3528"/>
      <c r="I13" s="3528"/>
    </row>
    <row r="14" spans="1:9" ht="15" thickTop="1">
      <c r="A14" s="3529" t="s">
        <v>931</v>
      </c>
      <c r="B14" s="3529"/>
      <c r="C14" s="3529"/>
      <c r="D14" s="3529"/>
      <c r="E14" s="3529"/>
      <c r="F14" s="3529"/>
      <c r="G14" s="3529"/>
      <c r="H14" s="3529"/>
      <c r="I14" s="3529"/>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38" t="s">
        <v>3231</v>
      </c>
      <c r="B1" s="3838"/>
      <c r="C1" s="3838"/>
      <c r="D1" s="3838"/>
      <c r="E1" s="3838"/>
      <c r="F1" s="3839"/>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45457</v>
      </c>
      <c r="B1" s="3206" t="s">
        <v>3368</v>
      </c>
      <c r="C1" s="3207"/>
      <c r="D1" s="3207"/>
      <c r="E1" s="3207"/>
      <c r="F1" s="3207"/>
      <c r="G1" s="3207"/>
      <c r="H1" s="3207"/>
      <c r="I1" s="3207"/>
      <c r="J1" s="3161"/>
      <c r="K1" s="3207" t="s">
        <v>453</v>
      </c>
      <c r="L1" s="3207"/>
      <c r="M1" s="3207"/>
      <c r="N1" s="3207"/>
      <c r="O1" s="3207"/>
      <c r="P1" s="3207"/>
      <c r="Q1" s="3161"/>
      <c r="R1" s="3840" t="s">
        <v>455</v>
      </c>
      <c r="S1" s="3841"/>
      <c r="T1" s="3841"/>
      <c r="U1" s="3841"/>
      <c r="V1" s="3841"/>
      <c r="W1" s="3841"/>
      <c r="X1" s="3161"/>
      <c r="Y1" s="3840" t="s">
        <v>456</v>
      </c>
      <c r="Z1" s="3841"/>
      <c r="AA1" s="3841"/>
      <c r="AB1" s="3841"/>
      <c r="AC1" s="3841"/>
      <c r="AD1" s="3841"/>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0" t="s">
        <v>2826</v>
      </c>
      <c r="S23" s="3841"/>
      <c r="T23" s="3841"/>
      <c r="U23" s="3841"/>
      <c r="V23" s="3841"/>
      <c r="W23" s="3841"/>
      <c r="X23" s="3161"/>
      <c r="Y23" s="3840" t="s">
        <v>2827</v>
      </c>
      <c r="Z23" s="3841"/>
      <c r="AA23" s="3841"/>
      <c r="AB23" s="3841"/>
      <c r="AC23" s="3841"/>
      <c r="AD23" s="3841"/>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7" t="s">
        <v>451</v>
      </c>
      <c r="C1" s="3847"/>
      <c r="D1" s="3847"/>
      <c r="E1" s="3847"/>
      <c r="F1" s="3847"/>
      <c r="G1" s="3843" t="s">
        <v>452</v>
      </c>
      <c r="H1" s="3843"/>
      <c r="I1" s="3843"/>
      <c r="J1" s="3843"/>
      <c r="K1" s="3843"/>
      <c r="L1" s="3843"/>
      <c r="N1" s="3843" t="s">
        <v>453</v>
      </c>
      <c r="O1" s="3843"/>
      <c r="P1" s="3843"/>
      <c r="Q1" s="3843"/>
      <c r="S1" s="3843" t="s">
        <v>454</v>
      </c>
      <c r="T1" s="3843"/>
      <c r="U1" s="3843"/>
      <c r="V1" s="3843"/>
      <c r="X1" s="3842" t="s">
        <v>455</v>
      </c>
      <c r="Y1" s="3843"/>
      <c r="Z1" s="3843"/>
      <c r="AA1" s="3843"/>
      <c r="AB1" s="3843"/>
      <c r="AD1" s="3842" t="s">
        <v>456</v>
      </c>
      <c r="AE1" s="3843"/>
      <c r="AF1" s="3843"/>
      <c r="AG1" s="3843"/>
      <c r="AH1" s="3843"/>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4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4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5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4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4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4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4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4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4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4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4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4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4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4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4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4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4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4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4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4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4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4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4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4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4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4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4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4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4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4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4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4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44">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45">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45">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46">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44">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45">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45">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4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45457</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workbookViewId="0">
      <selection activeCell="A47" sqref="A47"/>
    </sheetView>
  </sheetViews>
  <sheetFormatPr defaultRowHeight="13.5"/>
  <sheetData>
    <row r="38" s="3509"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0" t="s">
        <v>948</v>
      </c>
      <c r="B1" s="3530"/>
      <c r="C1" s="3530"/>
      <c r="D1" s="3530"/>
    </row>
    <row r="2" spans="1:4" ht="18">
      <c r="A2" s="3531" t="s">
        <v>932</v>
      </c>
      <c r="B2" s="3531"/>
      <c r="C2" s="3531"/>
      <c r="D2" s="3531"/>
    </row>
    <row r="3" spans="1:4" ht="18.75">
      <c r="A3" s="1505" t="s">
        <v>933</v>
      </c>
      <c r="B3" s="1505" t="s">
        <v>934</v>
      </c>
      <c r="C3" s="1505" t="s">
        <v>935</v>
      </c>
      <c r="D3" s="1505" t="s">
        <v>936</v>
      </c>
    </row>
    <row r="4" spans="1:4" ht="56.25" customHeight="1">
      <c r="A4" s="1506">
        <f>项目基本情况!B4</f>
        <v>0</v>
      </c>
      <c r="B4" s="1507">
        <f>项目基本情况!C4</f>
        <v>0</v>
      </c>
      <c r="C4" s="1508"/>
      <c r="D4" s="1509" t="s">
        <v>937</v>
      </c>
    </row>
    <row r="5" spans="1:4" ht="56.25" customHeight="1">
      <c r="A5" s="1506">
        <f>项目基本情况!D4</f>
        <v>0</v>
      </c>
      <c r="B5" s="1507">
        <f>项目基本情况!E4</f>
        <v>0</v>
      </c>
      <c r="C5" s="1510"/>
      <c r="D5" s="1509" t="s">
        <v>937</v>
      </c>
    </row>
    <row r="6" spans="1:4" ht="18">
      <c r="A6" s="3531" t="s">
        <v>938</v>
      </c>
      <c r="B6" s="3531"/>
      <c r="C6" s="3531"/>
      <c r="D6" s="3531"/>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32" t="s">
        <v>941</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33" t="str">
        <f>IF(项目基本情况!B8="抵押","4.本次评估估价师所知悉的法定优先受偿款情况说明如下：","——")</f>
        <v>4.本次评估估价师所知悉的法定优先受偿款情况说明如下：</v>
      </c>
      <c r="B14" s="3534"/>
      <c r="C14" s="3534"/>
      <c r="D14" s="3534"/>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6" t="s">
        <v>942</v>
      </c>
      <c r="B16" s="3536"/>
      <c r="C16" s="3536"/>
      <c r="D16" s="3536"/>
    </row>
    <row r="17" spans="1:4" ht="144" customHeight="1">
      <c r="A17" s="3536" t="s">
        <v>943</v>
      </c>
      <c r="B17" s="3536"/>
      <c r="C17" s="3536"/>
      <c r="D17" s="3536"/>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944</v>
      </c>
      <c r="B22" s="3538"/>
      <c r="C22" s="3538"/>
      <c r="D22" s="3538"/>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5">
        <v>42551</v>
      </c>
      <c r="D31" s="35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44" t="s">
        <v>955</v>
      </c>
      <c r="B15" s="3539" t="s">
        <v>109</v>
      </c>
      <c r="C15" s="3540"/>
    </row>
    <row r="16" spans="1:7" ht="13.5">
      <c r="A16" s="3545"/>
      <c r="B16" s="3539" t="s">
        <v>42</v>
      </c>
      <c r="C16" s="3540"/>
    </row>
    <row r="17" spans="1:3" ht="13.5">
      <c r="A17" s="3545"/>
      <c r="B17" s="3542" t="s">
        <v>956</v>
      </c>
      <c r="C17" s="1528" t="s">
        <v>955</v>
      </c>
    </row>
    <row r="18" spans="1:3" ht="13.5">
      <c r="A18" s="3545"/>
      <c r="B18" s="3542"/>
      <c r="C18" s="1528" t="s">
        <v>957</v>
      </c>
    </row>
    <row r="19" spans="1:3" ht="13.5">
      <c r="A19" s="3545"/>
      <c r="B19" s="3542"/>
      <c r="C19" s="1528" t="s">
        <v>958</v>
      </c>
    </row>
    <row r="20" spans="1:3" ht="13.5">
      <c r="A20" s="3546"/>
      <c r="B20" s="3541" t="s">
        <v>959</v>
      </c>
      <c r="C20" s="3540"/>
    </row>
    <row r="21" spans="1:3" ht="13.5">
      <c r="A21" s="1529" t="s">
        <v>960</v>
      </c>
      <c r="B21" s="1530"/>
      <c r="C21" s="1531"/>
    </row>
    <row r="22" spans="1:3" ht="13.5">
      <c r="A22" s="3543" t="s">
        <v>961</v>
      </c>
      <c r="B22" s="3541" t="s">
        <v>962</v>
      </c>
      <c r="C22" s="3540"/>
    </row>
    <row r="23" spans="1:3" ht="13.5">
      <c r="A23" s="3543"/>
      <c r="B23" s="3541" t="s">
        <v>963</v>
      </c>
      <c r="C23" s="3540"/>
    </row>
    <row r="24" spans="1:3" ht="13.5">
      <c r="A24" s="3543"/>
      <c r="B24" s="3541" t="s">
        <v>964</v>
      </c>
      <c r="C24" s="3540"/>
    </row>
    <row r="25" spans="1:3" ht="13.5">
      <c r="A25" s="3543"/>
      <c r="B25" s="3542" t="s">
        <v>965</v>
      </c>
      <c r="C25" s="1528" t="s">
        <v>966</v>
      </c>
    </row>
    <row r="26" spans="1:3" ht="13.5">
      <c r="A26" s="3543"/>
      <c r="B26" s="3542"/>
      <c r="C26" s="1528" t="s">
        <v>967</v>
      </c>
    </row>
    <row r="27" spans="1:3" ht="13.5">
      <c r="A27" s="3543"/>
      <c r="B27" s="3542"/>
      <c r="C27" s="1528" t="s">
        <v>968</v>
      </c>
    </row>
    <row r="28" spans="1:3" ht="13.5">
      <c r="A28" s="3543"/>
      <c r="B28" s="3542"/>
      <c r="C28" s="1528" t="s">
        <v>969</v>
      </c>
    </row>
    <row r="29" spans="1:3" ht="13.5">
      <c r="A29" s="3543"/>
      <c r="B29" s="3542"/>
      <c r="C29" s="1528" t="s">
        <v>970</v>
      </c>
    </row>
    <row r="30" spans="1:3" ht="13.5">
      <c r="A30" s="3543"/>
      <c r="B30" s="3542"/>
      <c r="C30" s="1528" t="s">
        <v>971</v>
      </c>
    </row>
    <row r="31" spans="1:3" ht="13.5">
      <c r="A31" s="3543"/>
      <c r="B31" s="3542"/>
      <c r="C31" s="1528" t="s">
        <v>972</v>
      </c>
    </row>
    <row r="32" spans="1:3" ht="13.5">
      <c r="A32" s="3543"/>
      <c r="B32" s="3542"/>
      <c r="C32" s="1528" t="s">
        <v>973</v>
      </c>
    </row>
    <row r="33" spans="1:3" ht="13.5">
      <c r="A33" s="3543"/>
      <c r="B33" s="3542"/>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45462</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7" t="s">
        <v>2155</v>
      </c>
      <c r="B17" s="3547"/>
      <c r="C17" s="3547"/>
      <c r="D17" s="3547"/>
      <c r="E17" s="3547"/>
      <c r="F17" s="3547"/>
      <c r="G17" s="3547"/>
      <c r="H17" s="3547"/>
    </row>
    <row r="18" spans="1:8" ht="24" customHeight="1">
      <c r="A18" s="3548" t="s">
        <v>2156</v>
      </c>
      <c r="B18" s="3548"/>
      <c r="C18" s="3548"/>
      <c r="D18" s="2339"/>
      <c r="E18" s="3549" t="s">
        <v>2157</v>
      </c>
      <c r="F18" s="3548"/>
      <c r="G18" s="3548"/>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2024-06-19T09:01:06Z</dcterms:modified>
</cp:coreProperties>
</file>