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一览表" sheetId="84" state="hidden" r:id="rId19"/>
    <sheet name="结果表" sheetId="9" r:id="rId20"/>
    <sheet name="土地案例" sheetId="81" state="hidden" r:id="rId21"/>
    <sheet name="土地比较法-住宅、综合" sheetId="85" state="hidden" r:id="rId22"/>
    <sheet name="成本法" sheetId="68" state="hidden" r:id="rId23"/>
    <sheet name="比较法-商业" sheetId="33" r:id="rId24"/>
    <sheet name="典型户型修正" sheetId="31" state="hidden" r:id="rId25"/>
    <sheet name="收益法" sheetId="77" r:id="rId26"/>
    <sheet name="收益法商自" sheetId="90" state="hidden" r:id="rId27"/>
    <sheet name="收益法商（汇总）" sheetId="70" state="hidden" r:id="rId28"/>
    <sheet name="结果表办" sheetId="78" state="hidden" r:id="rId29"/>
    <sheet name="比较法-办公" sheetId="34" state="hidden" r:id="rId30"/>
    <sheet name="成本法 (元)" sheetId="69" state="hidden" r:id="rId31"/>
    <sheet name="假设开发法" sheetId="12" state="hidden" r:id="rId32"/>
    <sheet name="收益法 (元)" sheetId="67" state="hidden" r:id="rId33"/>
    <sheet name="典型户型修正办" sheetId="82" state="hidden" r:id="rId34"/>
    <sheet name="收益法办租" sheetId="91" state="hidden" r:id="rId35"/>
    <sheet name="收益法办自" sheetId="15" state="hidden" r:id="rId36"/>
    <sheet name="比较法-住宅" sheetId="21" state="hidden" r:id="rId37"/>
    <sheet name="比较法-工业" sheetId="37" state="hidden" r:id="rId38"/>
    <sheet name="收益法办（汇总）" sheetId="92" state="hidden" r:id="rId39"/>
    <sheet name="结果表车" sheetId="88" state="hidden" r:id="rId40"/>
    <sheet name="比较法-车位" sheetId="35" state="hidden" r:id="rId41"/>
    <sheet name="比较法-仓储" sheetId="36" state="hidden" r:id="rId42"/>
    <sheet name="土地比较法-工业" sheetId="40" state="hidden" r:id="rId43"/>
    <sheet name="收益法车库" sheetId="87" state="hidden" r:id="rId44"/>
    <sheet name="结果表酒店" sheetId="80" state="hidden" r:id="rId45"/>
    <sheet name="成本法酒店" sheetId="86" state="hidden" r:id="rId46"/>
    <sheet name="基准地价修正" sheetId="43" state="hidden" r:id="rId47"/>
    <sheet name="修正" sheetId="45" state="hidden" r:id="rId48"/>
    <sheet name="容积率修正" sheetId="46" state="hidden" r:id="rId49"/>
    <sheet name="基准地价（汇总）" sheetId="76" state="hidden" r:id="rId50"/>
    <sheet name="收益法酒店" sheetId="79" state="hidden" r:id="rId51"/>
    <sheet name="酒店收入计算" sheetId="66" state="hidden" r:id="rId52"/>
    <sheet name="地价" sheetId="71"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s>
  <externalReferences>
    <externalReference r:id="rId59"/>
    <externalReference r:id="rId60"/>
    <externalReference r:id="rId61"/>
  </externalReferences>
  <definedNames>
    <definedName name="_xlnm._FilterDatabase" localSheetId="29"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23" hidden="1">'比较法-商业'!$A$1:$L$49</definedName>
    <definedName name="_xlnm._FilterDatabase" localSheetId="36" hidden="1">'比较法-住宅'!$A$1:$L$49</definedName>
    <definedName name="_xlnm._FilterDatabase" localSheetId="9" hidden="1">抵押清单!$A$1:$S$1</definedName>
    <definedName name="_xlnm._FilterDatabase" localSheetId="12"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2">'收益法 (元)'!$A$1:$AK$69</definedName>
    <definedName name="_xlnm.Print_Area" localSheetId="35">收益法办自!$A$1:$AK$69</definedName>
    <definedName name="_xlnm.Print_Area" localSheetId="34">收益法办租!$A$1:$AK$69</definedName>
    <definedName name="_xlnm.Print_Area" localSheetId="43">收益法车库!$A$1:$AK$69</definedName>
    <definedName name="_xlnm.Print_Area" localSheetId="50">收益法酒店!$A$1:$AK$69</definedName>
    <definedName name="_xlnm.Print_Area" localSheetId="26">收益法商自!$A$1:$AK$69</definedName>
    <definedName name="_xlnm.Print_Area" localSheetId="14">'数据-汇总表'!$A$1:$P$32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9">#REF!</definedName>
    <definedName name="套工交易情况" localSheetId="38">#REF!</definedName>
    <definedName name="套工交易情况" localSheetId="34">#REF!</definedName>
    <definedName name="套工交易情况" localSheetId="26">#REF!</definedName>
    <definedName name="套工交易情况" localSheetId="21">'土地比较法-住宅、综合'!$A$73:$M$73</definedName>
    <definedName name="套工交易情况">#REF!</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9">#REF!</definedName>
    <definedName name="套综道路等级" localSheetId="38">#REF!</definedName>
    <definedName name="套综道路等级" localSheetId="34">#REF!</definedName>
    <definedName name="套综道路等级" localSheetId="26">#REF!</definedName>
    <definedName name="套综道路等级" localSheetId="21">'土地比较法-住宅、综合'!$B$106:$M$106</definedName>
    <definedName name="套综道路等级">#REF!</definedName>
    <definedName name="套综工程地质条件" localSheetId="9">#REF!</definedName>
    <definedName name="套综工程地质条件" localSheetId="38">#REF!</definedName>
    <definedName name="套综工程地质条件" localSheetId="34">#REF!</definedName>
    <definedName name="套综工程地质条件" localSheetId="26">#REF!</definedName>
    <definedName name="套综工程地质条件" localSheetId="21">'土地比较法-住宅、综合'!$B$125:$M$125</definedName>
    <definedName name="套综工程地质条件">#REF!</definedName>
    <definedName name="套综交易情况" localSheetId="9">#REF!</definedName>
    <definedName name="套综交易情况" localSheetId="38">#REF!</definedName>
    <definedName name="套综交易情况" localSheetId="34">#REF!</definedName>
    <definedName name="套综交易情况" localSheetId="26">#REF!</definedName>
    <definedName name="套综交易情况" localSheetId="21">'土地比较法-住宅、综合'!$A$73:$M$73</definedName>
    <definedName name="套综交易情况">#REF!</definedName>
    <definedName name="套综临街宽度及深度" localSheetId="9">#REF!</definedName>
    <definedName name="套综临街宽度及深度" localSheetId="38">#REF!</definedName>
    <definedName name="套综临街宽度及深度" localSheetId="34">#REF!</definedName>
    <definedName name="套综临街宽度及深度" localSheetId="26">#REF!</definedName>
    <definedName name="套综临街宽度及深度" localSheetId="21">'土地比较法-住宅、综合'!$B$121:$M$121</definedName>
    <definedName name="套综临街宽度及深度">#REF!</definedName>
    <definedName name="套综土地级别" localSheetId="9">#REF!</definedName>
    <definedName name="套综土地级别" localSheetId="38">#REF!</definedName>
    <definedName name="套综土地级别" localSheetId="34">#REF!</definedName>
    <definedName name="套综土地级别" localSheetId="26">#REF!</definedName>
    <definedName name="套综土地级别" localSheetId="21">'土地比较法-住宅、综合'!$B$108:$M$108</definedName>
    <definedName name="套综土地级别">#REF!</definedName>
    <definedName name="套综用途" localSheetId="9">#REF!</definedName>
    <definedName name="套综用途" localSheetId="38">#REF!</definedName>
    <definedName name="套综用途" localSheetId="34">#REF!</definedName>
    <definedName name="套综用途" localSheetId="26">#REF!</definedName>
    <definedName name="套综用途" localSheetId="21">'土地比较法-住宅、综合'!$B$75:$M$75</definedName>
    <definedName name="套综用途">#REF!</definedName>
    <definedName name="套综宗地内开发程度" localSheetId="9">#REF!</definedName>
    <definedName name="套综宗地内开发程度" localSheetId="38">#REF!</definedName>
    <definedName name="套综宗地内开发程度" localSheetId="34">#REF!</definedName>
    <definedName name="套综宗地内开发程度" localSheetId="26">#REF!</definedName>
    <definedName name="套综宗地内开发程度" localSheetId="21">'土地比较法-住宅、综合'!$B$123:$M$123</definedName>
    <definedName name="套综宗地内开发程度">#REF!</definedName>
    <definedName name="套综宗地形状" localSheetId="9">#REF!</definedName>
    <definedName name="套综宗地形状" localSheetId="38">#REF!</definedName>
    <definedName name="套综宗地形状" localSheetId="34">#REF!</definedName>
    <definedName name="套综宗地形状" localSheetId="26">#REF!</definedName>
    <definedName name="套综宗地形状" localSheetId="21">'土地比较法-住宅、综合'!$B$119:$M$119</definedName>
    <definedName name="套综宗地形状">#REF!</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33">典型户型修正办!$5:$5</definedName>
    <definedName name="一修多修正项2" localSheetId="21">[1]典型户型修正!$5:$5</definedName>
    <definedName name="一修多修正项2">典型户型修正!$5:$5</definedName>
    <definedName name="一修多修正项3" localSheetId="33">典型户型修正办!$7:$7</definedName>
    <definedName name="一修多修正项3" localSheetId="21">[1]典型户型修正!$7:$7</definedName>
    <definedName name="一修多修正项3">典型户型修正!$7:$7</definedName>
    <definedName name="一修多修正项4" localSheetId="33">典型户型修正办!$9:$9</definedName>
    <definedName name="一修多修正项4" localSheetId="21">[1]典型户型修正!$9:$9</definedName>
    <definedName name="一修多修正项4">典型户型修正!$9:$9</definedName>
    <definedName name="一修多修正项5" localSheetId="33">典型户型修正办!$11:$11</definedName>
    <definedName name="一修多修正项5" localSheetId="21">[1]典型户型修正!$11:$11</definedName>
    <definedName name="一修多修正项5">典型户型修正!$11:$11</definedName>
    <definedName name="一修多修正项6" localSheetId="33">典型户型修正办!$13:$13</definedName>
    <definedName name="一修多修正项6" localSheetId="21">[1]典型户型修正!$13:$13</definedName>
    <definedName name="一修多修正项6">典型户型修正!$13:$13</definedName>
    <definedName name="一修多修正项7" localSheetId="33">典型户型修正办!$15:$15</definedName>
    <definedName name="一修多修正项7" localSheetId="21">[1]典型户型修正!$15:$15</definedName>
    <definedName name="一修多修正项7">典型户型修正!$15:$15</definedName>
    <definedName name="一修多修正项8" localSheetId="33">典型户型修正办!$17:$17</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47" i="33" l="1"/>
  <c r="I47" i="33" s="1"/>
  <c r="N6" i="1"/>
  <c r="I14" i="3"/>
  <c r="F19" i="6"/>
  <c r="E7" i="85" l="1"/>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G7" i="85"/>
  <c r="H7" i="85"/>
  <c r="AB7" i="85"/>
  <c r="H10" i="85"/>
  <c r="AB10" i="85"/>
  <c r="G11" i="85"/>
  <c r="I7" i="85"/>
  <c r="J7" i="85"/>
  <c r="AC7" i="85"/>
  <c r="J10" i="85"/>
  <c r="AC10" i="85"/>
  <c r="I11" i="85"/>
  <c r="F34" i="68"/>
  <c r="G15" i="74"/>
  <c r="G16" i="74"/>
  <c r="G17" i="74"/>
  <c r="C94" i="9"/>
  <c r="A8" i="70"/>
  <c r="A9" i="70"/>
  <c r="A10" i="70"/>
  <c r="A11" i="70"/>
  <c r="A12" i="70"/>
  <c r="A13" i="70"/>
  <c r="A13" i="92"/>
  <c r="E13" i="92"/>
  <c r="A12" i="92"/>
  <c r="E12" i="92"/>
  <c r="A11" i="92"/>
  <c r="E11" i="92"/>
  <c r="A10" i="92"/>
  <c r="E10" i="92"/>
  <c r="A9" i="92"/>
  <c r="A8" i="92"/>
  <c r="A7" i="92"/>
  <c r="E7" i="92" s="1"/>
  <c r="A6" i="92"/>
  <c r="E6" i="92" s="1"/>
  <c r="Q72" i="91"/>
  <c r="Q59" i="91"/>
  <c r="K59" i="91"/>
  <c r="P74" i="91"/>
  <c r="F59" i="91"/>
  <c r="Q58" i="91"/>
  <c r="Q51" i="91"/>
  <c r="J50" i="91"/>
  <c r="M47" i="91"/>
  <c r="D46" i="91"/>
  <c r="F34" i="91"/>
  <c r="F62" i="91"/>
  <c r="F33" i="91"/>
  <c r="F61" i="91"/>
  <c r="F32" i="91"/>
  <c r="F60" i="91"/>
  <c r="F31" i="91"/>
  <c r="F28" i="91"/>
  <c r="F23" i="91"/>
  <c r="D23" i="91"/>
  <c r="F21" i="91"/>
  <c r="M20" i="91"/>
  <c r="F20" i="91"/>
  <c r="M19" i="91"/>
  <c r="M18" i="91"/>
  <c r="F18" i="91"/>
  <c r="M17" i="91"/>
  <c r="F17" i="91"/>
  <c r="F15" i="91"/>
  <c r="Q72" i="90"/>
  <c r="Q59" i="90"/>
  <c r="K59" i="90"/>
  <c r="P74" i="90"/>
  <c r="F59" i="90"/>
  <c r="Q58" i="90"/>
  <c r="Q51" i="90"/>
  <c r="J50" i="90"/>
  <c r="M47" i="90"/>
  <c r="D46" i="90"/>
  <c r="F34" i="90"/>
  <c r="F62" i="90"/>
  <c r="F33" i="90"/>
  <c r="F61" i="90"/>
  <c r="F32" i="90"/>
  <c r="F60" i="90"/>
  <c r="F31" i="90"/>
  <c r="F28" i="90"/>
  <c r="F23" i="90"/>
  <c r="D23" i="90"/>
  <c r="F21" i="90"/>
  <c r="M20" i="90"/>
  <c r="F20" i="90"/>
  <c r="M19" i="90"/>
  <c r="M18" i="90"/>
  <c r="F18" i="90"/>
  <c r="M17" i="90"/>
  <c r="F17" i="90"/>
  <c r="F15" i="90"/>
  <c r="D24" i="91"/>
  <c r="P61" i="91"/>
  <c r="D22" i="91"/>
  <c r="P61" i="90"/>
  <c r="D24" i="90"/>
  <c r="D22" i="90"/>
  <c r="C31" i="66"/>
  <c r="C29" i="66"/>
  <c r="I21" i="66"/>
  <c r="I17" i="66"/>
  <c r="N15" i="66"/>
  <c r="N14" i="66"/>
  <c r="B170" i="89"/>
  <c r="G169" i="89"/>
  <c r="I150" i="89"/>
  <c r="D169" i="89"/>
  <c r="I168" i="89"/>
  <c r="I167" i="89"/>
  <c r="I166" i="89"/>
  <c r="B160" i="89"/>
  <c r="B159" i="89"/>
  <c r="B158" i="89"/>
  <c r="B157" i="89"/>
  <c r="B156" i="89"/>
  <c r="C168" i="89"/>
  <c r="E168" i="89"/>
  <c r="B155" i="89"/>
  <c r="C167" i="89"/>
  <c r="B154" i="89"/>
  <c r="C166" i="89"/>
  <c r="B153" i="89"/>
  <c r="B161" i="89"/>
  <c r="C165" i="89"/>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E49" i="35"/>
  <c r="F49" i="35"/>
  <c r="D49" i="35"/>
  <c r="A120" i="88"/>
  <c r="H111" i="88"/>
  <c r="D126" i="88"/>
  <c r="D127" i="88"/>
  <c r="E111" i="88"/>
  <c r="A126" i="88"/>
  <c r="E109" i="88"/>
  <c r="A124" i="88"/>
  <c r="E107" i="88"/>
  <c r="A122" i="88"/>
  <c r="H106" i="88"/>
  <c r="H103" i="88"/>
  <c r="D120" i="88"/>
  <c r="H105" i="88"/>
  <c r="H104" i="88"/>
  <c r="D101" i="88"/>
  <c r="C101" i="88"/>
  <c r="D93" i="88"/>
  <c r="C91" i="88"/>
  <c r="E90" i="88"/>
  <c r="D89" i="88"/>
  <c r="C89" i="88"/>
  <c r="C87" i="88"/>
  <c r="D78" i="88"/>
  <c r="H77" i="88"/>
  <c r="D77" i="88"/>
  <c r="C76" i="88"/>
  <c r="D68" i="88"/>
  <c r="F59" i="88"/>
  <c r="E59" i="88"/>
  <c r="D59" i="88"/>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F33" i="88"/>
  <c r="D27" i="88"/>
  <c r="C25" i="88"/>
  <c r="C24" i="88"/>
  <c r="D17" i="88"/>
  <c r="C17" i="88"/>
  <c r="L4" i="88"/>
  <c r="K4" i="88"/>
  <c r="H1" i="88"/>
  <c r="Q72" i="87"/>
  <c r="Q59" i="87"/>
  <c r="K59" i="87"/>
  <c r="P74" i="87"/>
  <c r="F59" i="87"/>
  <c r="Q58" i="87"/>
  <c r="Q51" i="87"/>
  <c r="J50" i="87"/>
  <c r="M47" i="87"/>
  <c r="D46" i="87"/>
  <c r="F34" i="87"/>
  <c r="F62" i="87"/>
  <c r="F33" i="87"/>
  <c r="F61" i="87"/>
  <c r="F32" i="87"/>
  <c r="F60" i="87"/>
  <c r="F31" i="87"/>
  <c r="F28" i="87"/>
  <c r="F23" i="87"/>
  <c r="D24" i="87"/>
  <c r="F21" i="87"/>
  <c r="M20" i="87"/>
  <c r="F20" i="87"/>
  <c r="M19" i="87"/>
  <c r="M18" i="87"/>
  <c r="F18" i="87"/>
  <c r="M17" i="87"/>
  <c r="F17" i="87"/>
  <c r="F15" i="87"/>
  <c r="D12" i="66"/>
  <c r="F17" i="66"/>
  <c r="I3" i="66"/>
  <c r="C18" i="88"/>
  <c r="D18" i="88"/>
  <c r="D22" i="87"/>
  <c r="D23" i="87"/>
  <c r="C92" i="88"/>
  <c r="C94" i="88"/>
  <c r="K120" i="88"/>
  <c r="D121" i="88"/>
  <c r="P61" i="87"/>
  <c r="H109" i="88"/>
  <c r="H112" i="88"/>
  <c r="G41" i="86"/>
  <c r="F38" i="86"/>
  <c r="E37" i="86"/>
  <c r="F36" i="86"/>
  <c r="F35" i="86"/>
  <c r="F34" i="86"/>
  <c r="F30" i="86"/>
  <c r="G22" i="86"/>
  <c r="F21" i="86"/>
  <c r="C40" i="86"/>
  <c r="C21" i="86"/>
  <c r="F20" i="86"/>
  <c r="C19" i="86"/>
  <c r="E10" i="86"/>
  <c r="E9" i="86"/>
  <c r="F7" i="86"/>
  <c r="C38" i="85"/>
  <c r="C25" i="85"/>
  <c r="C21" i="85"/>
  <c r="C19" i="85"/>
  <c r="C17" i="85"/>
  <c r="I5" i="85"/>
  <c r="G5" i="85"/>
  <c r="E5" i="85"/>
  <c r="B131" i="85"/>
  <c r="B129" i="85"/>
  <c r="B127" i="85"/>
  <c r="D126" i="85"/>
  <c r="E126" i="85"/>
  <c r="F126" i="85"/>
  <c r="G126" i="85"/>
  <c r="H126" i="85"/>
  <c r="I126" i="85"/>
  <c r="J126" i="85"/>
  <c r="K126" i="85"/>
  <c r="L126" i="85"/>
  <c r="M126" i="85"/>
  <c r="D124" i="85"/>
  <c r="E124" i="85"/>
  <c r="F124" i="85"/>
  <c r="G124" i="85"/>
  <c r="H124" i="85"/>
  <c r="I124" i="85"/>
  <c r="J124" i="85"/>
  <c r="K124" i="85"/>
  <c r="L124" i="85"/>
  <c r="M124" i="85"/>
  <c r="D122" i="85"/>
  <c r="E122" i="85"/>
  <c r="F122" i="85"/>
  <c r="G122" i="85"/>
  <c r="H122" i="85"/>
  <c r="I122" i="85"/>
  <c r="J122" i="85"/>
  <c r="K122" i="85"/>
  <c r="L122" i="85"/>
  <c r="M122" i="85"/>
  <c r="D120" i="85"/>
  <c r="E120" i="85"/>
  <c r="F120" i="85"/>
  <c r="G120" i="85"/>
  <c r="H120" i="85"/>
  <c r="I120" i="85"/>
  <c r="J120" i="85"/>
  <c r="K120" i="85"/>
  <c r="L120" i="85"/>
  <c r="M120" i="85"/>
  <c r="D118" i="85"/>
  <c r="E118" i="85"/>
  <c r="F118" i="85"/>
  <c r="G118" i="85"/>
  <c r="M116" i="85"/>
  <c r="L116" i="85"/>
  <c r="K116" i="85"/>
  <c r="J116" i="85"/>
  <c r="I116" i="85"/>
  <c r="H116" i="85"/>
  <c r="G116" i="85"/>
  <c r="F116" i="85"/>
  <c r="E116" i="85"/>
  <c r="D116" i="85"/>
  <c r="C116" i="85"/>
  <c r="B114" i="85"/>
  <c r="B112" i="85"/>
  <c r="B110" i="85"/>
  <c r="E109" i="85"/>
  <c r="F109" i="85"/>
  <c r="G109" i="85"/>
  <c r="H109" i="85"/>
  <c r="I109" i="85"/>
  <c r="J109" i="85"/>
  <c r="K109" i="85"/>
  <c r="L109" i="85"/>
  <c r="M109" i="85"/>
  <c r="D109" i="85"/>
  <c r="E107" i="85"/>
  <c r="F107" i="85"/>
  <c r="G107" i="85"/>
  <c r="H107" i="85"/>
  <c r="I107" i="85"/>
  <c r="J107" i="85"/>
  <c r="K107" i="85"/>
  <c r="L107" i="85"/>
  <c r="M107" i="85"/>
  <c r="D107" i="85"/>
  <c r="E105" i="85"/>
  <c r="F105" i="85"/>
  <c r="G105" i="85"/>
  <c r="H105" i="85"/>
  <c r="I105" i="85"/>
  <c r="J105" i="85"/>
  <c r="K105" i="85"/>
  <c r="L105" i="85"/>
  <c r="M105" i="85"/>
  <c r="D105" i="85"/>
  <c r="B104" i="85"/>
  <c r="D103" i="85"/>
  <c r="E103" i="85"/>
  <c r="F103" i="85"/>
  <c r="G103" i="85"/>
  <c r="D101" i="85"/>
  <c r="E101" i="85"/>
  <c r="F101" i="85"/>
  <c r="G101" i="85"/>
  <c r="D99" i="85"/>
  <c r="E99" i="85"/>
  <c r="F99" i="85"/>
  <c r="G99" i="85"/>
  <c r="D97" i="85"/>
  <c r="E97" i="85"/>
  <c r="F97" i="85"/>
  <c r="G97" i="85"/>
  <c r="D95" i="85"/>
  <c r="E95" i="85"/>
  <c r="F95" i="85"/>
  <c r="G95" i="85"/>
  <c r="D93" i="85"/>
  <c r="E93" i="85"/>
  <c r="F93" i="85"/>
  <c r="G93" i="85"/>
  <c r="D91" i="85"/>
  <c r="E91" i="85"/>
  <c r="F91" i="85"/>
  <c r="G91" i="85"/>
  <c r="D89" i="85"/>
  <c r="E89" i="85"/>
  <c r="F89" i="85"/>
  <c r="G89" i="85"/>
  <c r="B86" i="85"/>
  <c r="B84" i="85"/>
  <c r="B82" i="85"/>
  <c r="D81" i="85"/>
  <c r="E81" i="85"/>
  <c r="F81" i="85"/>
  <c r="G81" i="85"/>
  <c r="H81" i="85"/>
  <c r="I81" i="85"/>
  <c r="J81" i="85"/>
  <c r="K81" i="85"/>
  <c r="L81" i="85"/>
  <c r="M81" i="85"/>
  <c r="M79" i="85"/>
  <c r="L79" i="85"/>
  <c r="K79" i="85"/>
  <c r="J79" i="85"/>
  <c r="I79" i="85"/>
  <c r="H79" i="85"/>
  <c r="G79" i="85"/>
  <c r="F79" i="85"/>
  <c r="E79" i="85"/>
  <c r="D79" i="85"/>
  <c r="C79" i="85"/>
  <c r="D71"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V46" i="85"/>
  <c r="T46" i="85"/>
  <c r="R46" i="85"/>
  <c r="P46" i="85"/>
  <c r="Q45" i="85"/>
  <c r="Z45" i="85"/>
  <c r="J45" i="85"/>
  <c r="AC45" i="85"/>
  <c r="H45" i="85"/>
  <c r="AB45" i="85"/>
  <c r="F45" i="85"/>
  <c r="AA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J38" i="85"/>
  <c r="AC38" i="85" s="1"/>
  <c r="H38" i="85"/>
  <c r="AB38" i="85" s="1"/>
  <c r="F38" i="85"/>
  <c r="AA38" i="85" s="1"/>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2" i="85"/>
  <c r="Z32" i="85"/>
  <c r="J32" i="85"/>
  <c r="AC32" i="85"/>
  <c r="H32" i="85"/>
  <c r="AB32" i="85"/>
  <c r="F32" i="85"/>
  <c r="AA32" i="85"/>
  <c r="Q31" i="85"/>
  <c r="Z31" i="85"/>
  <c r="J31" i="85"/>
  <c r="AC31" i="85"/>
  <c r="H31" i="85"/>
  <c r="AB31" i="85"/>
  <c r="F31" i="85"/>
  <c r="AA31" i="85"/>
  <c r="Q29" i="85"/>
  <c r="Z29" i="85"/>
  <c r="J29" i="85"/>
  <c r="AC29" i="85"/>
  <c r="H29" i="85"/>
  <c r="AB29" i="85"/>
  <c r="F29" i="85"/>
  <c r="AA29" i="85"/>
  <c r="C29" i="85"/>
  <c r="Q27" i="85"/>
  <c r="Z27" i="85"/>
  <c r="J27" i="85"/>
  <c r="AC27" i="85"/>
  <c r="H27" i="85"/>
  <c r="AB27" i="85"/>
  <c r="F27" i="85"/>
  <c r="AA27" i="85"/>
  <c r="C27" i="85"/>
  <c r="Q25" i="85"/>
  <c r="Z25" i="85"/>
  <c r="J25" i="85"/>
  <c r="AC25" i="85"/>
  <c r="H25" i="85"/>
  <c r="AB25" i="85"/>
  <c r="F25" i="85"/>
  <c r="AA25" i="85"/>
  <c r="Q23" i="85"/>
  <c r="Z23" i="85"/>
  <c r="J23" i="85"/>
  <c r="AC23" i="85"/>
  <c r="H23" i="85"/>
  <c r="AB23" i="85"/>
  <c r="F23" i="85"/>
  <c r="AA23" i="85"/>
  <c r="C23" i="85"/>
  <c r="AC21" i="85"/>
  <c r="W21" i="85"/>
  <c r="Q21" i="85"/>
  <c r="Z21" i="85"/>
  <c r="J21" i="85"/>
  <c r="H21" i="85"/>
  <c r="AB21" i="85"/>
  <c r="F21" i="85"/>
  <c r="AA21" i="85"/>
  <c r="Q19" i="85"/>
  <c r="Z19" i="85"/>
  <c r="J19" i="85"/>
  <c r="AC19" i="85"/>
  <c r="H19" i="85"/>
  <c r="AB19" i="85"/>
  <c r="F19" i="85"/>
  <c r="AA19" i="85"/>
  <c r="Q17" i="85"/>
  <c r="Z17" i="85"/>
  <c r="J17" i="85"/>
  <c r="AC17" i="85"/>
  <c r="H17" i="85"/>
  <c r="AB17" i="85"/>
  <c r="F17" i="85"/>
  <c r="AA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Q9" i="85"/>
  <c r="Z9" i="85"/>
  <c r="J9" i="85"/>
  <c r="AC9" i="85"/>
  <c r="H9" i="85"/>
  <c r="AB9" i="85"/>
  <c r="F9" i="85"/>
  <c r="AA9" i="85"/>
  <c r="W8" i="85"/>
  <c r="S8" i="85"/>
  <c r="J8" i="85"/>
  <c r="AC8" i="85"/>
  <c r="H8" i="85"/>
  <c r="U8" i="85"/>
  <c r="F8" i="85"/>
  <c r="AA8" i="85"/>
  <c r="D124" i="88"/>
  <c r="D125" i="88"/>
  <c r="H110" i="88"/>
  <c r="S15" i="85"/>
  <c r="W15" i="85"/>
  <c r="S17" i="85"/>
  <c r="W17" i="85"/>
  <c r="S19" i="85"/>
  <c r="W19" i="85"/>
  <c r="S21" i="85"/>
  <c r="W23"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W38" i="85"/>
  <c r="U39" i="85"/>
  <c r="S40" i="85"/>
  <c r="W40" i="85"/>
  <c r="U41" i="85"/>
  <c r="S42" i="85"/>
  <c r="W42" i="85"/>
  <c r="U43" i="85"/>
  <c r="S44" i="85"/>
  <c r="W44" i="85"/>
  <c r="U45" i="85"/>
  <c r="U7" i="85"/>
  <c r="W7" i="85"/>
  <c r="S7" i="85"/>
  <c r="B25" i="31"/>
  <c r="B26" i="31"/>
  <c r="B27" i="31"/>
  <c r="B28" i="31"/>
  <c r="B29" i="31"/>
  <c r="B30" i="31"/>
  <c r="B31" i="31"/>
  <c r="B32" i="31"/>
  <c r="B33" i="31"/>
  <c r="B24" i="31"/>
  <c r="A25" i="31"/>
  <c r="A26" i="31"/>
  <c r="A27" i="31"/>
  <c r="A28" i="31"/>
  <c r="A29" i="31"/>
  <c r="A30" i="31"/>
  <c r="A31" i="31"/>
  <c r="A32" i="31"/>
  <c r="A33" i="31"/>
  <c r="A24" i="31"/>
  <c r="B7" i="4"/>
  <c r="J104" i="33"/>
  <c r="J4" i="31"/>
  <c r="D4" i="31"/>
  <c r="E4" i="31"/>
  <c r="F4" i="31"/>
  <c r="G4" i="31"/>
  <c r="H4" i="31"/>
  <c r="I4" i="31"/>
  <c r="C4" i="31"/>
  <c r="E104" i="33"/>
  <c r="F104" i="33"/>
  <c r="G104" i="33"/>
  <c r="H104" i="33"/>
  <c r="I104" i="33"/>
  <c r="D104" i="33"/>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s="1"/>
  <c r="C18" i="82"/>
  <c r="C4" i="82"/>
  <c r="D4" i="82"/>
  <c r="E4" i="82"/>
  <c r="F4" i="82"/>
  <c r="G4" i="82"/>
  <c r="H4" i="82"/>
  <c r="I4" i="82"/>
  <c r="F5" i="82"/>
  <c r="E5" i="82"/>
  <c r="D5" i="82"/>
  <c r="C5" i="82"/>
  <c r="B5" i="82"/>
  <c r="K17" i="34"/>
  <c r="R524" i="82"/>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E89" i="33"/>
  <c r="F89" i="33"/>
  <c r="G89" i="33"/>
  <c r="D89" i="33"/>
  <c r="G9" i="31"/>
  <c r="F9" i="31"/>
  <c r="E9" i="31"/>
  <c r="D9" i="31"/>
  <c r="C9" i="31"/>
  <c r="B9" i="31"/>
  <c r="G7" i="31"/>
  <c r="F7" i="31"/>
  <c r="E7" i="31"/>
  <c r="D7" i="31"/>
  <c r="C7" i="31"/>
  <c r="B7" i="31"/>
  <c r="T5" i="31"/>
  <c r="B5" i="31"/>
  <c r="F5" i="31"/>
  <c r="E5" i="31"/>
  <c r="D5" i="31"/>
  <c r="C5" i="31"/>
  <c r="J3" i="31"/>
  <c r="I3" i="31"/>
  <c r="H3" i="31"/>
  <c r="G3" i="31"/>
  <c r="F3" i="31"/>
  <c r="E3" i="31"/>
  <c r="D3" i="31"/>
  <c r="C3" i="31"/>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H111" i="80"/>
  <c r="D126" i="80"/>
  <c r="D127" i="80"/>
  <c r="E111" i="80"/>
  <c r="A126" i="80"/>
  <c r="E109" i="80"/>
  <c r="A124" i="80"/>
  <c r="E107" i="80"/>
  <c r="A122" i="80"/>
  <c r="H106" i="80"/>
  <c r="H103" i="80"/>
  <c r="D120" i="80"/>
  <c r="H105"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H111" i="78"/>
  <c r="D126" i="78"/>
  <c r="D127" i="78"/>
  <c r="E111" i="78"/>
  <c r="A126" i="78"/>
  <c r="E109" i="78"/>
  <c r="A124" i="78"/>
  <c r="E107" i="78"/>
  <c r="A122" i="78"/>
  <c r="H106" i="78"/>
  <c r="H103" i="78"/>
  <c r="D120" i="78"/>
  <c r="H105"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C18" i="80"/>
  <c r="D18" i="80"/>
  <c r="C18" i="78"/>
  <c r="D18" i="78"/>
  <c r="C92" i="80"/>
  <c r="C94" i="80"/>
  <c r="K120" i="80"/>
  <c r="D121" i="80"/>
  <c r="H109" i="80"/>
  <c r="H112" i="80"/>
  <c r="D24" i="79"/>
  <c r="P61" i="79"/>
  <c r="D22" i="79"/>
  <c r="C92" i="78"/>
  <c r="C94" i="78"/>
  <c r="K120" i="78"/>
  <c r="D121" i="78"/>
  <c r="H109" i="78"/>
  <c r="H112" i="78"/>
  <c r="D23" i="77"/>
  <c r="D22" i="77"/>
  <c r="D24" i="77"/>
  <c r="P61" i="77"/>
  <c r="Y6" i="1"/>
  <c r="C29" i="35" s="1"/>
  <c r="D3" i="4"/>
  <c r="D124" i="80"/>
  <c r="D125" i="80"/>
  <c r="H110" i="80"/>
  <c r="D124" i="78"/>
  <c r="D125" i="78"/>
  <c r="H110" i="78"/>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A21" i="62"/>
  <c r="A20" i="62"/>
  <c r="A22" i="51"/>
  <c r="A21" i="51"/>
  <c r="A20" i="51"/>
  <c r="A15" i="62"/>
  <c r="A14" i="62"/>
  <c r="A13" i="62"/>
  <c r="B59" i="72"/>
  <c r="A19" i="62"/>
  <c r="A12" i="62"/>
  <c r="B58" i="72"/>
  <c r="A120" i="9"/>
  <c r="H2" i="52"/>
  <c r="A1" i="52"/>
  <c r="A3" i="53"/>
  <c r="Q14" i="71"/>
  <c r="P14" i="71"/>
  <c r="O14" i="71"/>
  <c r="N14" i="71"/>
  <c r="A15" i="51"/>
  <c r="B12" i="72" s="1"/>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S2" i="4"/>
  <c r="A118" i="88" s="1"/>
  <c r="S1" i="4"/>
  <c r="B1" i="4"/>
  <c r="I23" i="66"/>
  <c r="D20" i="66"/>
  <c r="I19" i="66"/>
  <c r="I18" i="66"/>
  <c r="I20" i="66"/>
  <c r="E15" i="66"/>
  <c r="I14" i="66"/>
  <c r="I13" i="66"/>
  <c r="I12" i="66"/>
  <c r="I15" i="66"/>
  <c r="I9" i="66"/>
  <c r="I8" i="66"/>
  <c r="I7" i="66"/>
  <c r="I6" i="66"/>
  <c r="I5" i="66"/>
  <c r="I4"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B2" i="1"/>
  <c r="F15" i="4"/>
  <c r="F12" i="1"/>
  <c r="G12" i="1" s="1"/>
  <c r="F13" i="1"/>
  <c r="D6" i="1"/>
  <c r="D9" i="1"/>
  <c r="D10" i="1"/>
  <c r="D11" i="1"/>
  <c r="D12" i="1"/>
  <c r="D13" i="1"/>
  <c r="D7" i="1"/>
  <c r="D8" i="1"/>
  <c r="A7" i="1"/>
  <c r="G1" i="91" s="1"/>
  <c r="A8" i="1"/>
  <c r="A9" i="1"/>
  <c r="A10" i="1"/>
  <c r="A11" i="1"/>
  <c r="B11" i="1" s="1"/>
  <c r="E11" i="1" s="1"/>
  <c r="A12" i="1"/>
  <c r="A13" i="1"/>
  <c r="A6" i="1"/>
  <c r="G1" i="77"/>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c r="AZ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A96" i="3"/>
  <c r="AZ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AZ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c r="AZ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A83" i="3"/>
  <c r="AZ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A81" i="3"/>
  <c r="AZ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A71" i="3"/>
  <c r="AZ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A66" i="3"/>
  <c r="AZ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c r="AZ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I15" i="4"/>
  <c r="H15" i="4"/>
  <c r="G15" i="4"/>
  <c r="F10" i="1" s="1"/>
  <c r="G10" i="1" s="1"/>
  <c r="E15" i="4"/>
  <c r="F8" i="1" s="1"/>
  <c r="D15" i="4"/>
  <c r="F7" i="1"/>
  <c r="G7" i="1" s="1"/>
  <c r="L21" i="4"/>
  <c r="F19" i="4"/>
  <c r="F2" i="52"/>
  <c r="B50" i="72"/>
  <c r="D2" i="52"/>
  <c r="B46" i="72"/>
  <c r="B8" i="53"/>
  <c r="B23" i="72"/>
  <c r="L4" i="9"/>
  <c r="B17" i="72"/>
  <c r="B15" i="72"/>
  <c r="A3" i="51"/>
  <c r="C8" i="11"/>
  <c r="B2" i="49"/>
  <c r="E17" i="49" s="1"/>
  <c r="B40" i="48"/>
  <c r="B3" i="72"/>
  <c r="I2" i="43"/>
  <c r="N1" i="43"/>
  <c r="F35" i="4"/>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c r="B118" i="78" s="1"/>
  <c r="F23" i="15"/>
  <c r="D24" i="15"/>
  <c r="M13" i="1"/>
  <c r="O13" i="1"/>
  <c r="P13" i="1"/>
  <c r="E22" i="6"/>
  <c r="E23" i="6"/>
  <c r="M18" i="88"/>
  <c r="B118" i="88"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86" s="1"/>
  <c r="B52" i="1"/>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3" i="31"/>
  <c r="S122" i="31"/>
  <c r="S120" i="31"/>
  <c r="S118" i="31"/>
  <c r="S116" i="31"/>
  <c r="S114" i="31"/>
  <c r="S112" i="31"/>
  <c r="S504" i="31"/>
  <c r="S500" i="31"/>
  <c r="S461"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s="1"/>
  <c r="A12" i="52"/>
  <c r="B56" i="72"/>
  <c r="G4" i="4"/>
  <c r="I4" i="4"/>
  <c r="K5" i="4"/>
  <c r="B47" i="48"/>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43" i="21"/>
  <c r="U35" i="21"/>
  <c r="AC35" i="21"/>
  <c r="U10" i="21"/>
  <c r="F48" i="9"/>
  <c r="O52" i="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c r="F32" i="37"/>
  <c r="AA32" i="37"/>
  <c r="G96" i="37"/>
  <c r="H96" i="37"/>
  <c r="I96" i="37"/>
  <c r="J96" i="37"/>
  <c r="K96" i="37"/>
  <c r="L96" i="37"/>
  <c r="M96" i="37"/>
  <c r="F20" i="36"/>
  <c r="AA20" i="36"/>
  <c r="J33" i="34"/>
  <c r="AC33" i="34"/>
  <c r="H86" i="43"/>
  <c r="H82" i="43"/>
  <c r="H87" i="43"/>
  <c r="K9" i="1"/>
  <c r="D93" i="9"/>
  <c r="K6" i="1"/>
  <c r="M6" i="1" s="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s="1"/>
  <c r="R12" i="1"/>
  <c r="B12" i="1"/>
  <c r="E12" i="1"/>
  <c r="B10" i="1"/>
  <c r="E10" i="1"/>
  <c r="AZ80" i="3"/>
  <c r="AZ88" i="3"/>
  <c r="AZ111" i="3"/>
  <c r="K12" i="1"/>
  <c r="M12" i="1" s="1"/>
  <c r="S13" i="1"/>
  <c r="AR13" i="1" s="1"/>
  <c r="R13" i="1"/>
  <c r="J51" i="67"/>
  <c r="C42" i="1"/>
  <c r="H100" i="43"/>
  <c r="AC34" i="33"/>
  <c r="B41" i="1"/>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BA13" i="3"/>
  <c r="AZ13" i="3" s="1"/>
  <c r="BL17" i="3"/>
  <c r="BL13" i="3"/>
  <c r="J56" i="9"/>
  <c r="J57" i="9"/>
  <c r="J59" i="9"/>
  <c r="J61" i="9"/>
  <c r="A24" i="51"/>
  <c r="B18" i="72"/>
  <c r="U29" i="34"/>
  <c r="E5" i="6"/>
  <c r="D9" i="68" s="1"/>
  <c r="C9" i="68" s="1"/>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s="1"/>
  <c r="E58" i="33" s="1"/>
  <c r="F58" i="33" s="1"/>
  <c r="G58" i="33" s="1"/>
  <c r="H58" i="33" s="1"/>
  <c r="I58" i="33" s="1"/>
  <c r="J58" i="33" s="1"/>
  <c r="K58" i="33" s="1"/>
  <c r="L58" i="33" s="1"/>
  <c r="M58" i="33" s="1"/>
  <c r="N58" i="33" s="1"/>
  <c r="O58" i="33" s="1"/>
  <c r="C7" i="21"/>
  <c r="C58" i="21"/>
  <c r="C7" i="40"/>
  <c r="C63" i="40"/>
  <c r="C65" i="40" s="1"/>
  <c r="M47" i="9"/>
  <c r="G19" i="43"/>
  <c r="O19" i="43"/>
  <c r="C19" i="43" s="1"/>
  <c r="C46" i="36"/>
  <c r="C59" i="34"/>
  <c r="D59" i="34"/>
  <c r="C52" i="37"/>
  <c r="D52" i="37" s="1"/>
  <c r="A4" i="51"/>
  <c r="B6" i="72" s="1"/>
  <c r="C4" i="12"/>
  <c r="H55" i="43"/>
  <c r="H56" i="43"/>
  <c r="H72" i="43"/>
  <c r="L20" i="6"/>
  <c r="B6" i="1"/>
  <c r="E6" i="1"/>
  <c r="K11" i="1"/>
  <c r="M11" i="1" s="1"/>
  <c r="O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F11" i="12"/>
  <c r="C23" i="12" s="1"/>
  <c r="H109" i="9"/>
  <c r="H110" i="9"/>
  <c r="D18" i="53" s="1"/>
  <c r="B35" i="72" s="1"/>
  <c r="D124" i="9"/>
  <c r="H14" i="74"/>
  <c r="B7" i="74"/>
  <c r="D16" i="53"/>
  <c r="B34" i="72"/>
  <c r="D10" i="52"/>
  <c r="D17" i="53"/>
  <c r="B36" i="72"/>
  <c r="D125" i="9"/>
  <c r="D11" i="52"/>
  <c r="H7" i="33"/>
  <c r="AB7" i="33" s="1"/>
  <c r="H112" i="9"/>
  <c r="D21" i="53"/>
  <c r="B39" i="72"/>
  <c r="H111" i="9"/>
  <c r="D126" i="9"/>
  <c r="D19" i="53"/>
  <c r="B38" i="72"/>
  <c r="D59" i="9"/>
  <c r="M55" i="9"/>
  <c r="D20" i="53"/>
  <c r="B40" i="72"/>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s="1"/>
  <c r="P21" i="43"/>
  <c r="P22" i="43"/>
  <c r="V8" i="71"/>
  <c r="P23" i="43"/>
  <c r="C8" i="71"/>
  <c r="D9" i="71"/>
  <c r="P25" i="43"/>
  <c r="D6" i="71"/>
  <c r="T8" i="71"/>
  <c r="D7" i="71"/>
  <c r="D8" i="71"/>
  <c r="M20" i="43"/>
  <c r="U8" i="71"/>
  <c r="F31" i="15"/>
  <c r="F31" i="67"/>
  <c r="BL16" i="3"/>
  <c r="G29" i="6"/>
  <c r="E29" i="6" s="1"/>
  <c r="K15" i="1" s="1"/>
  <c r="F28" i="6"/>
  <c r="M9" i="1"/>
  <c r="F30" i="6"/>
  <c r="B13" i="70"/>
  <c r="B12" i="70"/>
  <c r="B13" i="92"/>
  <c r="B12" i="92"/>
  <c r="K10" i="1"/>
  <c r="G1" i="79"/>
  <c r="G1" i="87"/>
  <c r="G1" i="86"/>
  <c r="C28" i="66"/>
  <c r="C27" i="66"/>
  <c r="C18" i="9"/>
  <c r="D18" i="9" s="1"/>
  <c r="G8" i="1"/>
  <c r="W19" i="34"/>
  <c r="H87" i="35"/>
  <c r="I87" i="35"/>
  <c r="J87" i="35"/>
  <c r="K87" i="35"/>
  <c r="L87" i="35"/>
  <c r="M87"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s="1"/>
  <c r="C5" i="11"/>
  <c r="BA16" i="3"/>
  <c r="AZ16" i="3"/>
  <c r="AC37" i="33"/>
  <c r="S26" i="33"/>
  <c r="W21" i="33"/>
  <c r="AA17" i="33"/>
  <c r="M20" i="15"/>
  <c r="M20" i="79"/>
  <c r="M20" i="77"/>
  <c r="F34" i="79"/>
  <c r="F62" i="79"/>
  <c r="F34" i="77"/>
  <c r="F62" i="77"/>
  <c r="BA14" i="3"/>
  <c r="AZ14" i="3" s="1"/>
  <c r="BB5" i="3"/>
  <c r="E10" i="6" s="1"/>
  <c r="I20" i="43"/>
  <c r="H5" i="3"/>
  <c r="BD5" i="3"/>
  <c r="BA104" i="3"/>
  <c r="AZ104" i="3"/>
  <c r="K7" i="1"/>
  <c r="M7" i="1" s="1"/>
  <c r="AZ17" i="3"/>
  <c r="G13" i="3"/>
  <c r="I4" i="6"/>
  <c r="C11" i="85" s="1"/>
  <c r="M18" i="80"/>
  <c r="B118" i="80" s="1"/>
  <c r="K8" i="1"/>
  <c r="BA23" i="3"/>
  <c r="AZ23" i="3"/>
  <c r="AZ58" i="3"/>
  <c r="G27" i="6"/>
  <c r="AZ24" i="3"/>
  <c r="BA34" i="3"/>
  <c r="BA38" i="3"/>
  <c r="BA54" i="3"/>
  <c r="AZ54" i="3"/>
  <c r="BA55" i="3"/>
  <c r="AZ55" i="3"/>
  <c r="BA56" i="3"/>
  <c r="AZ56" i="3"/>
  <c r="BA57" i="3"/>
  <c r="AZ57" i="3"/>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J67" i="43"/>
  <c r="J61" i="43"/>
  <c r="D62" i="43"/>
  <c r="E59" i="43"/>
  <c r="B57" i="43"/>
  <c r="C24" i="43"/>
  <c r="C40" i="11"/>
  <c r="C40" i="68"/>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BL15" i="3"/>
  <c r="BA20" i="3"/>
  <c r="AZ20" i="3"/>
  <c r="BA21" i="3"/>
  <c r="AZ21" i="3"/>
  <c r="BL22" i="3"/>
  <c r="BA27" i="3"/>
  <c r="AZ27" i="3"/>
  <c r="BA28" i="3"/>
  <c r="AZ28" i="3"/>
  <c r="BA29" i="3"/>
  <c r="AZ29" i="3"/>
  <c r="BA35" i="3"/>
  <c r="AZ35" i="3"/>
  <c r="BA39" i="3"/>
  <c r="AZ39" i="3"/>
  <c r="BL44" i="3"/>
  <c r="BA53" i="3"/>
  <c r="AZ53" i="3"/>
  <c r="BL5" i="3"/>
  <c r="O6" i="1"/>
  <c r="AH6" i="1"/>
  <c r="AA34" i="33"/>
  <c r="S32" i="33"/>
  <c r="S41" i="33"/>
  <c r="W39" i="33"/>
  <c r="AC35" i="33"/>
  <c r="AC32" i="33"/>
  <c r="U32" i="33"/>
  <c r="S28" i="33"/>
  <c r="S45" i="33"/>
  <c r="AB26" i="33"/>
  <c r="AA25" i="33"/>
  <c r="AB23" i="33"/>
  <c r="S23" i="33"/>
  <c r="U19" i="33"/>
  <c r="U17" i="33"/>
  <c r="S9" i="33"/>
  <c r="M47" i="78"/>
  <c r="M47" i="80"/>
  <c r="J51" i="79"/>
  <c r="J51" i="77"/>
  <c r="C13" i="12"/>
  <c r="C28" i="77"/>
  <c r="C77" i="80"/>
  <c r="C77" i="78"/>
  <c r="C74" i="78" s="1"/>
  <c r="C74" i="80"/>
  <c r="C28" i="79"/>
  <c r="J51" i="15"/>
  <c r="C51" i="10"/>
  <c r="A13" i="51" s="1"/>
  <c r="B11" i="72" s="1"/>
  <c r="A118" i="78"/>
  <c r="A2" i="78"/>
  <c r="A118" i="80"/>
  <c r="A2" i="80"/>
  <c r="E10" i="43"/>
  <c r="E8" i="43"/>
  <c r="E9" i="43"/>
  <c r="E11" i="43"/>
  <c r="AC36" i="33"/>
  <c r="AC10" i="33"/>
  <c r="W8" i="33"/>
  <c r="G17" i="43"/>
  <c r="C16" i="43"/>
  <c r="C5" i="43"/>
  <c r="C24" i="12"/>
  <c r="M18" i="15"/>
  <c r="M18" i="67"/>
  <c r="F30" i="68"/>
  <c r="C92" i="9"/>
  <c r="C31" i="12"/>
  <c r="F54" i="9"/>
  <c r="F28" i="15"/>
  <c r="F30" i="69"/>
  <c r="C30" i="69"/>
  <c r="F32" i="67"/>
  <c r="F60" i="67"/>
  <c r="F52" i="9"/>
  <c r="F28" i="67"/>
  <c r="C28" i="67"/>
  <c r="F30" i="11"/>
  <c r="P61" i="15"/>
  <c r="B8" i="49"/>
  <c r="AZ15" i="3"/>
  <c r="AZ34" i="3"/>
  <c r="AZ38" i="3"/>
  <c r="AZ52" i="3"/>
  <c r="BA18" i="3"/>
  <c r="BA19" i="3"/>
  <c r="AZ19" i="3" s="1"/>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AZ18" i="3"/>
  <c r="O14" i="1"/>
  <c r="P14" i="1"/>
  <c r="P6" i="1"/>
  <c r="O12" i="1"/>
  <c r="P12" i="1"/>
  <c r="O9" i="1"/>
  <c r="P9" i="1"/>
  <c r="O8" i="1"/>
  <c r="P11" i="1"/>
  <c r="D5" i="43"/>
  <c r="H50" i="43"/>
  <c r="E21" i="49"/>
  <c r="B7" i="49"/>
  <c r="I14" i="74"/>
  <c r="B8" i="74"/>
  <c r="D127" i="9"/>
  <c r="D13" i="52"/>
  <c r="D12" i="52"/>
  <c r="E9" i="49"/>
  <c r="B5" i="49"/>
  <c r="B9" i="49"/>
  <c r="D58" i="21"/>
  <c r="E58" i="21" s="1"/>
  <c r="F58" i="21" s="1"/>
  <c r="U7" i="33"/>
  <c r="D48" i="35"/>
  <c r="C28" i="15"/>
  <c r="C48" i="69"/>
  <c r="K1" i="73"/>
  <c r="F59" i="15"/>
  <c r="F59" i="67"/>
  <c r="M17" i="15"/>
  <c r="M17" i="67"/>
  <c r="O7" i="1"/>
  <c r="P7" i="1"/>
  <c r="O10" i="1"/>
  <c r="P10" i="1"/>
  <c r="G3" i="43"/>
  <c r="K101" i="43" s="1"/>
  <c r="C32" i="66"/>
  <c r="C30" i="66"/>
  <c r="BA5" i="3"/>
  <c r="AA20" i="35"/>
  <c r="S20" i="35"/>
  <c r="W14" i="35"/>
  <c r="AC14" i="35"/>
  <c r="AA14" i="35"/>
  <c r="S14" i="35"/>
  <c r="AA26" i="35"/>
  <c r="S26" i="35"/>
  <c r="W26" i="35"/>
  <c r="AC26" i="35"/>
  <c r="U26" i="35"/>
  <c r="AB26" i="35"/>
  <c r="U25" i="33"/>
  <c r="M8" i="1"/>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C30" i="68"/>
  <c r="C48" i="68"/>
  <c r="C30" i="11"/>
  <c r="C48" i="11"/>
  <c r="P8" i="1"/>
  <c r="E48" i="35"/>
  <c r="E52" i="37"/>
  <c r="G101" i="43"/>
  <c r="G106" i="43" s="1"/>
  <c r="Y11" i="43"/>
  <c r="Y13" i="43" s="1"/>
  <c r="M101" i="43"/>
  <c r="M107" i="43" s="1"/>
  <c r="E26" i="66"/>
  <c r="AG7" i="1"/>
  <c r="F3" i="35"/>
  <c r="S5" i="43"/>
  <c r="D3" i="34"/>
  <c r="D3" i="33"/>
  <c r="J22" i="43"/>
  <c r="F52" i="37"/>
  <c r="G52" i="37" s="1"/>
  <c r="H52" i="37" s="1"/>
  <c r="F48" i="35"/>
  <c r="AE8" i="1"/>
  <c r="AE10" i="1"/>
  <c r="AE9" i="1"/>
  <c r="AE11" i="1"/>
  <c r="AG8" i="1"/>
  <c r="M109" i="43"/>
  <c r="M104" i="43"/>
  <c r="G102" i="43"/>
  <c r="J33" i="33"/>
  <c r="F33" i="33"/>
  <c r="S33" i="33" s="1"/>
  <c r="H33" i="33"/>
  <c r="J34" i="34"/>
  <c r="AC34" i="34" s="1"/>
  <c r="F34" i="34"/>
  <c r="H34" i="34"/>
  <c r="AB34" i="34" s="1"/>
  <c r="G48" i="35"/>
  <c r="AB33" i="33"/>
  <c r="U33" i="33"/>
  <c r="AC33" i="33"/>
  <c r="W33" i="33"/>
  <c r="M19" i="78"/>
  <c r="C118" i="78" s="1"/>
  <c r="AA34" i="34"/>
  <c r="S34" i="34"/>
  <c r="U34" i="34"/>
  <c r="W34" i="34"/>
  <c r="H48" i="35"/>
  <c r="E8" i="92"/>
  <c r="E9" i="70"/>
  <c r="E9" i="92"/>
  <c r="L18" i="78"/>
  <c r="E8" i="70"/>
  <c r="C19" i="68"/>
  <c r="I48" i="35"/>
  <c r="L19" i="78"/>
  <c r="J48" i="35"/>
  <c r="K48" i="35" s="1"/>
  <c r="F11" i="34"/>
  <c r="J11" i="34"/>
  <c r="H11" i="34"/>
  <c r="S11" i="34"/>
  <c r="AA11" i="34"/>
  <c r="U11" i="34"/>
  <c r="AB11" i="34"/>
  <c r="W11" i="34"/>
  <c r="AC11" i="34"/>
  <c r="B11" i="70"/>
  <c r="B11" i="92"/>
  <c r="B8" i="70"/>
  <c r="B9" i="70"/>
  <c r="B10" i="70"/>
  <c r="B7" i="92"/>
  <c r="B6" i="92"/>
  <c r="B10" i="92"/>
  <c r="R34" i="31"/>
  <c r="J13" i="84" s="1"/>
  <c r="R35" i="31"/>
  <c r="S35" i="31" s="1"/>
  <c r="I14" i="84" s="1"/>
  <c r="F17" i="74"/>
  <c r="E17" i="74"/>
  <c r="E16" i="74"/>
  <c r="F16" i="74"/>
  <c r="E15" i="74"/>
  <c r="F15" i="74"/>
  <c r="B6" i="49" l="1"/>
  <c r="E6" i="49"/>
  <c r="B14" i="49"/>
  <c r="E22" i="49"/>
  <c r="B22" i="49"/>
  <c r="B10" i="49"/>
  <c r="E10" i="49"/>
  <c r="E7" i="49"/>
  <c r="B13" i="49"/>
  <c r="E4" i="4" s="1"/>
  <c r="B5" i="62" s="1"/>
  <c r="B73" i="72" s="1"/>
  <c r="E16" i="49"/>
  <c r="E5" i="49"/>
  <c r="E4" i="49"/>
  <c r="E13" i="49"/>
  <c r="E14" i="49"/>
  <c r="E8" i="49"/>
  <c r="B16" i="49"/>
  <c r="E11" i="49"/>
  <c r="E15" i="49"/>
  <c r="B11" i="49"/>
  <c r="C4" i="4" s="1"/>
  <c r="B4" i="62" s="1"/>
  <c r="B71" i="72" s="1"/>
  <c r="B15" i="49"/>
  <c r="B4" i="49"/>
  <c r="AC28" i="33"/>
  <c r="S34" i="31"/>
  <c r="I13" i="84" s="1"/>
  <c r="AA33" i="33"/>
  <c r="T48" i="33"/>
  <c r="G48" i="33" s="1"/>
  <c r="G52" i="33" s="1"/>
  <c r="H52" i="33" s="1"/>
  <c r="H29" i="35"/>
  <c r="F29" i="35"/>
  <c r="J29" i="35"/>
  <c r="D9" i="69"/>
  <c r="C9" i="69" s="1"/>
  <c r="G1" i="90"/>
  <c r="H16" i="1"/>
  <c r="C36" i="69"/>
  <c r="S38" i="85"/>
  <c r="U38" i="85"/>
  <c r="G109" i="43"/>
  <c r="M106" i="43"/>
  <c r="M102" i="43"/>
  <c r="S7" i="43"/>
  <c r="S4" i="43"/>
  <c r="G22" i="43"/>
  <c r="E22" i="43"/>
  <c r="Z11" i="43"/>
  <c r="Z13" i="43" s="1"/>
  <c r="H22" i="43"/>
  <c r="I101" i="43"/>
  <c r="C101" i="43"/>
  <c r="K103" i="43"/>
  <c r="K106" i="43"/>
  <c r="K107" i="43"/>
  <c r="G104" i="43"/>
  <c r="G107" i="43"/>
  <c r="M105" i="43"/>
  <c r="M103" i="43"/>
  <c r="S3" i="43"/>
  <c r="S6" i="43"/>
  <c r="S2" i="43"/>
  <c r="AB11" i="43"/>
  <c r="AB13" i="43" s="1"/>
  <c r="J101" i="43"/>
  <c r="F22" i="43"/>
  <c r="D22" i="43" s="1"/>
  <c r="C21" i="43" s="1"/>
  <c r="D101" i="43"/>
  <c r="L101" i="43"/>
  <c r="F101" i="43"/>
  <c r="AG11" i="43"/>
  <c r="AG13" i="43" s="1"/>
  <c r="AJ11" i="43"/>
  <c r="AJ13" i="43" s="1"/>
  <c r="AE11" i="43"/>
  <c r="AE13" i="43" s="1"/>
  <c r="AH11" i="43"/>
  <c r="AH13" i="43" s="1"/>
  <c r="C23" i="43"/>
  <c r="C105" i="43"/>
  <c r="C103" i="43"/>
  <c r="I105" i="43"/>
  <c r="I104" i="43"/>
  <c r="I106" i="43"/>
  <c r="AF11" i="43"/>
  <c r="AF13" i="43" s="1"/>
  <c r="E11" i="6"/>
  <c r="E56" i="40" s="1"/>
  <c r="D9" i="11"/>
  <c r="C9" i="11" s="1"/>
  <c r="G5" i="3"/>
  <c r="B3" i="3" s="1"/>
  <c r="M6" i="3" s="1"/>
  <c r="E431" i="3"/>
  <c r="E353" i="3"/>
  <c r="E77" i="3"/>
  <c r="E277" i="3"/>
  <c r="K6" i="3"/>
  <c r="E472" i="3"/>
  <c r="E336" i="3"/>
  <c r="E321" i="3"/>
  <c r="E574" i="3"/>
  <c r="E461" i="3"/>
  <c r="E382" i="3"/>
  <c r="E61" i="3"/>
  <c r="E117" i="3"/>
  <c r="J14" i="84"/>
  <c r="L27" i="6"/>
  <c r="P16" i="1"/>
  <c r="C11" i="12" s="1"/>
  <c r="C12" i="12" s="1"/>
  <c r="G30" i="6"/>
  <c r="G31" i="6" s="1"/>
  <c r="E28" i="6"/>
  <c r="E2" i="92"/>
  <c r="J103" i="43"/>
  <c r="J107" i="43"/>
  <c r="J105" i="43"/>
  <c r="G103" i="43"/>
  <c r="G105" i="43"/>
  <c r="K105" i="43"/>
  <c r="K104" i="43"/>
  <c r="K109" i="43"/>
  <c r="K102" i="43"/>
  <c r="N104" i="46"/>
  <c r="B113" i="43"/>
  <c r="N101" i="43"/>
  <c r="AC11" i="43"/>
  <c r="AC13" i="43" s="1"/>
  <c r="Z7" i="43"/>
  <c r="AA11" i="43"/>
  <c r="AA13" i="43" s="1"/>
  <c r="AI11" i="43"/>
  <c r="AI13" i="43" s="1"/>
  <c r="AD11" i="43"/>
  <c r="AD13" i="43" s="1"/>
  <c r="E101" i="43"/>
  <c r="AZ5" i="3"/>
  <c r="H101" i="43"/>
  <c r="O16" i="1"/>
  <c r="E387" i="3"/>
  <c r="E165" i="3"/>
  <c r="E311" i="3"/>
  <c r="AB6" i="3"/>
  <c r="E583" i="3"/>
  <c r="E205" i="3"/>
  <c r="E358" i="3"/>
  <c r="E551" i="3"/>
  <c r="E407" i="3"/>
  <c r="E230" i="3"/>
  <c r="AA6" i="3"/>
  <c r="E280" i="3"/>
  <c r="E124" i="3"/>
  <c r="E270" i="3"/>
  <c r="E533" i="3"/>
  <c r="AR6" i="3"/>
  <c r="E561" i="3"/>
  <c r="E538" i="3"/>
  <c r="E439" i="3"/>
  <c r="E380" i="3"/>
  <c r="E553" i="3"/>
  <c r="E215" i="3"/>
  <c r="E361" i="3"/>
  <c r="N6" i="3"/>
  <c r="E528" i="3"/>
  <c r="E239" i="3"/>
  <c r="E366" i="3"/>
  <c r="E183" i="3"/>
  <c r="E579" i="3"/>
  <c r="AJ6" i="3"/>
  <c r="E268" i="3"/>
  <c r="E217" i="3"/>
  <c r="E17" i="3"/>
  <c r="E565" i="3"/>
  <c r="E69" i="3"/>
  <c r="E298" i="3"/>
  <c r="E337" i="3"/>
  <c r="E410" i="3"/>
  <c r="E555" i="3"/>
  <c r="E388" i="3"/>
  <c r="E508" i="3"/>
  <c r="E305" i="3"/>
  <c r="E343" i="3"/>
  <c r="E530" i="3"/>
  <c r="E175" i="3"/>
  <c r="E535" i="3"/>
  <c r="E445" i="3"/>
  <c r="E172" i="3"/>
  <c r="E563" i="3"/>
  <c r="H11" i="85"/>
  <c r="F11" i="85"/>
  <c r="J11" i="85"/>
  <c r="E8" i="6"/>
  <c r="E13" i="6"/>
  <c r="E58" i="40" s="1"/>
  <c r="E12" i="6"/>
  <c r="E57" i="40" s="1"/>
  <c r="E15" i="6"/>
  <c r="E60" i="40" s="1"/>
  <c r="E14" i="6"/>
  <c r="E59" i="40" s="1"/>
  <c r="M10" i="1"/>
  <c r="Q16" i="1"/>
  <c r="A2" i="88"/>
  <c r="I52" i="37"/>
  <c r="J52" i="37" s="1"/>
  <c r="K52" i="37" s="1"/>
  <c r="L52" i="37" s="1"/>
  <c r="M52" i="37" s="1"/>
  <c r="N52" i="37" s="1"/>
  <c r="O52" i="37" s="1"/>
  <c r="H7" i="37"/>
  <c r="F7" i="37"/>
  <c r="J7" i="37"/>
  <c r="G58" i="21"/>
  <c r="H58" i="21" s="1"/>
  <c r="I58" i="21" s="1"/>
  <c r="J58" i="21" s="1"/>
  <c r="K58" i="21" s="1"/>
  <c r="L58" i="21" s="1"/>
  <c r="M58" i="21" s="1"/>
  <c r="N58" i="21" s="1"/>
  <c r="O58" i="21" s="1"/>
  <c r="J7" i="21"/>
  <c r="H7" i="21"/>
  <c r="L48" i="35"/>
  <c r="M48" i="35" s="1"/>
  <c r="N48" i="35" s="1"/>
  <c r="O48" i="35" s="1"/>
  <c r="F7" i="35"/>
  <c r="H7" i="35"/>
  <c r="J7" i="35"/>
  <c r="E59" i="34"/>
  <c r="D46" i="36"/>
  <c r="E46" i="36" s="1"/>
  <c r="F46" i="36" s="1"/>
  <c r="G46" i="36" s="1"/>
  <c r="H46" i="36" s="1"/>
  <c r="I46" i="36" s="1"/>
  <c r="J46" i="36" s="1"/>
  <c r="K46" i="36" s="1"/>
  <c r="L46" i="36" s="1"/>
  <c r="M46" i="36" s="1"/>
  <c r="N46" i="36" s="1"/>
  <c r="O46" i="36" s="1"/>
  <c r="J7" i="36"/>
  <c r="H7" i="36"/>
  <c r="F7" i="21"/>
  <c r="C77" i="88"/>
  <c r="C74" i="88" s="1"/>
  <c r="C48" i="86"/>
  <c r="C36" i="68"/>
  <c r="C28" i="91"/>
  <c r="C28" i="90"/>
  <c r="C28" i="87"/>
  <c r="C30" i="86"/>
  <c r="F11" i="1"/>
  <c r="F9" i="1"/>
  <c r="D63" i="40"/>
  <c r="F7" i="33"/>
  <c r="J7" i="33"/>
  <c r="C36" i="11"/>
  <c r="C77" i="9"/>
  <c r="C74" i="9" s="1"/>
  <c r="J51" i="91"/>
  <c r="J51" i="90"/>
  <c r="J51" i="87"/>
  <c r="M47" i="88"/>
  <c r="F37" i="77"/>
  <c r="M9" i="77"/>
  <c r="M28" i="67"/>
  <c r="F13" i="67"/>
  <c r="L47" i="15"/>
  <c r="F36" i="87"/>
  <c r="M6" i="79"/>
  <c r="L47" i="91"/>
  <c r="B12" i="76"/>
  <c r="F40" i="79"/>
  <c r="M24" i="67"/>
  <c r="J15" i="87"/>
  <c r="M27" i="91"/>
  <c r="M26" i="91"/>
  <c r="F26" i="79"/>
  <c r="F9" i="15"/>
  <c r="F43" i="77"/>
  <c r="F26" i="91"/>
  <c r="M9" i="15"/>
  <c r="F42" i="79"/>
  <c r="D2" i="34"/>
  <c r="C76" i="77"/>
  <c r="F41" i="15"/>
  <c r="C76" i="91"/>
  <c r="F40" i="87"/>
  <c r="L47" i="79"/>
  <c r="M8" i="15"/>
  <c r="M28" i="87"/>
  <c r="D7" i="73"/>
  <c r="F7" i="79"/>
  <c r="F7" i="91"/>
  <c r="B7" i="76"/>
  <c r="M23" i="77"/>
  <c r="F42" i="91"/>
  <c r="J15" i="67"/>
  <c r="F43" i="67"/>
  <c r="F9" i="79"/>
  <c r="F37" i="15"/>
  <c r="J15" i="15"/>
  <c r="M28" i="79"/>
  <c r="F42" i="67"/>
  <c r="F16" i="15"/>
  <c r="M6" i="67"/>
  <c r="M24" i="79"/>
  <c r="F8" i="15"/>
  <c r="F37" i="91"/>
  <c r="F26" i="67"/>
  <c r="L48" i="77"/>
  <c r="F6" i="87"/>
  <c r="F43" i="15"/>
  <c r="D35" i="78"/>
  <c r="M8" i="87"/>
  <c r="F20" i="31"/>
  <c r="C76" i="90"/>
  <c r="F6" i="90"/>
  <c r="M26" i="90"/>
  <c r="F37" i="90"/>
  <c r="L48" i="15"/>
  <c r="L48" i="79"/>
  <c r="M22" i="90"/>
  <c r="F16" i="77"/>
  <c r="F7" i="77"/>
  <c r="M9" i="91"/>
  <c r="M24" i="15"/>
  <c r="F6" i="67"/>
  <c r="F26" i="87"/>
  <c r="M26" i="79"/>
  <c r="J15" i="91"/>
  <c r="M26" i="67"/>
  <c r="M23" i="79"/>
  <c r="F16" i="67"/>
  <c r="F16" i="87"/>
  <c r="F41" i="79"/>
  <c r="F13" i="77"/>
  <c r="F26" i="15"/>
  <c r="M23" i="87"/>
  <c r="AO8" i="1"/>
  <c r="F6" i="91"/>
  <c r="E12" i="76"/>
  <c r="F37" i="87"/>
  <c r="M27" i="67"/>
  <c r="F7" i="15"/>
  <c r="F37" i="79"/>
  <c r="M24" i="77"/>
  <c r="F3" i="73"/>
  <c r="M9" i="67"/>
  <c r="AO11" i="1"/>
  <c r="M9" i="87"/>
  <c r="L48" i="91"/>
  <c r="M27" i="79"/>
  <c r="C76" i="79"/>
  <c r="M8" i="77"/>
  <c r="F42" i="77"/>
  <c r="F40" i="91"/>
  <c r="F6" i="73"/>
  <c r="D2" i="35"/>
  <c r="F13" i="87"/>
  <c r="F7" i="73"/>
  <c r="M6" i="87"/>
  <c r="C36" i="86"/>
  <c r="F5" i="73"/>
  <c r="E8" i="76"/>
  <c r="M26" i="77"/>
  <c r="M8" i="79"/>
  <c r="F8" i="79"/>
  <c r="M6" i="77"/>
  <c r="F6" i="79"/>
  <c r="F8" i="77"/>
  <c r="M23" i="67"/>
  <c r="F38" i="15"/>
  <c r="F7" i="87"/>
  <c r="F8" i="87"/>
  <c r="M29" i="87"/>
  <c r="F43" i="90"/>
  <c r="F9" i="90"/>
  <c r="F36" i="90"/>
  <c r="J15" i="90"/>
  <c r="F40" i="90"/>
  <c r="F38" i="90"/>
  <c r="F8" i="90"/>
  <c r="E2" i="69"/>
  <c r="M29" i="90"/>
  <c r="M27" i="90"/>
  <c r="F7" i="67"/>
  <c r="D5" i="73"/>
  <c r="M28" i="77"/>
  <c r="M8" i="91"/>
  <c r="E13" i="76"/>
  <c r="E7" i="76"/>
  <c r="F42" i="15"/>
  <c r="F36" i="79"/>
  <c r="M23" i="91"/>
  <c r="E11" i="76"/>
  <c r="F43" i="91"/>
  <c r="F36" i="67"/>
  <c r="D2" i="37"/>
  <c r="M29" i="91"/>
  <c r="AO10" i="1"/>
  <c r="B10" i="76"/>
  <c r="AO13" i="1"/>
  <c r="L48" i="87"/>
  <c r="F26" i="77"/>
  <c r="F9" i="67"/>
  <c r="F38" i="87"/>
  <c r="F16" i="91"/>
  <c r="M26" i="87"/>
  <c r="M24" i="87"/>
  <c r="F4" i="73"/>
  <c r="B8" i="76"/>
  <c r="F9" i="91"/>
  <c r="F13" i="79"/>
  <c r="F43" i="79"/>
  <c r="M28" i="91"/>
  <c r="L47" i="87"/>
  <c r="B11" i="76"/>
  <c r="D34" i="9"/>
  <c r="F36" i="77"/>
  <c r="F40" i="77"/>
  <c r="E2" i="86"/>
  <c r="D2" i="36"/>
  <c r="M29" i="67"/>
  <c r="F36" i="91"/>
  <c r="M28" i="15"/>
  <c r="L47" i="67"/>
  <c r="D35" i="9"/>
  <c r="F38" i="91"/>
  <c r="F38" i="77"/>
  <c r="E2" i="68"/>
  <c r="E9" i="76"/>
  <c r="F41" i="87"/>
  <c r="M26" i="15"/>
  <c r="F27" i="86"/>
  <c r="M29" i="77"/>
  <c r="M22" i="91"/>
  <c r="F6" i="15"/>
  <c r="L47" i="77"/>
  <c r="F9" i="87"/>
  <c r="M23" i="90"/>
  <c r="M9" i="90"/>
  <c r="M24" i="90"/>
  <c r="F26" i="90"/>
  <c r="F42" i="90"/>
  <c r="L48" i="90"/>
  <c r="F7" i="90"/>
  <c r="M8" i="90"/>
  <c r="M22" i="77"/>
  <c r="M6" i="91"/>
  <c r="M6" i="15"/>
  <c r="D2" i="21"/>
  <c r="M22" i="15"/>
  <c r="M22" i="87"/>
  <c r="M22" i="79"/>
  <c r="B13" i="76"/>
  <c r="D2" i="33"/>
  <c r="M29" i="79"/>
  <c r="F8" i="67"/>
  <c r="F38" i="79"/>
  <c r="AO9" i="1"/>
  <c r="L48" i="67"/>
  <c r="F8" i="91"/>
  <c r="F13" i="15"/>
  <c r="J15" i="77"/>
  <c r="F40" i="15"/>
  <c r="B9" i="76"/>
  <c r="M29" i="15"/>
  <c r="F37" i="67"/>
  <c r="C76" i="67"/>
  <c r="D34" i="78"/>
  <c r="F38" i="67"/>
  <c r="C76" i="87"/>
  <c r="M8" i="67"/>
  <c r="D6" i="73"/>
  <c r="J15" i="79"/>
  <c r="F40" i="67"/>
  <c r="M22" i="67"/>
  <c r="M27" i="87"/>
  <c r="F9" i="77"/>
  <c r="G1" i="73"/>
  <c r="M24" i="91"/>
  <c r="E10" i="76"/>
  <c r="D3" i="73"/>
  <c r="F43" i="87"/>
  <c r="F36" i="15"/>
  <c r="M23" i="15"/>
  <c r="F41" i="91"/>
  <c r="D9" i="86"/>
  <c r="M27" i="15"/>
  <c r="AO12" i="1"/>
  <c r="F20" i="82"/>
  <c r="F42" i="87"/>
  <c r="D4" i="73"/>
  <c r="F16" i="79"/>
  <c r="F13" i="91"/>
  <c r="M9" i="79"/>
  <c r="C76" i="15"/>
  <c r="F6" i="77"/>
  <c r="L47" i="90"/>
  <c r="F13" i="90"/>
  <c r="F16" i="90"/>
  <c r="M6" i="90"/>
  <c r="M28" i="90"/>
  <c r="F51" i="87" l="1"/>
  <c r="L58" i="77"/>
  <c r="N59" i="77"/>
  <c r="L59" i="77"/>
  <c r="M59" i="77"/>
  <c r="C6" i="77"/>
  <c r="F50" i="87"/>
  <c r="M7" i="87"/>
  <c r="C6" i="15"/>
  <c r="Q71" i="15"/>
  <c r="F71" i="15"/>
  <c r="F66" i="15"/>
  <c r="C6" i="87"/>
  <c r="C32" i="87" s="1"/>
  <c r="J60" i="77"/>
  <c r="Q48" i="77" s="1"/>
  <c r="J59" i="77"/>
  <c r="I54" i="77"/>
  <c r="J57" i="77"/>
  <c r="J55" i="77" s="1"/>
  <c r="J58" i="77" s="1"/>
  <c r="Q50" i="77" s="1"/>
  <c r="J53" i="77"/>
  <c r="L56" i="77" s="1"/>
  <c r="F51" i="77"/>
  <c r="C29" i="86"/>
  <c r="D27" i="86" s="1"/>
  <c r="C47" i="86"/>
  <c r="D45" i="86" s="1"/>
  <c r="C27" i="67"/>
  <c r="C6" i="79"/>
  <c r="C32" i="79" s="1"/>
  <c r="E20" i="43"/>
  <c r="F65" i="91"/>
  <c r="F69" i="87"/>
  <c r="F51" i="15"/>
  <c r="F51" i="79"/>
  <c r="F66" i="77"/>
  <c r="F66" i="91"/>
  <c r="C9" i="86"/>
  <c r="F70" i="67"/>
  <c r="F69" i="91"/>
  <c r="L58" i="67"/>
  <c r="M59" i="67"/>
  <c r="L59" i="67"/>
  <c r="N59" i="67"/>
  <c r="J6" i="87"/>
  <c r="F64" i="15"/>
  <c r="F65" i="15"/>
  <c r="F64" i="91"/>
  <c r="F71" i="87"/>
  <c r="F71" i="67"/>
  <c r="F68" i="91"/>
  <c r="F68" i="77"/>
  <c r="B40" i="1"/>
  <c r="F64" i="77"/>
  <c r="F50" i="91"/>
  <c r="M7" i="91"/>
  <c r="J6" i="91" s="1"/>
  <c r="Q71" i="79"/>
  <c r="F50" i="79"/>
  <c r="M7" i="79"/>
  <c r="J6" i="79" s="1"/>
  <c r="N59" i="87"/>
  <c r="L59" i="87"/>
  <c r="L58" i="87"/>
  <c r="Q60" i="87" s="1"/>
  <c r="M59" i="87"/>
  <c r="F68" i="67"/>
  <c r="J60" i="91"/>
  <c r="Q48" i="91" s="1"/>
  <c r="J59" i="91"/>
  <c r="J57" i="91"/>
  <c r="J55" i="91" s="1"/>
  <c r="J58" i="91" s="1"/>
  <c r="Q50" i="91" s="1"/>
  <c r="I54" i="91"/>
  <c r="J53" i="91"/>
  <c r="L56" i="91" s="1"/>
  <c r="F71" i="79"/>
  <c r="L59" i="79"/>
  <c r="M59" i="79"/>
  <c r="N59" i="79"/>
  <c r="Q71" i="87"/>
  <c r="F68" i="87"/>
  <c r="F66" i="67"/>
  <c r="Q71" i="91"/>
  <c r="I1" i="73"/>
  <c r="B39" i="1" s="1"/>
  <c r="F11" i="90" s="1"/>
  <c r="C53" i="90" s="1"/>
  <c r="F69" i="15"/>
  <c r="F65" i="79"/>
  <c r="Q71" i="67"/>
  <c r="Q71" i="77"/>
  <c r="F50" i="15"/>
  <c r="M7" i="15"/>
  <c r="J6" i="15" s="1"/>
  <c r="J18" i="15" s="1"/>
  <c r="F65" i="67"/>
  <c r="F65" i="87"/>
  <c r="F66" i="87"/>
  <c r="F68" i="15"/>
  <c r="C27" i="91"/>
  <c r="C6" i="91"/>
  <c r="C33" i="91" s="1"/>
  <c r="C27" i="77"/>
  <c r="F71" i="77"/>
  <c r="B8" i="92"/>
  <c r="L56" i="87"/>
  <c r="J59" i="87"/>
  <c r="L60" i="87"/>
  <c r="Q66" i="87" s="1"/>
  <c r="J57" i="87"/>
  <c r="J55" i="87" s="1"/>
  <c r="J58" i="87" s="1"/>
  <c r="Q50" i="87" s="1"/>
  <c r="L57" i="87"/>
  <c r="J60" i="87"/>
  <c r="Q48" i="87" s="1"/>
  <c r="I54" i="87"/>
  <c r="J53" i="87"/>
  <c r="L46" i="87"/>
  <c r="F51" i="91"/>
  <c r="C27" i="79"/>
  <c r="C27" i="15"/>
  <c r="I54" i="67"/>
  <c r="J57" i="67"/>
  <c r="J55" i="67" s="1"/>
  <c r="J58" i="67" s="1"/>
  <c r="Q50" i="67" s="1"/>
  <c r="J53" i="67"/>
  <c r="Q52" i="67" s="1"/>
  <c r="L56" i="67"/>
  <c r="B9" i="92"/>
  <c r="B2" i="92" s="1"/>
  <c r="F69" i="79"/>
  <c r="F66" i="79"/>
  <c r="F51" i="67"/>
  <c r="F64" i="67"/>
  <c r="F68" i="79"/>
  <c r="F71" i="91"/>
  <c r="L59" i="91"/>
  <c r="N59" i="91"/>
  <c r="M59" i="91"/>
  <c r="L58" i="91"/>
  <c r="Q73" i="91" s="1"/>
  <c r="F64" i="79"/>
  <c r="F64" i="87"/>
  <c r="C27" i="87"/>
  <c r="M59" i="15"/>
  <c r="L59" i="15"/>
  <c r="N59" i="15"/>
  <c r="M7" i="77"/>
  <c r="J6" i="77" s="1"/>
  <c r="J19" i="77" s="1"/>
  <c r="F50" i="77"/>
  <c r="F65" i="77"/>
  <c r="K4" i="4"/>
  <c r="B46" i="48" s="1"/>
  <c r="B4" i="72" s="1"/>
  <c r="E252" i="3"/>
  <c r="E290" i="3"/>
  <c r="E169" i="3"/>
  <c r="E518" i="3"/>
  <c r="E550" i="3"/>
  <c r="E509" i="3"/>
  <c r="E293" i="3"/>
  <c r="E237" i="3"/>
  <c r="E560" i="3"/>
  <c r="E133" i="3"/>
  <c r="E191" i="3"/>
  <c r="E189" i="3"/>
  <c r="E501" i="3"/>
  <c r="E390" i="3"/>
  <c r="AA29" i="35"/>
  <c r="S29" i="35"/>
  <c r="AC29" i="35"/>
  <c r="W29" i="35"/>
  <c r="U29" i="35"/>
  <c r="AB29" i="35"/>
  <c r="E511" i="3"/>
  <c r="E91" i="3"/>
  <c r="E402" i="3"/>
  <c r="E114" i="3"/>
  <c r="E231" i="3"/>
  <c r="E516" i="3"/>
  <c r="E128" i="3"/>
  <c r="E329" i="3"/>
  <c r="E207" i="3"/>
  <c r="E161" i="3"/>
  <c r="E135" i="3"/>
  <c r="E185" i="3"/>
  <c r="E245" i="3"/>
  <c r="E578" i="3"/>
  <c r="E151" i="3"/>
  <c r="E278" i="3"/>
  <c r="E153" i="3"/>
  <c r="E213" i="3"/>
  <c r="E569" i="3"/>
  <c r="E506" i="3"/>
  <c r="E320" i="3"/>
  <c r="E514" i="3"/>
  <c r="E481" i="3"/>
  <c r="E437" i="3"/>
  <c r="Q6" i="3"/>
  <c r="E330" i="3"/>
  <c r="E177" i="3"/>
  <c r="E181" i="3"/>
  <c r="E306" i="3"/>
  <c r="E510" i="3"/>
  <c r="E180" i="3"/>
  <c r="E134" i="3"/>
  <c r="E303" i="3"/>
  <c r="AN6" i="3"/>
  <c r="E247" i="3"/>
  <c r="E260" i="3"/>
  <c r="O6" i="3"/>
  <c r="E302" i="3"/>
  <c r="E282" i="3"/>
  <c r="E418" i="3"/>
  <c r="E347" i="3"/>
  <c r="E227" i="3"/>
  <c r="F51" i="90"/>
  <c r="C27" i="90"/>
  <c r="F68" i="90"/>
  <c r="C6" i="90"/>
  <c r="C33" i="90" s="1"/>
  <c r="F50" i="90"/>
  <c r="M7" i="90"/>
  <c r="J6" i="90" s="1"/>
  <c r="J18" i="90" s="1"/>
  <c r="F66" i="90"/>
  <c r="Q71" i="90"/>
  <c r="F71" i="90"/>
  <c r="F64" i="90"/>
  <c r="F65" i="90"/>
  <c r="I54" i="90"/>
  <c r="J57" i="90"/>
  <c r="J55" i="90" s="1"/>
  <c r="J58" i="90" s="1"/>
  <c r="Q50" i="90" s="1"/>
  <c r="J53" i="90"/>
  <c r="L56" i="90" s="1"/>
  <c r="J60" i="90"/>
  <c r="Q48" i="90" s="1"/>
  <c r="J59" i="90"/>
  <c r="M59" i="90"/>
  <c r="L58" i="90"/>
  <c r="Q60" i="90" s="1"/>
  <c r="L59" i="90"/>
  <c r="Q61" i="90" s="1"/>
  <c r="N59" i="90"/>
  <c r="M7" i="67"/>
  <c r="J6" i="67" s="1"/>
  <c r="J18" i="67" s="1"/>
  <c r="F50" i="67"/>
  <c r="C49" i="67" s="1"/>
  <c r="C6" i="67"/>
  <c r="I109" i="43"/>
  <c r="I102" i="43"/>
  <c r="I107" i="43"/>
  <c r="I103" i="43"/>
  <c r="C104" i="43"/>
  <c r="C107" i="43"/>
  <c r="C102" i="43"/>
  <c r="C106" i="43"/>
  <c r="C109" i="43"/>
  <c r="F109" i="43"/>
  <c r="F104" i="43"/>
  <c r="F106" i="43"/>
  <c r="F102" i="43"/>
  <c r="F103" i="43"/>
  <c r="F105" i="43"/>
  <c r="F107" i="43"/>
  <c r="D107" i="43"/>
  <c r="D109" i="43"/>
  <c r="D105" i="43"/>
  <c r="D103" i="43"/>
  <c r="D106" i="43"/>
  <c r="D104" i="43"/>
  <c r="D102" i="43"/>
  <c r="J104" i="43"/>
  <c r="J102" i="43"/>
  <c r="J109" i="43"/>
  <c r="J106" i="43"/>
  <c r="L107" i="43"/>
  <c r="L105" i="43"/>
  <c r="L103" i="43"/>
  <c r="L104" i="43"/>
  <c r="L109" i="43"/>
  <c r="L106" i="43"/>
  <c r="L102" i="43"/>
  <c r="E263" i="3"/>
  <c r="E423" i="3"/>
  <c r="AI6" i="3"/>
  <c r="E385" i="3"/>
  <c r="E229" i="3"/>
  <c r="E539" i="3"/>
  <c r="E395" i="3"/>
  <c r="E319" i="3"/>
  <c r="E328" i="3"/>
  <c r="E216" i="3"/>
  <c r="E526" i="3"/>
  <c r="E503" i="3"/>
  <c r="E396" i="3"/>
  <c r="E338" i="3"/>
  <c r="S6" i="3"/>
  <c r="E399" i="3"/>
  <c r="E559" i="3"/>
  <c r="E570" i="3"/>
  <c r="X6" i="3"/>
  <c r="E527" i="3"/>
  <c r="E474" i="3"/>
  <c r="E458" i="3"/>
  <c r="E529" i="3"/>
  <c r="E573" i="3"/>
  <c r="E532" i="3"/>
  <c r="E519" i="3"/>
  <c r="E313" i="3"/>
  <c r="E193" i="3"/>
  <c r="E224" i="3"/>
  <c r="E120" i="3"/>
  <c r="E188" i="3"/>
  <c r="E262" i="3"/>
  <c r="AK6" i="3"/>
  <c r="E97" i="3"/>
  <c r="E212" i="3"/>
  <c r="E149" i="3"/>
  <c r="E221" i="3"/>
  <c r="E254" i="3"/>
  <c r="E130" i="3"/>
  <c r="E301" i="3"/>
  <c r="E350" i="3"/>
  <c r="E586" i="3"/>
  <c r="E495" i="3"/>
  <c r="E201" i="3"/>
  <c r="E567" i="3"/>
  <c r="E415" i="3"/>
  <c r="E53" i="3"/>
  <c r="E426" i="3"/>
  <c r="E359" i="3"/>
  <c r="E304" i="3"/>
  <c r="E322" i="3"/>
  <c r="E261" i="3"/>
  <c r="E125" i="3"/>
  <c r="E294" i="3"/>
  <c r="E523" i="3"/>
  <c r="E246" i="3"/>
  <c r="V6" i="3"/>
  <c r="E335" i="3"/>
  <c r="E314" i="3"/>
  <c r="E434" i="3"/>
  <c r="E159" i="3"/>
  <c r="E228" i="3"/>
  <c r="E45" i="3"/>
  <c r="E197" i="3"/>
  <c r="E173" i="3"/>
  <c r="E369" i="3"/>
  <c r="E525" i="3"/>
  <c r="E534" i="3"/>
  <c r="T6" i="3"/>
  <c r="E405" i="3"/>
  <c r="E456" i="3"/>
  <c r="E469"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545" i="3"/>
  <c r="E143" i="3"/>
  <c r="E568" i="3"/>
  <c r="E536" i="3"/>
  <c r="E453" i="3"/>
  <c r="E244" i="3"/>
  <c r="E136" i="3"/>
  <c r="E236" i="3"/>
  <c r="E269" i="3"/>
  <c r="E89" i="3"/>
  <c r="E85"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285" i="3"/>
  <c r="E16" i="3"/>
  <c r="E296" i="3"/>
  <c r="E99" i="3"/>
  <c r="E157"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72" i="3"/>
  <c r="E106" i="3"/>
  <c r="E73" i="3"/>
  <c r="E397" i="3"/>
  <c r="E549" i="3"/>
  <c r="E196" i="3"/>
  <c r="E148" i="3"/>
  <c r="E140" i="3"/>
  <c r="E253" i="3"/>
  <c r="E199" i="3"/>
  <c r="E286" i="3"/>
  <c r="E575" i="3"/>
  <c r="E499" i="3"/>
  <c r="R6" i="3"/>
  <c r="E502" i="3"/>
  <c r="E442" i="3"/>
  <c r="E466" i="3"/>
  <c r="E541" i="3"/>
  <c r="E430" i="3"/>
  <c r="E449" i="3"/>
  <c r="E255" i="3"/>
  <c r="I3" i="6"/>
  <c r="AP6" i="3"/>
  <c r="E547" i="3"/>
  <c r="E581" i="3"/>
  <c r="E531" i="3"/>
  <c r="E444" i="3"/>
  <c r="E489" i="3"/>
  <c r="E404" i="3"/>
  <c r="E28" i="3"/>
  <c r="E88" i="3"/>
  <c r="E70"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54" i="3"/>
  <c r="I6" i="3"/>
  <c r="H6" i="3" s="1"/>
  <c r="E156" i="3"/>
  <c r="E223" i="3"/>
  <c r="E141" i="3"/>
  <c r="AD6" i="3"/>
  <c r="E552" i="3"/>
  <c r="E464" i="3"/>
  <c r="E398" i="3"/>
  <c r="E459" i="3"/>
  <c r="E566" i="3"/>
  <c r="E554" i="3"/>
  <c r="E403" i="3"/>
  <c r="E546" i="3"/>
  <c r="E71"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22" i="3"/>
  <c r="E323" i="3"/>
  <c r="E373" i="3"/>
  <c r="E82" i="3"/>
  <c r="E582" i="3"/>
  <c r="E413" i="3"/>
  <c r="E460" i="3"/>
  <c r="E520" i="3"/>
  <c r="E436" i="3"/>
  <c r="E39" i="3"/>
  <c r="E90" i="3"/>
  <c r="E57"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2" i="3"/>
  <c r="E368" i="3"/>
  <c r="E122" i="3"/>
  <c r="E167" i="3"/>
  <c r="E312" i="3"/>
  <c r="E542" i="3"/>
  <c r="E421" i="3"/>
  <c r="E487" i="3"/>
  <c r="E416" i="3"/>
  <c r="E374" i="3"/>
  <c r="E500" i="3"/>
  <c r="AS6" i="3"/>
  <c r="E476" i="3"/>
  <c r="E447" i="3"/>
  <c r="E27"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283" i="3"/>
  <c r="E309" i="3"/>
  <c r="E513" i="3"/>
  <c r="E21" i="3"/>
  <c r="E517" i="3"/>
  <c r="E435" i="3"/>
  <c r="E491" i="3"/>
  <c r="E417" i="3"/>
  <c r="E479" i="3"/>
  <c r="E56" i="3"/>
  <c r="E37"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C15" i="12"/>
  <c r="K14" i="1"/>
  <c r="E30" i="6"/>
  <c r="AC11" i="85"/>
  <c r="V47" i="85" s="1"/>
  <c r="I47" i="85" s="1"/>
  <c r="W11" i="85"/>
  <c r="AB11" i="85"/>
  <c r="T47" i="85" s="1"/>
  <c r="G47" i="85" s="1"/>
  <c r="U11" i="85"/>
  <c r="E3" i="6"/>
  <c r="AY6" i="3"/>
  <c r="B115" i="43"/>
  <c r="D117" i="43"/>
  <c r="E117" i="43" s="1"/>
  <c r="F117" i="43" s="1"/>
  <c r="G117" i="43" s="1"/>
  <c r="H117" i="43" s="1"/>
  <c r="I115" i="43"/>
  <c r="J115" i="43" s="1"/>
  <c r="K115" i="43" s="1"/>
  <c r="L115" i="43" s="1"/>
  <c r="M115" i="43" s="1"/>
  <c r="D118" i="43"/>
  <c r="E118" i="43" s="1"/>
  <c r="F118" i="43" s="1"/>
  <c r="I117" i="43"/>
  <c r="J117" i="43" s="1"/>
  <c r="K117" i="43" s="1"/>
  <c r="L117" i="43" s="1"/>
  <c r="M117" i="43" s="1"/>
  <c r="G118" i="43"/>
  <c r="H118" i="43" s="1"/>
  <c r="I118" i="43"/>
  <c r="J118" i="43" s="1"/>
  <c r="K118" i="43" s="1"/>
  <c r="L118" i="43" s="1"/>
  <c r="M118" i="43" s="1"/>
  <c r="B117" i="43"/>
  <c r="C117" i="43" s="1"/>
  <c r="B118" i="43"/>
  <c r="C118" i="43" s="1"/>
  <c r="D115" i="43"/>
  <c r="E115" i="43" s="1"/>
  <c r="F115" i="43" s="1"/>
  <c r="G115" i="43" s="1"/>
  <c r="H115" i="43" s="1"/>
  <c r="I116" i="43"/>
  <c r="J116" i="43" s="1"/>
  <c r="K116" i="43" s="1"/>
  <c r="L116" i="43" s="1"/>
  <c r="M116" i="43" s="1"/>
  <c r="B116" i="43"/>
  <c r="C116" i="43" s="1"/>
  <c r="D116" i="43"/>
  <c r="E116" i="43" s="1"/>
  <c r="F116" i="43" s="1"/>
  <c r="G116" i="43" s="1"/>
  <c r="H116" i="43" s="1"/>
  <c r="F27" i="68"/>
  <c r="F28" i="12"/>
  <c r="C29" i="12" s="1"/>
  <c r="D28" i="12" s="1"/>
  <c r="F27" i="69"/>
  <c r="F27" i="11"/>
  <c r="F27" i="6"/>
  <c r="E51" i="40"/>
  <c r="E16" i="6"/>
  <c r="AA11" i="85"/>
  <c r="R47" i="85" s="1"/>
  <c r="S11" i="85"/>
  <c r="H103" i="43"/>
  <c r="H109" i="43"/>
  <c r="H106" i="43"/>
  <c r="H102" i="43"/>
  <c r="H104" i="43"/>
  <c r="H107" i="43"/>
  <c r="H105" i="43"/>
  <c r="E104" i="43"/>
  <c r="E105" i="43"/>
  <c r="E106" i="43"/>
  <c r="E109" i="43"/>
  <c r="E107" i="43"/>
  <c r="E102" i="43"/>
  <c r="E103" i="43"/>
  <c r="N102" i="43"/>
  <c r="N104" i="43"/>
  <c r="N103" i="43"/>
  <c r="N106" i="43"/>
  <c r="N105" i="43"/>
  <c r="N109" i="43"/>
  <c r="N107" i="43"/>
  <c r="C49" i="91"/>
  <c r="C49" i="79"/>
  <c r="L58" i="79"/>
  <c r="Q60" i="79" s="1"/>
  <c r="I54" i="79"/>
  <c r="J59" i="79"/>
  <c r="J57" i="79"/>
  <c r="J55" i="79" s="1"/>
  <c r="J58" i="79" s="1"/>
  <c r="Q50" i="79" s="1"/>
  <c r="J53" i="79"/>
  <c r="L56" i="79" s="1"/>
  <c r="J60" i="79"/>
  <c r="Q48" i="79" s="1"/>
  <c r="J57" i="15"/>
  <c r="J55" i="15" s="1"/>
  <c r="J58" i="15" s="1"/>
  <c r="Q50" i="15" s="1"/>
  <c r="J60" i="15"/>
  <c r="Q48" i="15" s="1"/>
  <c r="J53" i="15"/>
  <c r="L56" i="15" s="1"/>
  <c r="I54" i="15"/>
  <c r="J59" i="15"/>
  <c r="L58" i="15"/>
  <c r="Q60" i="15" s="1"/>
  <c r="AA7" i="33"/>
  <c r="R48" i="33" s="1"/>
  <c r="S7" i="33"/>
  <c r="G11" i="1"/>
  <c r="S7" i="21"/>
  <c r="AA7" i="21"/>
  <c r="R48" i="21" s="1"/>
  <c r="U7" i="36"/>
  <c r="AB7" i="36"/>
  <c r="T36" i="36" s="1"/>
  <c r="G36" i="36" s="1"/>
  <c r="F7" i="36"/>
  <c r="F59" i="34"/>
  <c r="AB7" i="35"/>
  <c r="T38" i="35" s="1"/>
  <c r="G38" i="35" s="1"/>
  <c r="U7" i="35"/>
  <c r="AC7" i="21"/>
  <c r="V48" i="21" s="1"/>
  <c r="I48" i="21" s="1"/>
  <c r="W7" i="21"/>
  <c r="AC7" i="37"/>
  <c r="V42" i="37" s="1"/>
  <c r="I42" i="37" s="1"/>
  <c r="W7" i="37"/>
  <c r="AB7" i="37"/>
  <c r="T42" i="37" s="1"/>
  <c r="G42" i="37" s="1"/>
  <c r="U7" i="37"/>
  <c r="W7" i="33"/>
  <c r="AC7" i="33"/>
  <c r="V48" i="33" s="1"/>
  <c r="I48" i="33" s="1"/>
  <c r="D65" i="40"/>
  <c r="E63" i="40"/>
  <c r="G9" i="1"/>
  <c r="W7" i="36"/>
  <c r="AC7" i="36"/>
  <c r="V36" i="36" s="1"/>
  <c r="I36" i="36" s="1"/>
  <c r="W7" i="35"/>
  <c r="AC7" i="35"/>
  <c r="V38" i="35" s="1"/>
  <c r="I38" i="35" s="1"/>
  <c r="AA7" i="35"/>
  <c r="R38" i="35" s="1"/>
  <c r="S7" i="35"/>
  <c r="U7" i="21"/>
  <c r="AB7" i="21"/>
  <c r="T48" i="21" s="1"/>
  <c r="G48" i="21" s="1"/>
  <c r="AA7" i="37"/>
  <c r="R42" i="37" s="1"/>
  <c r="S7" i="37"/>
  <c r="M11" i="90"/>
  <c r="M11" i="77"/>
  <c r="J10" i="77" s="1"/>
  <c r="J5" i="77" s="1"/>
  <c r="F11" i="87"/>
  <c r="M11" i="79"/>
  <c r="J10" i="79" s="1"/>
  <c r="J5" i="79" s="1"/>
  <c r="M11" i="67"/>
  <c r="J10" i="67" s="1"/>
  <c r="F11" i="79"/>
  <c r="F11" i="67"/>
  <c r="F24" i="90"/>
  <c r="C24" i="90" s="1"/>
  <c r="F22" i="68"/>
  <c r="F24" i="77"/>
  <c r="C24" i="77" s="1"/>
  <c r="F24" i="15"/>
  <c r="C24" i="15" s="1"/>
  <c r="F22" i="69"/>
  <c r="F24" i="91"/>
  <c r="C24" i="91" s="1"/>
  <c r="F22" i="86"/>
  <c r="F24" i="87"/>
  <c r="C24" i="87" s="1"/>
  <c r="F24" i="79"/>
  <c r="C24" i="79" s="1"/>
  <c r="F24" i="67"/>
  <c r="C24" i="67" s="1"/>
  <c r="F25" i="12"/>
  <c r="F22" i="11"/>
  <c r="F1" i="67"/>
  <c r="Q61" i="77"/>
  <c r="Q74" i="77"/>
  <c r="O28" i="43"/>
  <c r="N28" i="43"/>
  <c r="G20" i="43" s="1"/>
  <c r="M28" i="43"/>
  <c r="P28" i="43"/>
  <c r="C33" i="87"/>
  <c r="J18" i="79"/>
  <c r="Q60" i="91"/>
  <c r="Q74" i="87"/>
  <c r="Q61" i="87"/>
  <c r="Q74" i="79"/>
  <c r="Q61" i="79"/>
  <c r="Q61" i="67"/>
  <c r="Q74" i="67"/>
  <c r="Q57" i="87"/>
  <c r="J18" i="77"/>
  <c r="F1" i="77"/>
  <c r="Q52" i="77"/>
  <c r="C32" i="77"/>
  <c r="C33" i="77"/>
  <c r="C32" i="91"/>
  <c r="Q73" i="77"/>
  <c r="Q60" i="77"/>
  <c r="C32" i="67"/>
  <c r="Q74" i="15"/>
  <c r="Q61" i="15"/>
  <c r="Q52" i="90"/>
  <c r="Q74" i="90"/>
  <c r="Q52" i="91"/>
  <c r="F1" i="91"/>
  <c r="Q74" i="91"/>
  <c r="Q61" i="91"/>
  <c r="Q73" i="87"/>
  <c r="J19" i="87"/>
  <c r="J18" i="87"/>
  <c r="Q73" i="79"/>
  <c r="C49" i="15"/>
  <c r="F1" i="15"/>
  <c r="Q60" i="67"/>
  <c r="Q73" i="67"/>
  <c r="C32" i="15"/>
  <c r="C33" i="15"/>
  <c r="Q52" i="87"/>
  <c r="F1" i="87"/>
  <c r="AE7" i="1"/>
  <c r="D19" i="78"/>
  <c r="F41" i="67"/>
  <c r="AE6" i="1"/>
  <c r="C16" i="15"/>
  <c r="C16" i="79"/>
  <c r="F41" i="90"/>
  <c r="C16" i="67"/>
  <c r="C16" i="90"/>
  <c r="C16" i="77"/>
  <c r="C16" i="87"/>
  <c r="C16" i="91"/>
  <c r="C49" i="87" l="1"/>
  <c r="J19" i="91"/>
  <c r="J18" i="91"/>
  <c r="J19" i="15"/>
  <c r="M11" i="15"/>
  <c r="J10" i="15" s="1"/>
  <c r="J5" i="15" s="1"/>
  <c r="J26" i="15" s="1"/>
  <c r="J29" i="15" s="1"/>
  <c r="F11" i="91"/>
  <c r="F11" i="15"/>
  <c r="C53" i="15" s="1"/>
  <c r="C48" i="15" s="1"/>
  <c r="C66" i="15" s="1"/>
  <c r="M11" i="87"/>
  <c r="J10" i="87" s="1"/>
  <c r="J5" i="87" s="1"/>
  <c r="M11" i="91"/>
  <c r="J10" i="91" s="1"/>
  <c r="J5" i="91" s="1"/>
  <c r="F11" i="77"/>
  <c r="C53" i="77" s="1"/>
  <c r="C49" i="77"/>
  <c r="C48" i="77" s="1"/>
  <c r="Q73" i="90"/>
  <c r="C32" i="90"/>
  <c r="Q52" i="79"/>
  <c r="J5" i="67"/>
  <c r="J24" i="67" s="1"/>
  <c r="Q73" i="15"/>
  <c r="C10" i="77"/>
  <c r="C5" i="77" s="1"/>
  <c r="C38" i="77" s="1"/>
  <c r="J10" i="90"/>
  <c r="J5" i="90" s="1"/>
  <c r="J26" i="90" s="1"/>
  <c r="J29" i="90" s="1"/>
  <c r="J19" i="90"/>
  <c r="Q52" i="15"/>
  <c r="F1" i="79"/>
  <c r="F1" i="90"/>
  <c r="F69" i="67"/>
  <c r="C49" i="90"/>
  <c r="C48" i="90" s="1"/>
  <c r="C60" i="90" s="1"/>
  <c r="F31" i="6"/>
  <c r="E27" i="6"/>
  <c r="E31" i="6" s="1"/>
  <c r="AC6" i="3"/>
  <c r="E6" i="3" s="1"/>
  <c r="M14" i="1"/>
  <c r="M16" i="1" s="1"/>
  <c r="K16" i="1"/>
  <c r="C34" i="69"/>
  <c r="C29" i="69"/>
  <c r="D27" i="69" s="1"/>
  <c r="C47" i="69"/>
  <c r="D45" i="69" s="1"/>
  <c r="C29" i="68"/>
  <c r="D27" i="68" s="1"/>
  <c r="C47" i="68"/>
  <c r="D45" i="68"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8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78" i="3"/>
  <c r="AY247" i="3"/>
  <c r="AY262" i="3"/>
  <c r="AY230" i="3"/>
  <c r="AY219" i="3"/>
  <c r="AY397" i="3"/>
  <c r="AY374" i="3"/>
  <c r="AY360" i="3"/>
  <c r="BH6" i="3"/>
  <c r="AY109" i="3"/>
  <c r="AY73" i="3"/>
  <c r="AY56" i="3"/>
  <c r="AY202"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302" i="3"/>
  <c r="AY271" i="3"/>
  <c r="AY239" i="3"/>
  <c r="AY254" i="3"/>
  <c r="AY222" i="3"/>
  <c r="AY211" i="3"/>
  <c r="AY389" i="3"/>
  <c r="AY365" i="3"/>
  <c r="BS6" i="3"/>
  <c r="BI6" i="3"/>
  <c r="AY93" i="3"/>
  <c r="AY57" i="3"/>
  <c r="AY40" i="3"/>
  <c r="AY186" i="3"/>
  <c r="AY150" i="3"/>
  <c r="AY130" i="3"/>
  <c r="AY279" i="3"/>
  <c r="AY243" i="3"/>
  <c r="AY226" i="3"/>
  <c r="AY393" i="3"/>
  <c r="AY145" i="3"/>
  <c r="AY259" i="3"/>
  <c r="AY388" i="3"/>
  <c r="AY356" i="3"/>
  <c r="AY325" i="3"/>
  <c r="AY340" i="3"/>
  <c r="AY308" i="3"/>
  <c r="AY100" i="3"/>
  <c r="AY84" i="3"/>
  <c r="AY20" i="3"/>
  <c r="AY193" i="3"/>
  <c r="AY173" i="3"/>
  <c r="AY134" i="3"/>
  <c r="AY83" i="3"/>
  <c r="AY144" i="3"/>
  <c r="AY152" i="3"/>
  <c r="AY253" i="3"/>
  <c r="AY303" i="3"/>
  <c r="AY529" i="3"/>
  <c r="AY217" i="3"/>
  <c r="AY463" i="3"/>
  <c r="AY544" i="3"/>
  <c r="AY92" i="3"/>
  <c r="AY33" i="3"/>
  <c r="AY165" i="3"/>
  <c r="AY294" i="3"/>
  <c r="AY231" i="3"/>
  <c r="AY214" i="3"/>
  <c r="AY381" i="3"/>
  <c r="AY554" i="3"/>
  <c r="AY104" i="3"/>
  <c r="AY24" i="3"/>
  <c r="AY23" i="3"/>
  <c r="AY59" i="3"/>
  <c r="AY58" i="3"/>
  <c r="AY371" i="3"/>
  <c r="AY428" i="3"/>
  <c r="AY245" i="3"/>
  <c r="AY342" i="3"/>
  <c r="AY513" i="3"/>
  <c r="AY553" i="3"/>
  <c r="AY60" i="3"/>
  <c r="AY170" i="3"/>
  <c r="AY299" i="3"/>
  <c r="AY255" i="3"/>
  <c r="AY238" i="3"/>
  <c r="AY384" i="3"/>
  <c r="AY368" i="3"/>
  <c r="BB6" i="3"/>
  <c r="AY72" i="3"/>
  <c r="AY181" i="3"/>
  <c r="AY121" i="3"/>
  <c r="AY258" i="3"/>
  <c r="AY166" i="3"/>
  <c r="AY242" i="3"/>
  <c r="AY341" i="3"/>
  <c r="AY324"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4" i="3"/>
  <c r="AY274"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105" i="3"/>
  <c r="AY69" i="3"/>
  <c r="AY52" i="3"/>
  <c r="AY198" i="3"/>
  <c r="AY162" i="3"/>
  <c r="AY141" i="3"/>
  <c r="AY291" i="3"/>
  <c r="AY34" i="3"/>
  <c r="AY95" i="3"/>
  <c r="AY111" i="3"/>
  <c r="AY382" i="3"/>
  <c r="AY460" i="3"/>
  <c r="AY300" i="3"/>
  <c r="AY327" i="3"/>
  <c r="AY401" i="3"/>
  <c r="BE6" i="3"/>
  <c r="AY76" i="3"/>
  <c r="AY185" i="3"/>
  <c r="AY125" i="3"/>
  <c r="AY263" i="3"/>
  <c r="AY246" i="3"/>
  <c r="AY392" i="3"/>
  <c r="AY357" i="3"/>
  <c r="BJ6" i="3"/>
  <c r="AY41" i="3"/>
  <c r="AY197" i="3"/>
  <c r="AY155" i="3"/>
  <c r="AY131" i="3"/>
  <c r="AY268" i="3"/>
  <c r="AY318" i="3"/>
  <c r="AY106" i="3"/>
  <c r="AY395" i="3"/>
  <c r="AY452" i="3"/>
  <c r="AY569" i="3"/>
  <c r="AY77" i="3"/>
  <c r="AY206" i="3"/>
  <c r="AY149" i="3"/>
  <c r="AY286" i="3"/>
  <c r="AY270" i="3"/>
  <c r="AY227" i="3"/>
  <c r="AY373" i="3"/>
  <c r="AY507" i="3"/>
  <c r="AY88" i="3"/>
  <c r="AY29" i="3"/>
  <c r="AY161" i="3"/>
  <c r="AY275" i="3"/>
  <c r="AY215" i="3"/>
  <c r="AY295" i="3"/>
  <c r="AY370" i="3"/>
  <c r="AY309"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34" i="3"/>
  <c r="AY501" i="3"/>
  <c r="AY582" i="3"/>
  <c r="AY65" i="3"/>
  <c r="AY194" i="3"/>
  <c r="AY137" i="3"/>
  <c r="AY251" i="3"/>
  <c r="AY329" i="3"/>
  <c r="AY468" i="3"/>
  <c r="AY407" i="3"/>
  <c r="AY502" i="3"/>
  <c r="AY509" i="3"/>
  <c r="BR6" i="3"/>
  <c r="BA6" i="3"/>
  <c r="AY35" i="3"/>
  <c r="AY167" i="3"/>
  <c r="AY280" i="3"/>
  <c r="AY221" i="3"/>
  <c r="AY331" i="3"/>
  <c r="AY466" i="3"/>
  <c r="AY405" i="3"/>
  <c r="AY512" i="3"/>
  <c r="AY86" i="3"/>
  <c r="AY70" i="3"/>
  <c r="AY159" i="3"/>
  <c r="AY273" i="3"/>
  <c r="AY213" i="3"/>
  <c r="AY323" i="3"/>
  <c r="AY459" i="3"/>
  <c r="AY504" i="3"/>
  <c r="AY585" i="3"/>
  <c r="AY571" i="3"/>
  <c r="BG6" i="3"/>
  <c r="AY494" i="3"/>
  <c r="AY101" i="3"/>
  <c r="AY48" i="3"/>
  <c r="AY158" i="3"/>
  <c r="AY287" i="3"/>
  <c r="AY234" i="3"/>
  <c r="AY364" i="3"/>
  <c r="AY344" i="3"/>
  <c r="AY471" i="3"/>
  <c r="AY458" i="3"/>
  <c r="AY43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5" i="3"/>
  <c r="AY380" i="3"/>
  <c r="AY312" i="3"/>
  <c r="AY426" i="3"/>
  <c r="AY499" i="3"/>
  <c r="D3" i="6"/>
  <c r="AY531" i="3"/>
  <c r="AY94" i="3"/>
  <c r="AY78" i="3"/>
  <c r="AY187" i="3"/>
  <c r="AY127" i="3"/>
  <c r="AY264" i="3"/>
  <c r="AY376" i="3"/>
  <c r="AY314" i="3"/>
  <c r="AY424" i="3"/>
  <c r="AY517" i="3"/>
  <c r="AY587" i="3"/>
  <c r="AY27" i="3"/>
  <c r="AY179" i="3"/>
  <c r="AY119" i="3"/>
  <c r="AY256" i="3"/>
  <c r="AY367" i="3"/>
  <c r="AY306" i="3"/>
  <c r="AY416" i="3"/>
  <c r="AY550" i="3"/>
  <c r="BC6" i="3"/>
  <c r="AY498" i="3"/>
  <c r="C34" i="68"/>
  <c r="N16" i="1"/>
  <c r="L16" i="1"/>
  <c r="C34" i="11"/>
  <c r="R48" i="85"/>
  <c r="E47" i="85"/>
  <c r="I52" i="85" s="1"/>
  <c r="J52" i="85" s="1"/>
  <c r="C47" i="11"/>
  <c r="D45" i="11" s="1"/>
  <c r="C29" i="11"/>
  <c r="D27" i="11" s="1"/>
  <c r="C115" i="43"/>
  <c r="D113" i="43" s="1"/>
  <c r="E6" i="6"/>
  <c r="M18" i="9"/>
  <c r="B118" i="9" s="1"/>
  <c r="B14" i="74" s="1"/>
  <c r="B1" i="74" s="1"/>
  <c r="D3" i="37"/>
  <c r="D3" i="21"/>
  <c r="D37" i="11"/>
  <c r="C37" i="11" s="1"/>
  <c r="D14" i="12"/>
  <c r="D19" i="11"/>
  <c r="C19" i="11" s="1"/>
  <c r="C17" i="4"/>
  <c r="B4" i="52" s="1"/>
  <c r="B43" i="72" s="1"/>
  <c r="L18" i="9"/>
  <c r="G51" i="85"/>
  <c r="H51" i="85" s="1"/>
  <c r="G52" i="85"/>
  <c r="H52" i="85" s="1"/>
  <c r="I51" i="85"/>
  <c r="J51" i="85" s="1"/>
  <c r="G16" i="1"/>
  <c r="F10" i="40" s="1"/>
  <c r="C10" i="90"/>
  <c r="C5" i="90" s="1"/>
  <c r="C38" i="90" s="1"/>
  <c r="G52" i="21"/>
  <c r="H52" i="21" s="1"/>
  <c r="G53" i="21"/>
  <c r="H53" i="21" s="1"/>
  <c r="I42" i="35"/>
  <c r="J42" i="35" s="1"/>
  <c r="I40" i="36"/>
  <c r="J40" i="36" s="1"/>
  <c r="J10" i="40"/>
  <c r="G47" i="37"/>
  <c r="H47" i="37" s="1"/>
  <c r="G46" i="37"/>
  <c r="H46" i="37" s="1"/>
  <c r="I46" i="37"/>
  <c r="J46" i="37" s="1"/>
  <c r="I52" i="21"/>
  <c r="J52" i="21" s="1"/>
  <c r="G43" i="35"/>
  <c r="H43" i="35" s="1"/>
  <c r="G42" i="35"/>
  <c r="H42" i="35" s="1"/>
  <c r="G59" i="34"/>
  <c r="G40" i="36"/>
  <c r="H40" i="36" s="1"/>
  <c r="G41" i="36"/>
  <c r="H41" i="36" s="1"/>
  <c r="E48" i="21"/>
  <c r="R49" i="21"/>
  <c r="E48" i="33"/>
  <c r="R49" i="33"/>
  <c r="E42" i="37"/>
  <c r="R43" i="37"/>
  <c r="R39" i="35"/>
  <c r="E38" i="35"/>
  <c r="I43" i="35" s="1"/>
  <c r="J43" i="35" s="1"/>
  <c r="E65" i="40"/>
  <c r="F63" i="40"/>
  <c r="I52" i="33"/>
  <c r="J52" i="33" s="1"/>
  <c r="G53" i="33"/>
  <c r="H53" i="33" s="1"/>
  <c r="I53" i="33"/>
  <c r="J53" i="33" s="1"/>
  <c r="AA7" i="36"/>
  <c r="R36" i="36" s="1"/>
  <c r="S7" i="36"/>
  <c r="D21" i="78"/>
  <c r="D102" i="78"/>
  <c r="F69" i="90"/>
  <c r="AG6" i="1"/>
  <c r="J24" i="90"/>
  <c r="J24" i="15"/>
  <c r="B3" i="92"/>
  <c r="J24" i="87"/>
  <c r="J26" i="87"/>
  <c r="J29" i="87" s="1"/>
  <c r="J26" i="67"/>
  <c r="J29" i="67" s="1"/>
  <c r="C26" i="12"/>
  <c r="D25" i="12" s="1"/>
  <c r="C24" i="86"/>
  <c r="C44" i="86"/>
  <c r="D41" i="86" s="1"/>
  <c r="C26" i="86"/>
  <c r="D22" i="86" s="1"/>
  <c r="C44" i="69"/>
  <c r="D41" i="69" s="1"/>
  <c r="C26" i="69"/>
  <c r="D22" i="69" s="1"/>
  <c r="J24" i="77"/>
  <c r="J26" i="79"/>
  <c r="J29" i="79" s="1"/>
  <c r="J24" i="79"/>
  <c r="E41" i="43"/>
  <c r="C41" i="43" s="1"/>
  <c r="C20" i="43"/>
  <c r="C24" i="11"/>
  <c r="C44" i="11"/>
  <c r="D41" i="11" s="1"/>
  <c r="C26" i="11"/>
  <c r="D22" i="11" s="1"/>
  <c r="C23" i="11"/>
  <c r="C44" i="68"/>
  <c r="D41" i="68" s="1"/>
  <c r="C24" i="68"/>
  <c r="C26" i="68"/>
  <c r="D22" i="68" s="1"/>
  <c r="C10" i="67"/>
  <c r="C5" i="67" s="1"/>
  <c r="C53" i="67"/>
  <c r="C48" i="67" s="1"/>
  <c r="C53" i="79"/>
  <c r="C48" i="79" s="1"/>
  <c r="C10" i="79"/>
  <c r="C5" i="79" s="1"/>
  <c r="C53" i="87"/>
  <c r="C48" i="87" s="1"/>
  <c r="C10" i="87"/>
  <c r="C5" i="87" s="1"/>
  <c r="F41" i="77"/>
  <c r="D20" i="78"/>
  <c r="M27" i="77"/>
  <c r="C66" i="77" l="1"/>
  <c r="C60" i="77"/>
  <c r="J26" i="91"/>
  <c r="J29" i="91" s="1"/>
  <c r="J24" i="91"/>
  <c r="C10" i="15"/>
  <c r="C5" i="15" s="1"/>
  <c r="C38" i="15" s="1"/>
  <c r="C60" i="15"/>
  <c r="C53" i="91"/>
  <c r="C48" i="91" s="1"/>
  <c r="C66" i="91" s="1"/>
  <c r="C10" i="91"/>
  <c r="C5" i="91" s="1"/>
  <c r="C38" i="91" s="1"/>
  <c r="C60" i="91"/>
  <c r="F69" i="77"/>
  <c r="C66" i="90"/>
  <c r="K22" i="6"/>
  <c r="K19" i="6"/>
  <c r="K26" i="6"/>
  <c r="M26" i="6" s="1"/>
  <c r="I26" i="6" s="1"/>
  <c r="S26" i="6" s="1"/>
  <c r="K21" i="6"/>
  <c r="K20" i="6"/>
  <c r="K23" i="6"/>
  <c r="K24" i="6"/>
  <c r="K25" i="6"/>
  <c r="M25" i="6" s="1"/>
  <c r="I25" i="6" s="1"/>
  <c r="S25" i="6" s="1"/>
  <c r="H10" i="40"/>
  <c r="C35" i="69"/>
  <c r="C38" i="69"/>
  <c r="D17" i="12"/>
  <c r="C17" i="12" s="1"/>
  <c r="C14" i="12"/>
  <c r="C16" i="12" s="1"/>
  <c r="C8" i="74"/>
  <c r="C7" i="74"/>
  <c r="E51" i="85"/>
  <c r="F51" i="85" s="1"/>
  <c r="E52" i="85"/>
  <c r="F52" i="85" s="1"/>
  <c r="C38" i="11"/>
  <c r="C35" i="11"/>
  <c r="F50" i="86"/>
  <c r="F50" i="68"/>
  <c r="F50" i="11"/>
  <c r="F50" i="69"/>
  <c r="C20" i="11"/>
  <c r="C25" i="11" s="1"/>
  <c r="C22" i="11" s="1"/>
  <c r="D10" i="68"/>
  <c r="D10" i="11"/>
  <c r="C10" i="11" s="1"/>
  <c r="D20" i="12"/>
  <c r="C20" i="12" s="1"/>
  <c r="D10" i="69"/>
  <c r="C48" i="85"/>
  <c r="C47" i="85"/>
  <c r="C35" i="68"/>
  <c r="C38" i="68"/>
  <c r="D15" i="6"/>
  <c r="D21" i="6"/>
  <c r="D20" i="6"/>
  <c r="D12" i="6"/>
  <c r="D13" i="6"/>
  <c r="E61" i="40"/>
  <c r="D6" i="6"/>
  <c r="D25" i="6"/>
  <c r="D22" i="6"/>
  <c r="D24" i="6"/>
  <c r="D5" i="6"/>
  <c r="D11" i="6"/>
  <c r="D28" i="6"/>
  <c r="D19" i="6"/>
  <c r="D26" i="6"/>
  <c r="D8" i="6"/>
  <c r="D14" i="6"/>
  <c r="D9" i="6"/>
  <c r="D29" i="6"/>
  <c r="H25" i="6"/>
  <c r="H26" i="6"/>
  <c r="M19" i="9"/>
  <c r="C118" i="9" s="1"/>
  <c r="C14" i="74" s="1"/>
  <c r="B2" i="74" s="1"/>
  <c r="C18" i="4"/>
  <c r="D23" i="6"/>
  <c r="D10" i="6"/>
  <c r="L19" i="9"/>
  <c r="C39" i="35"/>
  <c r="C38" i="35"/>
  <c r="E46" i="37"/>
  <c r="F46" i="37" s="1"/>
  <c r="E47" i="37"/>
  <c r="F47" i="37" s="1"/>
  <c r="E53" i="33"/>
  <c r="F53" i="33" s="1"/>
  <c r="E52" i="33"/>
  <c r="F52" i="33" s="1"/>
  <c r="E53" i="21"/>
  <c r="F53" i="21" s="1"/>
  <c r="E52" i="21"/>
  <c r="F52" i="21" s="1"/>
  <c r="I53" i="21"/>
  <c r="J53" i="21" s="1"/>
  <c r="I47" i="37"/>
  <c r="J47" i="37" s="1"/>
  <c r="S10" i="40"/>
  <c r="AA10" i="40"/>
  <c r="E36" i="36"/>
  <c r="R37" i="36"/>
  <c r="F65" i="40"/>
  <c r="G63" i="40"/>
  <c r="E43" i="35"/>
  <c r="F43" i="35" s="1"/>
  <c r="E42" i="35"/>
  <c r="F42" i="35" s="1"/>
  <c r="C42" i="37"/>
  <c r="C43" i="37"/>
  <c r="B2" i="37" s="1"/>
  <c r="B3" i="37" s="1"/>
  <c r="C48" i="33"/>
  <c r="C49" i="33"/>
  <c r="C49" i="21"/>
  <c r="B2" i="21" s="1"/>
  <c r="B3" i="21" s="1"/>
  <c r="C48" i="21"/>
  <c r="H59" i="34"/>
  <c r="AB10" i="40"/>
  <c r="U10" i="40"/>
  <c r="W10" i="40"/>
  <c r="AC10" i="40"/>
  <c r="D103" i="78"/>
  <c r="C60" i="67"/>
  <c r="C66" i="67"/>
  <c r="C38" i="87"/>
  <c r="C29" i="43"/>
  <c r="C34" i="43"/>
  <c r="T5" i="43"/>
  <c r="V5" i="43" s="1"/>
  <c r="T7" i="43"/>
  <c r="V7" i="43" s="1"/>
  <c r="T8" i="43"/>
  <c r="V8" i="43" s="1"/>
  <c r="T11" i="43"/>
  <c r="V11" i="43" s="1"/>
  <c r="T9" i="43"/>
  <c r="V9" i="43" s="1"/>
  <c r="T14" i="43"/>
  <c r="V14" i="43" s="1"/>
  <c r="C37" i="43"/>
  <c r="C36" i="43"/>
  <c r="T16" i="43"/>
  <c r="V16" i="43" s="1"/>
  <c r="T4" i="43"/>
  <c r="V4" i="43" s="1"/>
  <c r="T12" i="43"/>
  <c r="V12" i="43" s="1"/>
  <c r="T15" i="43"/>
  <c r="V15" i="43" s="1"/>
  <c r="C35" i="43"/>
  <c r="T6" i="43"/>
  <c r="V6" i="43" s="1"/>
  <c r="T13" i="43"/>
  <c r="V13" i="43" s="1"/>
  <c r="T3" i="43"/>
  <c r="V3" i="43" s="1"/>
  <c r="C33" i="43"/>
  <c r="T10" i="43"/>
  <c r="V10" i="43" s="1"/>
  <c r="T2" i="43"/>
  <c r="V2" i="43" s="1"/>
  <c r="C38" i="79"/>
  <c r="C66" i="87"/>
  <c r="C60" i="87"/>
  <c r="C60" i="79"/>
  <c r="C66" i="79"/>
  <c r="C38" i="67"/>
  <c r="C38" i="43"/>
  <c r="C39" i="43"/>
  <c r="C33" i="11" l="1"/>
  <c r="M23" i="6"/>
  <c r="I23" i="6" s="1"/>
  <c r="S10" i="1"/>
  <c r="S8" i="1"/>
  <c r="M21" i="6"/>
  <c r="I21" i="6" s="1"/>
  <c r="M19" i="6"/>
  <c r="S6" i="1"/>
  <c r="K27" i="6"/>
  <c r="M24" i="6"/>
  <c r="I24" i="6" s="1"/>
  <c r="S11" i="1"/>
  <c r="S7" i="1"/>
  <c r="M20" i="6"/>
  <c r="I20" i="6" s="1"/>
  <c r="M22" i="6"/>
  <c r="I22" i="6" s="1"/>
  <c r="S9" i="1"/>
  <c r="C39" i="11"/>
  <c r="C42" i="11"/>
  <c r="A7" i="51"/>
  <c r="B7" i="72" s="1"/>
  <c r="C4" i="52"/>
  <c r="B45" i="72" s="1"/>
  <c r="A10" i="51"/>
  <c r="B9" i="72" s="1"/>
  <c r="D16" i="6"/>
  <c r="D27" i="6"/>
  <c r="M19" i="80"/>
  <c r="C118" i="80" s="1"/>
  <c r="R25" i="6"/>
  <c r="B56" i="85"/>
  <c r="B60" i="85"/>
  <c r="F60" i="85" s="1"/>
  <c r="B65" i="85"/>
  <c r="F65" i="85" s="1"/>
  <c r="B58" i="85"/>
  <c r="F58" i="85" s="1"/>
  <c r="B63" i="85"/>
  <c r="F63" i="85" s="1"/>
  <c r="B59" i="85"/>
  <c r="F59" i="85" s="1"/>
  <c r="B64" i="85"/>
  <c r="F64" i="85" s="1"/>
  <c r="B57" i="85"/>
  <c r="F57" i="85" s="1"/>
  <c r="B61" i="85"/>
  <c r="F61" i="85" s="1"/>
  <c r="B62" i="85"/>
  <c r="F62" i="85" s="1"/>
  <c r="C10" i="68"/>
  <c r="B29" i="1" s="1"/>
  <c r="C8" i="68" s="1"/>
  <c r="D19" i="68"/>
  <c r="D37" i="68" s="1"/>
  <c r="C37" i="68" s="1"/>
  <c r="C33" i="68" s="1"/>
  <c r="C28" i="11"/>
  <c r="C27" i="11" s="1"/>
  <c r="C31" i="11" s="1"/>
  <c r="M19" i="88"/>
  <c r="C118" i="88" s="1"/>
  <c r="D8" i="74"/>
  <c r="D7" i="74"/>
  <c r="R26" i="6"/>
  <c r="D30" i="6"/>
  <c r="C10" i="69"/>
  <c r="C8" i="69" s="1"/>
  <c r="C5" i="69" s="1"/>
  <c r="D19" i="69"/>
  <c r="J59" i="67"/>
  <c r="J60" i="67" s="1"/>
  <c r="Q48" i="67" s="1"/>
  <c r="I59" i="34"/>
  <c r="E40" i="36"/>
  <c r="F40" i="36" s="1"/>
  <c r="E41" i="36"/>
  <c r="F41" i="36" s="1"/>
  <c r="I41" i="36"/>
  <c r="J41" i="36" s="1"/>
  <c r="B3" i="35"/>
  <c r="B2" i="35"/>
  <c r="B2" i="33"/>
  <c r="B3" i="33"/>
  <c r="R24" i="31" s="1"/>
  <c r="H63" i="40"/>
  <c r="G65" i="40"/>
  <c r="C37" i="36"/>
  <c r="B2" i="36" s="1"/>
  <c r="B3" i="36" s="1"/>
  <c r="C36" i="36"/>
  <c r="G33" i="43"/>
  <c r="I33" i="43" s="1"/>
  <c r="E33" i="43"/>
  <c r="E35" i="43"/>
  <c r="G35" i="43"/>
  <c r="I35" i="43" s="1"/>
  <c r="G37" i="43"/>
  <c r="I37" i="43" s="1"/>
  <c r="E37" i="43"/>
  <c r="C30" i="43"/>
  <c r="E30" i="43" s="1"/>
  <c r="C27" i="43" s="1"/>
  <c r="E29" i="43"/>
  <c r="C26" i="43" s="1"/>
  <c r="G38" i="43"/>
  <c r="I38" i="43" s="1"/>
  <c r="E38" i="43"/>
  <c r="G39" i="43"/>
  <c r="I39" i="43" s="1"/>
  <c r="E39" i="43"/>
  <c r="E36" i="43"/>
  <c r="G36" i="43"/>
  <c r="I36" i="43" s="1"/>
  <c r="E34" i="43"/>
  <c r="G34" i="43"/>
  <c r="I34" i="43" s="1"/>
  <c r="C14" i="67"/>
  <c r="C17" i="67"/>
  <c r="C17" i="90"/>
  <c r="C19" i="88"/>
  <c r="C17" i="15"/>
  <c r="C17" i="77"/>
  <c r="C17" i="79"/>
  <c r="C20" i="88"/>
  <c r="D10" i="86"/>
  <c r="C17" i="87"/>
  <c r="C17" i="91"/>
  <c r="E6" i="76"/>
  <c r="C15" i="67" l="1"/>
  <c r="C18" i="67"/>
  <c r="D19" i="86"/>
  <c r="D37" i="86" s="1"/>
  <c r="C37" i="86" s="1"/>
  <c r="C10" i="86"/>
  <c r="C8" i="86" s="1"/>
  <c r="T9" i="1"/>
  <c r="AQ9" i="1"/>
  <c r="AR9" i="1"/>
  <c r="S20" i="6"/>
  <c r="H20" i="6"/>
  <c r="R20" i="6" s="1"/>
  <c r="R7" i="1" s="1"/>
  <c r="AR11" i="1"/>
  <c r="AQ11" i="1"/>
  <c r="T11" i="1"/>
  <c r="T6" i="1"/>
  <c r="E6" i="70"/>
  <c r="S16" i="1"/>
  <c r="AQ6" i="1"/>
  <c r="AR6" i="1"/>
  <c r="S21" i="6"/>
  <c r="H21" i="6"/>
  <c r="R21" i="6" s="1"/>
  <c r="R8" i="1" s="1"/>
  <c r="T10" i="1"/>
  <c r="AQ10" i="1"/>
  <c r="AR10" i="1"/>
  <c r="S22" i="6"/>
  <c r="H22" i="6"/>
  <c r="R22" i="6" s="1"/>
  <c r="R9" i="1" s="1"/>
  <c r="T7" i="1"/>
  <c r="E7" i="70"/>
  <c r="AQ7" i="1"/>
  <c r="AR7" i="1"/>
  <c r="S24" i="6"/>
  <c r="H24" i="6"/>
  <c r="L18" i="80"/>
  <c r="M27" i="6"/>
  <c r="I19" i="6"/>
  <c r="T8" i="1"/>
  <c r="AR8" i="1"/>
  <c r="AQ8" i="1"/>
  <c r="S23" i="6"/>
  <c r="H23" i="6"/>
  <c r="L18" i="88"/>
  <c r="D37" i="69"/>
  <c r="C37" i="69" s="1"/>
  <c r="C33" i="69" s="1"/>
  <c r="C19" i="69"/>
  <c r="C39" i="68"/>
  <c r="C42" i="68"/>
  <c r="C18" i="12"/>
  <c r="C21" i="12" s="1"/>
  <c r="C6" i="68"/>
  <c r="C7" i="68" s="1"/>
  <c r="F56" i="85"/>
  <c r="F66" i="85" s="1"/>
  <c r="B2" i="85" s="1"/>
  <c r="B3" i="85" s="1"/>
  <c r="C6" i="86"/>
  <c r="C46" i="11"/>
  <c r="C45" i="11" s="1"/>
  <c r="C43" i="11"/>
  <c r="C23" i="69"/>
  <c r="C5" i="68"/>
  <c r="D31" i="6"/>
  <c r="C41" i="11"/>
  <c r="C102" i="88"/>
  <c r="C103" i="88"/>
  <c r="J3" i="84"/>
  <c r="R33" i="31"/>
  <c r="R25" i="31"/>
  <c r="R27" i="31"/>
  <c r="R32" i="31"/>
  <c r="R26" i="31"/>
  <c r="S24" i="31"/>
  <c r="R31" i="31"/>
  <c r="R28" i="31"/>
  <c r="R30" i="31"/>
  <c r="R29" i="31"/>
  <c r="J59" i="34"/>
  <c r="H65" i="40"/>
  <c r="I63" i="40"/>
  <c r="E2" i="76"/>
  <c r="B2" i="43"/>
  <c r="F35" i="67"/>
  <c r="M21" i="67"/>
  <c r="C14" i="15"/>
  <c r="F35" i="90"/>
  <c r="M21" i="90"/>
  <c r="C14" i="77"/>
  <c r="M21" i="91"/>
  <c r="F35" i="91"/>
  <c r="C14" i="90"/>
  <c r="C34" i="86"/>
  <c r="C14" i="79"/>
  <c r="C14" i="87"/>
  <c r="F35" i="15"/>
  <c r="M21" i="15"/>
  <c r="C14" i="91"/>
  <c r="B6" i="76"/>
  <c r="C19" i="67" l="1"/>
  <c r="C20" i="67" s="1"/>
  <c r="C26" i="67" s="1"/>
  <c r="E2" i="70"/>
  <c r="J20" i="67"/>
  <c r="C34" i="67"/>
  <c r="F63" i="67"/>
  <c r="C62" i="67" s="1"/>
  <c r="C18" i="91"/>
  <c r="C15" i="91"/>
  <c r="C19" i="91"/>
  <c r="C20" i="91" s="1"/>
  <c r="C26" i="91" s="1"/>
  <c r="J20" i="15"/>
  <c r="J17" i="15" s="1"/>
  <c r="F63" i="15"/>
  <c r="C62" i="15" s="1"/>
  <c r="C34" i="15"/>
  <c r="C31" i="15" s="1"/>
  <c r="C15" i="87"/>
  <c r="C18" i="87"/>
  <c r="C19" i="87"/>
  <c r="C20" i="87" s="1"/>
  <c r="C26" i="87" s="1"/>
  <c r="C15" i="79"/>
  <c r="C18" i="79"/>
  <c r="C19" i="79"/>
  <c r="C20" i="79" s="1"/>
  <c r="C23" i="79" s="1"/>
  <c r="C35" i="86"/>
  <c r="C38" i="86"/>
  <c r="C33" i="86"/>
  <c r="C18" i="90"/>
  <c r="C15" i="90"/>
  <c r="C19" i="90"/>
  <c r="C20" i="90" s="1"/>
  <c r="C23" i="90" s="1"/>
  <c r="C34" i="91"/>
  <c r="C31" i="91" s="1"/>
  <c r="F63" i="91"/>
  <c r="C62" i="91" s="1"/>
  <c r="J20" i="91"/>
  <c r="J17" i="91" s="1"/>
  <c r="C18" i="77"/>
  <c r="C15" i="77"/>
  <c r="J20" i="90"/>
  <c r="J17" i="90" s="1"/>
  <c r="F63" i="90"/>
  <c r="C62" i="90" s="1"/>
  <c r="C34" i="90"/>
  <c r="C31" i="90" s="1"/>
  <c r="C15" i="15"/>
  <c r="C18" i="15"/>
  <c r="C19" i="15"/>
  <c r="C20" i="15" s="1"/>
  <c r="C26" i="15" s="1"/>
  <c r="R23" i="6"/>
  <c r="R10" i="1" s="1"/>
  <c r="L19" i="88"/>
  <c r="C21" i="88" s="1"/>
  <c r="R24" i="6"/>
  <c r="R11" i="1" s="1"/>
  <c r="L19" i="80"/>
  <c r="H19" i="6"/>
  <c r="S19" i="6"/>
  <c r="S27" i="6" s="1"/>
  <c r="I27" i="6"/>
  <c r="T16" i="1"/>
  <c r="C26" i="79"/>
  <c r="C29" i="79" s="1"/>
  <c r="C57" i="79" s="1"/>
  <c r="C23" i="15"/>
  <c r="C29" i="15" s="1"/>
  <c r="C13" i="15" s="1"/>
  <c r="C26" i="90"/>
  <c r="C29" i="90" s="1"/>
  <c r="J14" i="15"/>
  <c r="C49" i="11"/>
  <c r="C51" i="11" s="1"/>
  <c r="I5" i="6"/>
  <c r="I6" i="6"/>
  <c r="I7" i="6" s="1"/>
  <c r="C7" i="86"/>
  <c r="C5" i="86" s="1"/>
  <c r="C20" i="69"/>
  <c r="C24" i="69"/>
  <c r="C20" i="68"/>
  <c r="C23" i="68"/>
  <c r="C22" i="12"/>
  <c r="C30" i="12" s="1"/>
  <c r="C28" i="12" s="1"/>
  <c r="C46" i="68"/>
  <c r="C45" i="68" s="1"/>
  <c r="C43" i="68"/>
  <c r="C41" i="68" s="1"/>
  <c r="C39" i="69"/>
  <c r="C42" i="69"/>
  <c r="S30" i="31"/>
  <c r="I9" i="84" s="1"/>
  <c r="J9" i="84"/>
  <c r="J10" i="84"/>
  <c r="S31" i="31"/>
  <c r="I10" i="84" s="1"/>
  <c r="J5" i="84"/>
  <c r="S26" i="31"/>
  <c r="I5" i="84" s="1"/>
  <c r="S27" i="31"/>
  <c r="I6" i="84" s="1"/>
  <c r="J6" i="84"/>
  <c r="J12" i="84"/>
  <c r="S33" i="31"/>
  <c r="I12" i="84" s="1"/>
  <c r="J63" i="40"/>
  <c r="I65" i="40"/>
  <c r="K59" i="34"/>
  <c r="S29" i="31"/>
  <c r="I8" i="84" s="1"/>
  <c r="J8" i="84"/>
  <c r="S28" i="31"/>
  <c r="I7" i="84" s="1"/>
  <c r="J7" i="84"/>
  <c r="I3" i="84"/>
  <c r="S32" i="31"/>
  <c r="I11" i="84" s="1"/>
  <c r="J11" i="84"/>
  <c r="S25" i="31"/>
  <c r="I4" i="84" s="1"/>
  <c r="J4" i="84"/>
  <c r="B2" i="76"/>
  <c r="B3" i="76" s="1"/>
  <c r="B3" i="43"/>
  <c r="F35" i="79"/>
  <c r="F35" i="87"/>
  <c r="M21" i="87"/>
  <c r="M21" i="79"/>
  <c r="C36" i="15" l="1"/>
  <c r="C57" i="15"/>
  <c r="C19" i="77"/>
  <c r="C20" i="77" s="1"/>
  <c r="C23" i="77" s="1"/>
  <c r="C23" i="87"/>
  <c r="C29" i="87" s="1"/>
  <c r="C23" i="91"/>
  <c r="C29" i="91" s="1"/>
  <c r="J14" i="91" s="1"/>
  <c r="C36" i="79"/>
  <c r="C13" i="79"/>
  <c r="C56" i="79" s="1"/>
  <c r="C65" i="79" s="1"/>
  <c r="C33" i="79"/>
  <c r="C23" i="67"/>
  <c r="C29" i="67" s="1"/>
  <c r="C57" i="67" s="1"/>
  <c r="Q49" i="79"/>
  <c r="J14" i="79"/>
  <c r="J13" i="79" s="1"/>
  <c r="J23" i="79" s="1"/>
  <c r="J19" i="79"/>
  <c r="J20" i="79"/>
  <c r="F63" i="79"/>
  <c r="C62" i="79" s="1"/>
  <c r="C34" i="79"/>
  <c r="C34" i="87"/>
  <c r="C31" i="87" s="1"/>
  <c r="F63" i="87"/>
  <c r="C62" i="87" s="1"/>
  <c r="J20" i="87"/>
  <c r="J17" i="87" s="1"/>
  <c r="C49" i="68"/>
  <c r="C51" i="68" s="1"/>
  <c r="C27" i="12"/>
  <c r="C25" i="12" s="1"/>
  <c r="C32" i="12" s="1"/>
  <c r="B2" i="12" s="1"/>
  <c r="B3" i="12" s="1"/>
  <c r="Q49" i="15"/>
  <c r="H27" i="6"/>
  <c r="R19" i="6"/>
  <c r="C42" i="86"/>
  <c r="C39" i="86"/>
  <c r="C37" i="15"/>
  <c r="C75" i="15"/>
  <c r="Q70" i="15"/>
  <c r="C56" i="15"/>
  <c r="C65" i="15" s="1"/>
  <c r="Q70" i="79"/>
  <c r="C57" i="87"/>
  <c r="Q49" i="87"/>
  <c r="C13" i="87"/>
  <c r="J14" i="87"/>
  <c r="C36" i="87"/>
  <c r="C61" i="15"/>
  <c r="C59" i="15" s="1"/>
  <c r="C64" i="15"/>
  <c r="J13" i="15"/>
  <c r="J23" i="15" s="1"/>
  <c r="J22" i="15"/>
  <c r="J22" i="79"/>
  <c r="C64" i="79"/>
  <c r="C61" i="79"/>
  <c r="C13" i="90"/>
  <c r="J14" i="90"/>
  <c r="C36" i="90"/>
  <c r="C57" i="90"/>
  <c r="Q49" i="90"/>
  <c r="C46" i="69"/>
  <c r="C45" i="69" s="1"/>
  <c r="C43" i="69"/>
  <c r="C41" i="69" s="1"/>
  <c r="C25" i="69"/>
  <c r="C22" i="69" s="1"/>
  <c r="C28" i="69"/>
  <c r="C27" i="69" s="1"/>
  <c r="C52" i="11"/>
  <c r="B2" i="11" s="1"/>
  <c r="B3" i="11" s="1"/>
  <c r="S22" i="31"/>
  <c r="R22" i="31" s="1"/>
  <c r="B21" i="31" s="1"/>
  <c r="C28" i="68"/>
  <c r="C27" i="68" s="1"/>
  <c r="C25" i="68"/>
  <c r="C22" i="68" s="1"/>
  <c r="C23" i="86"/>
  <c r="C20" i="86"/>
  <c r="C25" i="86" s="1"/>
  <c r="I15" i="84"/>
  <c r="J15" i="84" s="1"/>
  <c r="L59" i="34"/>
  <c r="K63" i="40"/>
  <c r="J65" i="40"/>
  <c r="Q49" i="91" l="1"/>
  <c r="C37" i="79"/>
  <c r="C57" i="91"/>
  <c r="C61" i="91" s="1"/>
  <c r="C59" i="91" s="1"/>
  <c r="C30" i="15"/>
  <c r="C39" i="15" s="1"/>
  <c r="J17" i="79"/>
  <c r="C31" i="79"/>
  <c r="C30" i="79" s="1"/>
  <c r="C39" i="79" s="1"/>
  <c r="J19" i="67"/>
  <c r="J17" i="67" s="1"/>
  <c r="C59" i="79"/>
  <c r="C75" i="79"/>
  <c r="C13" i="91"/>
  <c r="Q70" i="91" s="1"/>
  <c r="C36" i="91"/>
  <c r="C26" i="77"/>
  <c r="C29" i="77" s="1"/>
  <c r="C33" i="67"/>
  <c r="C31" i="67" s="1"/>
  <c r="C36" i="67"/>
  <c r="C13" i="67"/>
  <c r="C37" i="67" s="1"/>
  <c r="Q49" i="67"/>
  <c r="J14" i="67"/>
  <c r="J22" i="67" s="1"/>
  <c r="C61" i="67"/>
  <c r="C59" i="67" s="1"/>
  <c r="C64" i="67"/>
  <c r="C46" i="86"/>
  <c r="C45" i="86" s="1"/>
  <c r="C43" i="86"/>
  <c r="C41" i="86" s="1"/>
  <c r="R27" i="6"/>
  <c r="R6" i="1"/>
  <c r="C56" i="11"/>
  <c r="C57" i="11" s="1"/>
  <c r="C31" i="69"/>
  <c r="C58" i="79"/>
  <c r="C67" i="79" s="1"/>
  <c r="C68" i="79" s="1"/>
  <c r="C71" i="79" s="1"/>
  <c r="J16" i="79"/>
  <c r="J25" i="79" s="1"/>
  <c r="C58" i="15"/>
  <c r="C67" i="15" s="1"/>
  <c r="C68" i="15" s="1"/>
  <c r="C71" i="15" s="1"/>
  <c r="C49" i="69"/>
  <c r="C51" i="69" s="1"/>
  <c r="B20" i="31"/>
  <c r="L57" i="79"/>
  <c r="L60" i="79" s="1"/>
  <c r="L57" i="15"/>
  <c r="L60" i="15" s="1"/>
  <c r="C31" i="68"/>
  <c r="C52" i="68" s="1"/>
  <c r="B2" i="68" s="1"/>
  <c r="C64" i="90"/>
  <c r="C61" i="90"/>
  <c r="C59" i="90" s="1"/>
  <c r="J22" i="90"/>
  <c r="J13" i="90"/>
  <c r="J23" i="90" s="1"/>
  <c r="J13" i="87"/>
  <c r="J23" i="87" s="1"/>
  <c r="J22" i="87"/>
  <c r="C40" i="79"/>
  <c r="C64" i="91"/>
  <c r="C37" i="90"/>
  <c r="C30" i="90" s="1"/>
  <c r="C39" i="90" s="1"/>
  <c r="Q70" i="90"/>
  <c r="C75" i="90"/>
  <c r="C56" i="90"/>
  <c r="C65" i="90" s="1"/>
  <c r="J16" i="15"/>
  <c r="J25" i="15" s="1"/>
  <c r="Q69" i="15"/>
  <c r="Q68" i="15" s="1"/>
  <c r="C75" i="87"/>
  <c r="Q70" i="87"/>
  <c r="C37" i="87"/>
  <c r="C30" i="87" s="1"/>
  <c r="C39" i="87" s="1"/>
  <c r="C56" i="87"/>
  <c r="C65" i="87" s="1"/>
  <c r="C61" i="87"/>
  <c r="C59" i="87" s="1"/>
  <c r="C64" i="87"/>
  <c r="C37" i="91"/>
  <c r="C56" i="91"/>
  <c r="C65" i="91" s="1"/>
  <c r="J13" i="91"/>
  <c r="J23" i="91" s="1"/>
  <c r="J22" i="91"/>
  <c r="C28" i="86"/>
  <c r="C27" i="86" s="1"/>
  <c r="C22" i="86"/>
  <c r="M59" i="34"/>
  <c r="L63" i="40"/>
  <c r="K65" i="40"/>
  <c r="L51" i="15"/>
  <c r="C19" i="9"/>
  <c r="F35" i="77"/>
  <c r="L51" i="90"/>
  <c r="M21" i="77"/>
  <c r="L51" i="79"/>
  <c r="L51" i="87"/>
  <c r="Q67" i="79" l="1"/>
  <c r="Q67" i="15"/>
  <c r="C75" i="91"/>
  <c r="C40" i="15"/>
  <c r="C80" i="15"/>
  <c r="C79" i="15" s="1"/>
  <c r="Q69" i="79"/>
  <c r="Q68" i="79" s="1"/>
  <c r="C80" i="79"/>
  <c r="C79" i="79" s="1"/>
  <c r="C30" i="91"/>
  <c r="C39" i="91" s="1"/>
  <c r="C52" i="69"/>
  <c r="B2" i="69" s="1"/>
  <c r="B3" i="69" s="1"/>
  <c r="C13" i="77"/>
  <c r="C36" i="77"/>
  <c r="C57" i="77"/>
  <c r="Q49" i="77"/>
  <c r="J14" i="77"/>
  <c r="C80" i="90"/>
  <c r="C79" i="90" s="1"/>
  <c r="C30" i="67"/>
  <c r="C39" i="67" s="1"/>
  <c r="Q70" i="67"/>
  <c r="C56" i="67"/>
  <c r="C65" i="67" s="1"/>
  <c r="C58" i="67" s="1"/>
  <c r="C67" i="67" s="1"/>
  <c r="C68" i="67" s="1"/>
  <c r="C71" i="67" s="1"/>
  <c r="J13" i="67"/>
  <c r="J23" i="67" s="1"/>
  <c r="J16" i="67" s="1"/>
  <c r="J25" i="67" s="1"/>
  <c r="C75" i="67"/>
  <c r="C57" i="68"/>
  <c r="C56" i="68" s="1"/>
  <c r="C80" i="67"/>
  <c r="C79" i="67" s="1"/>
  <c r="Q69" i="67"/>
  <c r="C40" i="67"/>
  <c r="F63" i="77"/>
  <c r="C62" i="77" s="1"/>
  <c r="C34" i="77"/>
  <c r="C31" i="77" s="1"/>
  <c r="J20" i="77"/>
  <c r="J17" i="77" s="1"/>
  <c r="R16" i="1"/>
  <c r="C49" i="86"/>
  <c r="C51" i="86" s="1"/>
  <c r="J16" i="91"/>
  <c r="J25" i="91" s="1"/>
  <c r="J16" i="87"/>
  <c r="J25" i="87" s="1"/>
  <c r="C58" i="90"/>
  <c r="C67" i="90" s="1"/>
  <c r="C68" i="90" s="1"/>
  <c r="C71" i="90" s="1"/>
  <c r="Q67" i="87"/>
  <c r="L57" i="91"/>
  <c r="L60" i="91" s="1"/>
  <c r="Q67" i="90"/>
  <c r="L57" i="90"/>
  <c r="L60" i="90" s="1"/>
  <c r="Q69" i="87"/>
  <c r="Q68" i="87" s="1"/>
  <c r="C40" i="87"/>
  <c r="C40" i="91"/>
  <c r="Q69" i="91"/>
  <c r="Q68" i="91" s="1"/>
  <c r="C80" i="87"/>
  <c r="C79" i="87" s="1"/>
  <c r="Q69" i="90"/>
  <c r="Q68" i="90" s="1"/>
  <c r="C40" i="90"/>
  <c r="C58" i="91"/>
  <c r="C67" i="91" s="1"/>
  <c r="C68" i="91" s="1"/>
  <c r="C46" i="79"/>
  <c r="Q47" i="79"/>
  <c r="Q53" i="79" s="1"/>
  <c r="Q56" i="79"/>
  <c r="C83" i="79"/>
  <c r="C82" i="79" s="1"/>
  <c r="C43" i="79"/>
  <c r="Q65" i="79"/>
  <c r="K54" i="84"/>
  <c r="Q57" i="79"/>
  <c r="Q66" i="79"/>
  <c r="L46" i="79"/>
  <c r="B2" i="79" s="1"/>
  <c r="C58" i="87"/>
  <c r="C67" i="87" s="1"/>
  <c r="C68" i="87" s="1"/>
  <c r="C43" i="15"/>
  <c r="Q47" i="15"/>
  <c r="Q53" i="15" s="1"/>
  <c r="K16" i="84"/>
  <c r="Q56" i="15"/>
  <c r="Q65" i="15"/>
  <c r="C83" i="15"/>
  <c r="C82" i="15" s="1"/>
  <c r="C46" i="15"/>
  <c r="J16" i="90"/>
  <c r="J25" i="90" s="1"/>
  <c r="Q57" i="15"/>
  <c r="L46" i="15"/>
  <c r="B2" i="15" s="1"/>
  <c r="B3" i="15" s="1"/>
  <c r="Q66" i="15"/>
  <c r="Q75" i="15" s="1"/>
  <c r="C31" i="86"/>
  <c r="C52" i="86" s="1"/>
  <c r="C57" i="86" s="1"/>
  <c r="C56" i="86" s="1"/>
  <c r="C102" i="9"/>
  <c r="C21" i="9"/>
  <c r="B3" i="68"/>
  <c r="L65" i="40"/>
  <c r="M63" i="40"/>
  <c r="N59" i="34"/>
  <c r="O59" i="34" s="1"/>
  <c r="J7" i="34"/>
  <c r="L51" i="91"/>
  <c r="C20" i="9"/>
  <c r="L51" i="67"/>
  <c r="D19" i="80"/>
  <c r="C80" i="91" l="1"/>
  <c r="C79" i="91" s="1"/>
  <c r="C46" i="90"/>
  <c r="Q68" i="67"/>
  <c r="C57" i="69"/>
  <c r="C56" i="69" s="1"/>
  <c r="Q67" i="91"/>
  <c r="J13" i="77"/>
  <c r="J23" i="77" s="1"/>
  <c r="J22" i="77"/>
  <c r="C61" i="77"/>
  <c r="C59" i="77" s="1"/>
  <c r="C64" i="77"/>
  <c r="C37" i="77"/>
  <c r="C30" i="77" s="1"/>
  <c r="C39" i="77" s="1"/>
  <c r="C56" i="77"/>
  <c r="C65" i="77" s="1"/>
  <c r="Q70" i="77"/>
  <c r="C75" i="77"/>
  <c r="L57" i="67"/>
  <c r="L60" i="67" s="1"/>
  <c r="L46" i="67" s="1"/>
  <c r="D2" i="67" s="1"/>
  <c r="Q67" i="67"/>
  <c r="Q65" i="67"/>
  <c r="Q47" i="67"/>
  <c r="Q53" i="67" s="1"/>
  <c r="Q56" i="67"/>
  <c r="C43" i="67"/>
  <c r="C83" i="67"/>
  <c r="C82" i="67" s="1"/>
  <c r="C45" i="67"/>
  <c r="C46" i="67" s="1"/>
  <c r="L57" i="77"/>
  <c r="L60" i="77" s="1"/>
  <c r="Q62" i="79"/>
  <c r="B2" i="86"/>
  <c r="D21" i="80"/>
  <c r="D102" i="80"/>
  <c r="Q62" i="15"/>
  <c r="Q75" i="79"/>
  <c r="Q65" i="90"/>
  <c r="Q47" i="90"/>
  <c r="Q53" i="90" s="1"/>
  <c r="C83" i="90"/>
  <c r="C82" i="90" s="1"/>
  <c r="Q56" i="90"/>
  <c r="C43" i="90"/>
  <c r="Q47" i="91"/>
  <c r="Q53" i="91" s="1"/>
  <c r="Q65" i="91"/>
  <c r="C83" i="91"/>
  <c r="C82" i="91" s="1"/>
  <c r="Q56" i="91"/>
  <c r="C43" i="91"/>
  <c r="Q66" i="91"/>
  <c r="Q75" i="91" s="1"/>
  <c r="Q57" i="91"/>
  <c r="L46" i="91"/>
  <c r="B2" i="91" s="1"/>
  <c r="B3" i="91" s="1"/>
  <c r="C71" i="87"/>
  <c r="C46" i="87"/>
  <c r="B3" i="79"/>
  <c r="C46" i="91"/>
  <c r="C71" i="91"/>
  <c r="Q56" i="87"/>
  <c r="Q62" i="87" s="1"/>
  <c r="Q65" i="87"/>
  <c r="Q75" i="87" s="1"/>
  <c r="C43" i="87"/>
  <c r="B2" i="87"/>
  <c r="Q47" i="87"/>
  <c r="Q53" i="87" s="1"/>
  <c r="C83" i="87"/>
  <c r="C82" i="87" s="1"/>
  <c r="L46" i="90"/>
  <c r="B2" i="90" s="1"/>
  <c r="Q57" i="90"/>
  <c r="Q62" i="90" s="1"/>
  <c r="Q66" i="90"/>
  <c r="Q75" i="90" s="1"/>
  <c r="C103" i="9"/>
  <c r="AC7" i="34"/>
  <c r="V49" i="34" s="1"/>
  <c r="I49" i="34" s="1"/>
  <c r="W7" i="34"/>
  <c r="N63" i="40"/>
  <c r="M65" i="40"/>
  <c r="F7" i="34"/>
  <c r="H7" i="34"/>
  <c r="L51" i="77"/>
  <c r="D19" i="88"/>
  <c r="C19" i="80"/>
  <c r="D35" i="80"/>
  <c r="D34" i="80"/>
  <c r="AO7" i="1"/>
  <c r="B3" i="86"/>
  <c r="D20" i="80"/>
  <c r="C58" i="77" l="1"/>
  <c r="C67" i="77" s="1"/>
  <c r="C68" i="77" s="1"/>
  <c r="J16" i="77"/>
  <c r="J25" i="77" s="1"/>
  <c r="J26" i="77" s="1"/>
  <c r="J29" i="77" s="1"/>
  <c r="Q67" i="77"/>
  <c r="C80" i="77"/>
  <c r="C79" i="77" s="1"/>
  <c r="Q69" i="77"/>
  <c r="Q68" i="77" s="1"/>
  <c r="C40" i="77"/>
  <c r="C43" i="77" s="1"/>
  <c r="C71" i="77"/>
  <c r="Q57" i="67"/>
  <c r="Q66" i="67"/>
  <c r="Q75" i="67" s="1"/>
  <c r="Q62" i="67"/>
  <c r="B3" i="67"/>
  <c r="B2" i="67"/>
  <c r="Q62" i="91"/>
  <c r="L46" i="77"/>
  <c r="Q66" i="77"/>
  <c r="Q57" i="77"/>
  <c r="C21" i="80"/>
  <c r="D22" i="80"/>
  <c r="C102" i="80"/>
  <c r="G19" i="80"/>
  <c r="G21" i="80" s="1"/>
  <c r="B7" i="70"/>
  <c r="D102" i="88"/>
  <c r="D22" i="88"/>
  <c r="D21" i="88"/>
  <c r="G19" i="88"/>
  <c r="D103" i="80"/>
  <c r="B3" i="90"/>
  <c r="B3" i="87"/>
  <c r="AB7" i="34"/>
  <c r="T49" i="34" s="1"/>
  <c r="G49" i="34" s="1"/>
  <c r="U7" i="34"/>
  <c r="S7" i="34"/>
  <c r="AA7" i="34"/>
  <c r="R49" i="34" s="1"/>
  <c r="O63" i="40"/>
  <c r="O65" i="40" s="1"/>
  <c r="N65" i="40"/>
  <c r="I53" i="34"/>
  <c r="J53" i="34" s="1"/>
  <c r="C20" i="80"/>
  <c r="D20" i="88"/>
  <c r="D35" i="88"/>
  <c r="D34" i="88"/>
  <c r="C46" i="77" l="1"/>
  <c r="C32" i="80"/>
  <c r="C35" i="80" s="1"/>
  <c r="F118" i="80" s="1"/>
  <c r="G20" i="80"/>
  <c r="J54" i="84" s="1"/>
  <c r="J55" i="84" s="1"/>
  <c r="J56" i="84" s="1"/>
  <c r="C103" i="80"/>
  <c r="B2" i="77"/>
  <c r="B3" i="77" s="1"/>
  <c r="C83" i="77"/>
  <c r="C82" i="77" s="1"/>
  <c r="K3" i="84"/>
  <c r="G7" i="84" s="1"/>
  <c r="Q56" i="77"/>
  <c r="Q62" i="77" s="1"/>
  <c r="Q65" i="77"/>
  <c r="Q75" i="77" s="1"/>
  <c r="Q47" i="77"/>
  <c r="Q53" i="77" s="1"/>
  <c r="I54" i="84"/>
  <c r="G54" i="84" s="1"/>
  <c r="G20" i="88"/>
  <c r="D103" i="88"/>
  <c r="G21" i="88"/>
  <c r="C32" i="88"/>
  <c r="H118" i="80"/>
  <c r="R50" i="34"/>
  <c r="E49" i="34"/>
  <c r="F7" i="40"/>
  <c r="H7" i="40"/>
  <c r="J7" i="40"/>
  <c r="G53" i="34"/>
  <c r="H53" i="34" s="1"/>
  <c r="G54" i="34"/>
  <c r="H54" i="34" s="1"/>
  <c r="AO6" i="1"/>
  <c r="D19" i="9"/>
  <c r="I55" i="84" l="1"/>
  <c r="G55" i="84" s="1"/>
  <c r="E55" i="84" s="1"/>
  <c r="G12" i="84"/>
  <c r="G13" i="84"/>
  <c r="E13" i="84" s="1"/>
  <c r="G14" i="84"/>
  <c r="G8" i="84"/>
  <c r="H8" i="84" s="1"/>
  <c r="F8" i="84" s="1"/>
  <c r="G5" i="84"/>
  <c r="G4" i="84"/>
  <c r="E4" i="84" s="1"/>
  <c r="G11" i="84"/>
  <c r="E11" i="84" s="1"/>
  <c r="G3" i="84"/>
  <c r="G15" i="84" s="1"/>
  <c r="G10" i="84"/>
  <c r="E10" i="84" s="1"/>
  <c r="G6" i="84"/>
  <c r="E6" i="84" s="1"/>
  <c r="G9" i="84"/>
  <c r="H9" i="84" s="1"/>
  <c r="F9" i="84" s="1"/>
  <c r="B6" i="70"/>
  <c r="B2" i="70" s="1"/>
  <c r="B3" i="70" s="1"/>
  <c r="I56" i="84"/>
  <c r="C34" i="80"/>
  <c r="D118" i="80" s="1"/>
  <c r="D119" i="80" s="1"/>
  <c r="D102" i="9"/>
  <c r="G19" i="9"/>
  <c r="D21" i="9"/>
  <c r="D22" i="9"/>
  <c r="H11" i="84"/>
  <c r="F11" i="84" s="1"/>
  <c r="H3" i="84"/>
  <c r="F3" i="84" s="1"/>
  <c r="H10" i="84"/>
  <c r="F10" i="84" s="1"/>
  <c r="E9" i="84"/>
  <c r="E7" i="84"/>
  <c r="H7" i="84"/>
  <c r="F7" i="84" s="1"/>
  <c r="H14" i="84"/>
  <c r="F14" i="84" s="1"/>
  <c r="E14" i="84"/>
  <c r="H12" i="84"/>
  <c r="F12" i="84" s="1"/>
  <c r="E12" i="84"/>
  <c r="E5" i="84"/>
  <c r="H5" i="84"/>
  <c r="F5" i="84" s="1"/>
  <c r="C35" i="88"/>
  <c r="F118" i="88" s="1"/>
  <c r="H118" i="88"/>
  <c r="E54" i="84"/>
  <c r="E56" i="84" s="1"/>
  <c r="H54" i="84"/>
  <c r="G56" i="84"/>
  <c r="G118" i="80"/>
  <c r="F119" i="80"/>
  <c r="I118" i="80"/>
  <c r="H119" i="80"/>
  <c r="H101" i="80"/>
  <c r="C104" i="80"/>
  <c r="AB7" i="40"/>
  <c r="T42" i="40" s="1"/>
  <c r="G42" i="40" s="1"/>
  <c r="U7" i="40"/>
  <c r="E53" i="34"/>
  <c r="F53" i="34" s="1"/>
  <c r="E54" i="34"/>
  <c r="F54" i="34" s="1"/>
  <c r="I54" i="34"/>
  <c r="J54" i="34" s="1"/>
  <c r="W7" i="40"/>
  <c r="AC7" i="40"/>
  <c r="V42" i="40" s="1"/>
  <c r="I42" i="40" s="1"/>
  <c r="S7" i="40"/>
  <c r="AA7" i="40"/>
  <c r="R42" i="40" s="1"/>
  <c r="C50" i="34"/>
  <c r="C49" i="34"/>
  <c r="D20" i="9"/>
  <c r="H13" i="84" l="1"/>
  <c r="F13" i="84" s="1"/>
  <c r="H4" i="84"/>
  <c r="F4" i="84" s="1"/>
  <c r="E8" i="84"/>
  <c r="H6" i="84"/>
  <c r="F6" i="84" s="1"/>
  <c r="E3" i="84"/>
  <c r="E15" i="84" s="1"/>
  <c r="K15" i="84" s="1"/>
  <c r="C34" i="88"/>
  <c r="D118" i="88" s="1"/>
  <c r="D119" i="88" s="1"/>
  <c r="K56" i="84"/>
  <c r="D103" i="9"/>
  <c r="G20" i="9"/>
  <c r="H15" i="84"/>
  <c r="F15" i="84" s="1"/>
  <c r="G21" i="9"/>
  <c r="C32" i="9"/>
  <c r="H119" i="88"/>
  <c r="H101" i="88"/>
  <c r="I118" i="88"/>
  <c r="C104" i="88"/>
  <c r="F119" i="88"/>
  <c r="G118" i="88"/>
  <c r="M48" i="80"/>
  <c r="H107" i="80"/>
  <c r="D45" i="80"/>
  <c r="H102" i="80"/>
  <c r="E118" i="80"/>
  <c r="C105" i="80"/>
  <c r="F54" i="84"/>
  <c r="H55" i="84"/>
  <c r="B2" i="34"/>
  <c r="B3" i="34"/>
  <c r="R24" i="82" s="1"/>
  <c r="R43" i="40"/>
  <c r="E42" i="40"/>
  <c r="I46" i="40"/>
  <c r="J46" i="40" s="1"/>
  <c r="I47" i="40"/>
  <c r="J47" i="40" s="1"/>
  <c r="G46" i="40"/>
  <c r="H46" i="40" s="1"/>
  <c r="G47" i="40"/>
  <c r="H47" i="40" s="1"/>
  <c r="H118" i="9" l="1"/>
  <c r="C35" i="9"/>
  <c r="C170" i="89"/>
  <c r="C171" i="89" s="1"/>
  <c r="C105" i="88"/>
  <c r="H102" i="88"/>
  <c r="E118" i="88"/>
  <c r="H107" i="88"/>
  <c r="D45" i="88"/>
  <c r="M48" i="88"/>
  <c r="H56" i="84"/>
  <c r="F55" i="84"/>
  <c r="F56" i="84" s="1"/>
  <c r="H108" i="80"/>
  <c r="D122" i="80"/>
  <c r="D123" i="80" s="1"/>
  <c r="M49" i="80"/>
  <c r="D52" i="80"/>
  <c r="D55" i="80"/>
  <c r="M53" i="80" s="1"/>
  <c r="C93" i="80"/>
  <c r="C86" i="80" s="1"/>
  <c r="C64" i="80"/>
  <c r="C63" i="80" s="1"/>
  <c r="C67" i="80" s="1"/>
  <c r="C68" i="80" s="1"/>
  <c r="D54" i="80" s="1"/>
  <c r="C78" i="80"/>
  <c r="C73" i="80" s="1"/>
  <c r="C72" i="80"/>
  <c r="D53" i="80"/>
  <c r="C85" i="80"/>
  <c r="E47" i="40"/>
  <c r="F47" i="40" s="1"/>
  <c r="E46" i="40"/>
  <c r="F46" i="40" s="1"/>
  <c r="R122" i="82"/>
  <c r="S122" i="82" s="1"/>
  <c r="R119" i="82"/>
  <c r="S119" i="82" s="1"/>
  <c r="R117" i="82"/>
  <c r="S117" i="82" s="1"/>
  <c r="R110" i="82"/>
  <c r="S110" i="82" s="1"/>
  <c r="R104" i="82"/>
  <c r="S104" i="82" s="1"/>
  <c r="R55" i="82"/>
  <c r="R30" i="82"/>
  <c r="R47" i="82"/>
  <c r="R35" i="82"/>
  <c r="R43" i="82"/>
  <c r="R38" i="82"/>
  <c r="R33" i="82"/>
  <c r="R32" i="82"/>
  <c r="R59" i="82"/>
  <c r="R57" i="82"/>
  <c r="R26" i="82"/>
  <c r="R42" i="82"/>
  <c r="R34" i="82"/>
  <c r="R60" i="82"/>
  <c r="R29" i="82"/>
  <c r="R27" i="82"/>
  <c r="R37" i="82"/>
  <c r="R45" i="82"/>
  <c r="R54" i="82"/>
  <c r="R51" i="82"/>
  <c r="R39" i="82"/>
  <c r="R31" i="82"/>
  <c r="R25" i="82"/>
  <c r="S24" i="82"/>
  <c r="R120" i="82"/>
  <c r="S120" i="82" s="1"/>
  <c r="R116" i="82"/>
  <c r="S116" i="82" s="1"/>
  <c r="R113" i="82"/>
  <c r="S113" i="82" s="1"/>
  <c r="R108" i="82"/>
  <c r="S108" i="82" s="1"/>
  <c r="R100" i="82"/>
  <c r="S100" i="82" s="1"/>
  <c r="R107" i="82"/>
  <c r="S107" i="82" s="1"/>
  <c r="R103" i="82"/>
  <c r="S103" i="82" s="1"/>
  <c r="R98" i="82"/>
  <c r="S98" i="82" s="1"/>
  <c r="R94" i="82"/>
  <c r="S94" i="82" s="1"/>
  <c r="R90" i="82"/>
  <c r="S90" i="82" s="1"/>
  <c r="R89" i="82"/>
  <c r="S89" i="82" s="1"/>
  <c r="R97" i="82"/>
  <c r="S97" i="82" s="1"/>
  <c r="R93" i="82"/>
  <c r="S93" i="82" s="1"/>
  <c r="R87" i="82"/>
  <c r="S87" i="82" s="1"/>
  <c r="R84" i="82"/>
  <c r="S84" i="82" s="1"/>
  <c r="R76" i="82"/>
  <c r="S76" i="82" s="1"/>
  <c r="R83" i="82"/>
  <c r="S83" i="82" s="1"/>
  <c r="R75" i="82"/>
  <c r="S75" i="82" s="1"/>
  <c r="R68" i="82"/>
  <c r="S68" i="82" s="1"/>
  <c r="R67" i="82"/>
  <c r="S67" i="82" s="1"/>
  <c r="R78" i="82"/>
  <c r="S78" i="82" s="1"/>
  <c r="R85" i="82"/>
  <c r="S85" i="82" s="1"/>
  <c r="R77" i="82"/>
  <c r="S77" i="82" s="1"/>
  <c r="R71" i="82"/>
  <c r="S71" i="82" s="1"/>
  <c r="R69" i="82"/>
  <c r="S69" i="82" s="1"/>
  <c r="R62" i="82"/>
  <c r="S62" i="82" s="1"/>
  <c r="R61" i="82"/>
  <c r="S61" i="82" s="1"/>
  <c r="R121" i="82"/>
  <c r="S121" i="82" s="1"/>
  <c r="R118" i="82"/>
  <c r="S118" i="82" s="1"/>
  <c r="R114" i="82"/>
  <c r="S114" i="82" s="1"/>
  <c r="R115" i="82"/>
  <c r="S115" i="82" s="1"/>
  <c r="R112" i="82"/>
  <c r="S112" i="82" s="1"/>
  <c r="R111" i="82"/>
  <c r="S111" i="82" s="1"/>
  <c r="R106" i="82"/>
  <c r="S106" i="82" s="1"/>
  <c r="R102" i="82"/>
  <c r="S102" i="82" s="1"/>
  <c r="R109" i="82"/>
  <c r="S109" i="82" s="1"/>
  <c r="R105" i="82"/>
  <c r="S105" i="82" s="1"/>
  <c r="R101" i="82"/>
  <c r="S101" i="82" s="1"/>
  <c r="R96" i="82"/>
  <c r="S96" i="82" s="1"/>
  <c r="R92" i="82"/>
  <c r="S92" i="82" s="1"/>
  <c r="R88" i="82"/>
  <c r="S88" i="82" s="1"/>
  <c r="R99" i="82"/>
  <c r="S99" i="82" s="1"/>
  <c r="R95" i="82"/>
  <c r="S95" i="82" s="1"/>
  <c r="R91" i="82"/>
  <c r="S91" i="82" s="1"/>
  <c r="R86" i="82"/>
  <c r="S86" i="82" s="1"/>
  <c r="R80" i="82"/>
  <c r="S80" i="82" s="1"/>
  <c r="R72" i="82"/>
  <c r="S72" i="82" s="1"/>
  <c r="R79" i="82"/>
  <c r="S79" i="82" s="1"/>
  <c r="R70" i="82"/>
  <c r="S70" i="82" s="1"/>
  <c r="R64" i="82"/>
  <c r="S64" i="82" s="1"/>
  <c r="R82" i="82"/>
  <c r="S82" i="82" s="1"/>
  <c r="R74" i="82"/>
  <c r="S74" i="82" s="1"/>
  <c r="R81" i="82"/>
  <c r="S81" i="82" s="1"/>
  <c r="R73" i="82"/>
  <c r="S73" i="82" s="1"/>
  <c r="R66" i="82"/>
  <c r="S66" i="82" s="1"/>
  <c r="R65" i="82"/>
  <c r="S65" i="82" s="1"/>
  <c r="R63" i="82"/>
  <c r="S63" i="82" s="1"/>
  <c r="J16" i="84"/>
  <c r="R36" i="82"/>
  <c r="R50" i="82"/>
  <c r="R58" i="82"/>
  <c r="R41" i="82"/>
  <c r="R49" i="82"/>
  <c r="R28" i="82"/>
  <c r="R46" i="82"/>
  <c r="R53" i="82"/>
  <c r="R40" i="82"/>
  <c r="R44" i="82"/>
  <c r="R56" i="82"/>
  <c r="R52" i="82"/>
  <c r="R48" i="82"/>
  <c r="C43" i="40"/>
  <c r="C42" i="40"/>
  <c r="C95" i="80" l="1"/>
  <c r="C97" i="80" s="1"/>
  <c r="D58" i="80" s="1"/>
  <c r="D56" i="80" s="1"/>
  <c r="M54" i="80" s="1"/>
  <c r="N57" i="80" s="1"/>
  <c r="C79" i="80"/>
  <c r="C80" i="80" s="1"/>
  <c r="E80" i="80" s="1"/>
  <c r="E81" i="80" s="1"/>
  <c r="F118" i="9"/>
  <c r="C34" i="9"/>
  <c r="D118" i="9" s="1"/>
  <c r="I118" i="9"/>
  <c r="H101" i="9"/>
  <c r="D14" i="74"/>
  <c r="C104" i="9"/>
  <c r="H119" i="9"/>
  <c r="H5" i="52" s="1"/>
  <c r="H4" i="52"/>
  <c r="C85" i="88"/>
  <c r="D52" i="88"/>
  <c r="C64" i="88"/>
  <c r="C63" i="88" s="1"/>
  <c r="C67" i="88" s="1"/>
  <c r="C68" i="88" s="1"/>
  <c r="D54" i="88" s="1"/>
  <c r="C93" i="88"/>
  <c r="C86" i="88" s="1"/>
  <c r="D55" i="88"/>
  <c r="M53" i="88" s="1"/>
  <c r="C78" i="88"/>
  <c r="C73" i="88" s="1"/>
  <c r="C72" i="88"/>
  <c r="D53" i="88"/>
  <c r="M49" i="88"/>
  <c r="H108" i="88"/>
  <c r="D122" i="88"/>
  <c r="D123" i="88" s="1"/>
  <c r="C81" i="80"/>
  <c r="L66" i="80"/>
  <c r="M66" i="80" s="1"/>
  <c r="L64" i="80"/>
  <c r="M64" i="80" s="1"/>
  <c r="L67" i="80"/>
  <c r="M67" i="80" s="1"/>
  <c r="L65" i="80"/>
  <c r="M65" i="80" s="1"/>
  <c r="L63" i="80"/>
  <c r="M63" i="80" s="1"/>
  <c r="M69" i="80" s="1"/>
  <c r="N69" i="80" s="1"/>
  <c r="L68" i="80"/>
  <c r="M68" i="80" s="1"/>
  <c r="S48" i="82"/>
  <c r="I40" i="84" s="1"/>
  <c r="J40" i="84"/>
  <c r="J48" i="84"/>
  <c r="S56" i="82"/>
  <c r="I48" i="84" s="1"/>
  <c r="J32" i="84"/>
  <c r="S40" i="82"/>
  <c r="I32" i="84" s="1"/>
  <c r="S46" i="82"/>
  <c r="I38" i="84" s="1"/>
  <c r="J38" i="84"/>
  <c r="J41" i="84"/>
  <c r="S49" i="82"/>
  <c r="I41" i="84" s="1"/>
  <c r="J50" i="84"/>
  <c r="S58" i="82"/>
  <c r="I50" i="84" s="1"/>
  <c r="S36" i="82"/>
  <c r="I28" i="84" s="1"/>
  <c r="J28" i="84"/>
  <c r="J17" i="84"/>
  <c r="S25" i="82"/>
  <c r="I17" i="84" s="1"/>
  <c r="J31" i="84"/>
  <c r="S39" i="82"/>
  <c r="I31" i="84" s="1"/>
  <c r="J46" i="84"/>
  <c r="S54" i="82"/>
  <c r="I46" i="84" s="1"/>
  <c r="S37" i="82"/>
  <c r="I29" i="84" s="1"/>
  <c r="J29" i="84"/>
  <c r="J21" i="84"/>
  <c r="S29" i="82"/>
  <c r="I21" i="84" s="1"/>
  <c r="S34" i="82"/>
  <c r="I26" i="84" s="1"/>
  <c r="J26" i="84"/>
  <c r="J18" i="84"/>
  <c r="S26" i="82"/>
  <c r="I18" i="84" s="1"/>
  <c r="S59" i="82"/>
  <c r="I51" i="84" s="1"/>
  <c r="J51" i="84"/>
  <c r="J25" i="84"/>
  <c r="S33" i="82"/>
  <c r="I25" i="84" s="1"/>
  <c r="J35" i="84"/>
  <c r="S43" i="82"/>
  <c r="I35" i="84" s="1"/>
  <c r="J39" i="84"/>
  <c r="S47" i="82"/>
  <c r="I39" i="84" s="1"/>
  <c r="S55" i="82"/>
  <c r="I47" i="84" s="1"/>
  <c r="J47" i="84"/>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J44" i="84"/>
  <c r="S52" i="82"/>
  <c r="I44" i="84" s="1"/>
  <c r="S44" i="82"/>
  <c r="I36" i="84" s="1"/>
  <c r="J36" i="84"/>
  <c r="S53" i="82"/>
  <c r="I45" i="84" s="1"/>
  <c r="J45" i="84"/>
  <c r="S28" i="82"/>
  <c r="I20" i="84" s="1"/>
  <c r="J20" i="84"/>
  <c r="J33" i="84"/>
  <c r="S41" i="82"/>
  <c r="I33" i="84" s="1"/>
  <c r="J42" i="84"/>
  <c r="S50" i="82"/>
  <c r="I42" i="84" s="1"/>
  <c r="I16" i="84"/>
  <c r="S31" i="82"/>
  <c r="I23" i="84" s="1"/>
  <c r="J23" i="84"/>
  <c r="J43" i="84"/>
  <c r="S51" i="82"/>
  <c r="I43" i="84" s="1"/>
  <c r="S45" i="82"/>
  <c r="I37" i="84" s="1"/>
  <c r="J37" i="84"/>
  <c r="J19" i="84"/>
  <c r="S27" i="82"/>
  <c r="I19" i="84" s="1"/>
  <c r="J52" i="84"/>
  <c r="S60" i="82"/>
  <c r="I52" i="84" s="1"/>
  <c r="J34" i="84"/>
  <c r="S42" i="82"/>
  <c r="I34" i="84" s="1"/>
  <c r="J49" i="84"/>
  <c r="S57" i="82"/>
  <c r="I49" i="84" s="1"/>
  <c r="S32" i="82"/>
  <c r="I24" i="84" s="1"/>
  <c r="J24" i="84"/>
  <c r="S38" i="82"/>
  <c r="I30" i="84" s="1"/>
  <c r="J30" i="84"/>
  <c r="J27" i="84"/>
  <c r="S35" i="82"/>
  <c r="I27" i="84" s="1"/>
  <c r="J22" i="84"/>
  <c r="S30" i="82"/>
  <c r="I22" i="84" s="1"/>
  <c r="C96" i="80" l="1"/>
  <c r="E96" i="80" s="1"/>
  <c r="E97" i="80" s="1"/>
  <c r="D5" i="53"/>
  <c r="H107" i="9"/>
  <c r="D4" i="52"/>
  <c r="B47" i="72" s="1"/>
  <c r="D119" i="9"/>
  <c r="D5" i="52" s="1"/>
  <c r="B49" i="72" s="1"/>
  <c r="F14" i="74"/>
  <c r="B5" i="74"/>
  <c r="E14" i="74"/>
  <c r="I4" i="52"/>
  <c r="H102" i="9"/>
  <c r="D7" i="53" s="1"/>
  <c r="B21" i="72" s="1"/>
  <c r="C105" i="9"/>
  <c r="F4" i="52"/>
  <c r="B51" i="72" s="1"/>
  <c r="G118" i="9"/>
  <c r="F119" i="9"/>
  <c r="F5" i="52" s="1"/>
  <c r="B53" i="72" s="1"/>
  <c r="C79" i="88"/>
  <c r="C80" i="88" s="1"/>
  <c r="E80" i="88" s="1"/>
  <c r="E81" i="88" s="1"/>
  <c r="C95" i="88"/>
  <c r="C96" i="88" s="1"/>
  <c r="E96" i="88" s="1"/>
  <c r="E97" i="88" s="1"/>
  <c r="L65" i="88"/>
  <c r="M65" i="88" s="1"/>
  <c r="L68" i="88"/>
  <c r="M68" i="88" s="1"/>
  <c r="L63" i="88"/>
  <c r="M63" i="88" s="1"/>
  <c r="L66" i="88"/>
  <c r="M66" i="88" s="1"/>
  <c r="L64" i="88"/>
  <c r="M64" i="88" s="1"/>
  <c r="L67" i="88"/>
  <c r="M67" i="88" s="1"/>
  <c r="C81" i="88"/>
  <c r="N58" i="80"/>
  <c r="N59" i="80"/>
  <c r="P57" i="80"/>
  <c r="G30" i="84"/>
  <c r="H30" i="84" s="1"/>
  <c r="F30" i="84" s="1"/>
  <c r="G24" i="84"/>
  <c r="H24" i="84" s="1"/>
  <c r="F24" i="84" s="1"/>
  <c r="G37" i="84"/>
  <c r="H37" i="84" s="1"/>
  <c r="F37" i="84" s="1"/>
  <c r="G23" i="84"/>
  <c r="H23" i="84" s="1"/>
  <c r="F23" i="84" s="1"/>
  <c r="I53" i="84"/>
  <c r="G16" i="84"/>
  <c r="E16" i="84" s="1"/>
  <c r="E53" i="84" s="1"/>
  <c r="E57" i="84" s="1"/>
  <c r="E58" i="84" s="1"/>
  <c r="G20" i="84"/>
  <c r="H20" i="84" s="1"/>
  <c r="F20" i="84" s="1"/>
  <c r="G45" i="84"/>
  <c r="H45" i="84" s="1"/>
  <c r="F45" i="84" s="1"/>
  <c r="G36" i="84"/>
  <c r="H36" i="84" s="1"/>
  <c r="F36" i="84" s="1"/>
  <c r="G39" i="84"/>
  <c r="H39" i="84" s="1"/>
  <c r="F39" i="84" s="1"/>
  <c r="G35" i="84"/>
  <c r="H35" i="84" s="1"/>
  <c r="F35" i="84" s="1"/>
  <c r="G25" i="84"/>
  <c r="H25" i="84" s="1"/>
  <c r="F25" i="84" s="1"/>
  <c r="G18" i="84"/>
  <c r="H18" i="84" s="1"/>
  <c r="F18" i="84" s="1"/>
  <c r="G21" i="84"/>
  <c r="H21" i="84" s="1"/>
  <c r="F21" i="84" s="1"/>
  <c r="G46" i="84"/>
  <c r="H46" i="84" s="1"/>
  <c r="F46" i="84" s="1"/>
  <c r="G31" i="84"/>
  <c r="H31" i="84" s="1"/>
  <c r="F31" i="84" s="1"/>
  <c r="G17" i="84"/>
  <c r="H17" i="84" s="1"/>
  <c r="F17" i="84" s="1"/>
  <c r="G50" i="84"/>
  <c r="H50" i="84" s="1"/>
  <c r="F50" i="84" s="1"/>
  <c r="G41" i="84"/>
  <c r="H41" i="84" s="1"/>
  <c r="F41" i="84" s="1"/>
  <c r="G32" i="84"/>
  <c r="H32" i="84" s="1"/>
  <c r="F32" i="84" s="1"/>
  <c r="G48" i="84"/>
  <c r="H48" i="84" s="1"/>
  <c r="F48" i="84" s="1"/>
  <c r="G22" i="84"/>
  <c r="H22" i="84" s="1"/>
  <c r="F22" i="84" s="1"/>
  <c r="G27" i="84"/>
  <c r="H27" i="84" s="1"/>
  <c r="F27" i="84" s="1"/>
  <c r="G49" i="84"/>
  <c r="H49" i="84" s="1"/>
  <c r="F49" i="84" s="1"/>
  <c r="G34" i="84"/>
  <c r="H34" i="84" s="1"/>
  <c r="F34" i="84" s="1"/>
  <c r="G52" i="84"/>
  <c r="H52" i="84" s="1"/>
  <c r="F52" i="84" s="1"/>
  <c r="G19" i="84"/>
  <c r="H19" i="84" s="1"/>
  <c r="F19" i="84" s="1"/>
  <c r="G43" i="84"/>
  <c r="H43" i="84" s="1"/>
  <c r="F43" i="84" s="1"/>
  <c r="S22" i="82"/>
  <c r="G42" i="84"/>
  <c r="H42" i="84" s="1"/>
  <c r="F42" i="84" s="1"/>
  <c r="G33" i="84"/>
  <c r="H33" i="84" s="1"/>
  <c r="F33" i="84" s="1"/>
  <c r="G44" i="84"/>
  <c r="H44" i="84" s="1"/>
  <c r="F44" i="84" s="1"/>
  <c r="G47" i="84"/>
  <c r="H47" i="84" s="1"/>
  <c r="F47" i="84" s="1"/>
  <c r="G51" i="84"/>
  <c r="H51" i="84" s="1"/>
  <c r="F51" i="84" s="1"/>
  <c r="G26" i="84"/>
  <c r="H26" i="84" s="1"/>
  <c r="F26" i="84" s="1"/>
  <c r="G29" i="84"/>
  <c r="H29" i="84" s="1"/>
  <c r="F29" i="84" s="1"/>
  <c r="G28" i="84"/>
  <c r="H28" i="84" s="1"/>
  <c r="F28" i="84" s="1"/>
  <c r="G38" i="84"/>
  <c r="H38" i="84" s="1"/>
  <c r="F38" i="84" s="1"/>
  <c r="G40" i="84"/>
  <c r="H40" i="84" s="1"/>
  <c r="F40" i="84" s="1"/>
  <c r="C97" i="88" l="1"/>
  <c r="D58" i="88" s="1"/>
  <c r="D56" i="88" s="1"/>
  <c r="M54" i="88" s="1"/>
  <c r="N57" i="88" s="1"/>
  <c r="N58" i="88" s="1"/>
  <c r="G4" i="52"/>
  <c r="B52" i="72" s="1"/>
  <c r="E118" i="9"/>
  <c r="E4" i="52" s="1"/>
  <c r="B48" i="72" s="1"/>
  <c r="C5" i="74"/>
  <c r="D5" i="74"/>
  <c r="H108" i="9"/>
  <c r="D15" i="53" s="1"/>
  <c r="B31" i="72" s="1"/>
  <c r="D13" i="53"/>
  <c r="D122" i="9"/>
  <c r="B20" i="72"/>
  <c r="D6" i="53"/>
  <c r="B22" i="72" s="1"/>
  <c r="M69" i="88"/>
  <c r="N69" i="88" s="1"/>
  <c r="N61" i="80"/>
  <c r="N60" i="80"/>
  <c r="E39" i="84"/>
  <c r="E45" i="84"/>
  <c r="E20" i="84"/>
  <c r="E36" i="84"/>
  <c r="E40" i="84"/>
  <c r="E38" i="84"/>
  <c r="E28" i="84"/>
  <c r="E29" i="84"/>
  <c r="E26" i="84"/>
  <c r="E51" i="84"/>
  <c r="E47" i="84"/>
  <c r="E44" i="84"/>
  <c r="E33" i="84"/>
  <c r="E42" i="84"/>
  <c r="E46" i="84"/>
  <c r="E21" i="84"/>
  <c r="E18" i="84"/>
  <c r="E25" i="84"/>
  <c r="E35" i="84"/>
  <c r="R22" i="82"/>
  <c r="B21" i="82" s="1"/>
  <c r="B20" i="82"/>
  <c r="G53" i="84"/>
  <c r="H16" i="84"/>
  <c r="F16" i="84" s="1"/>
  <c r="E23" i="84"/>
  <c r="E37" i="84"/>
  <c r="E24" i="84"/>
  <c r="E30" i="84"/>
  <c r="E43" i="84"/>
  <c r="E19" i="84"/>
  <c r="E52" i="84"/>
  <c r="E34" i="84"/>
  <c r="E49" i="84"/>
  <c r="E27" i="84"/>
  <c r="E22" i="84"/>
  <c r="E48" i="84"/>
  <c r="E32" i="84"/>
  <c r="E41" i="84"/>
  <c r="E50" i="84"/>
  <c r="E17" i="84"/>
  <c r="E31" i="84"/>
  <c r="J53" i="84"/>
  <c r="I57" i="84"/>
  <c r="I58" i="84" s="1"/>
  <c r="C19" i="78"/>
  <c r="C20" i="78"/>
  <c r="P57" i="88" l="1"/>
  <c r="N59" i="88"/>
  <c r="N60" i="88" s="1"/>
  <c r="D14" i="53"/>
  <c r="B32" i="72" s="1"/>
  <c r="B30" i="72"/>
  <c r="D8" i="52"/>
  <c r="G14" i="74"/>
  <c r="B6" i="74" s="1"/>
  <c r="D123" i="9"/>
  <c r="D9" i="52" s="1"/>
  <c r="N61" i="88"/>
  <c r="C102" i="78"/>
  <c r="C21" i="78"/>
  <c r="G19" i="78"/>
  <c r="D22" i="78"/>
  <c r="C103" i="78"/>
  <c r="G20" i="78"/>
  <c r="H53" i="84"/>
  <c r="F53" i="84" s="1"/>
  <c r="K53" i="84"/>
  <c r="G57" i="84"/>
  <c r="G58" i="84" s="1"/>
  <c r="D6" i="74" l="1"/>
  <c r="D45" i="9"/>
  <c r="M48" i="9"/>
  <c r="M49" i="9" s="1"/>
  <c r="C6" i="74"/>
  <c r="G21" i="78"/>
  <c r="C32" i="78"/>
  <c r="C85" i="9" l="1"/>
  <c r="C64" i="9"/>
  <c r="C63" i="9" s="1"/>
  <c r="C67" i="9" s="1"/>
  <c r="C68" i="9" s="1"/>
  <c r="D54" i="9" s="1"/>
  <c r="D52" i="9"/>
  <c r="D53" i="9"/>
  <c r="D48" i="9" s="1"/>
  <c r="M52" i="9" s="1"/>
  <c r="C93" i="9"/>
  <c r="C86" i="9" s="1"/>
  <c r="C78" i="9"/>
  <c r="C73" i="9" s="1"/>
  <c r="C72" i="9"/>
  <c r="D55" i="9"/>
  <c r="M53" i="9" s="1"/>
  <c r="L68" i="9"/>
  <c r="M68" i="9" s="1"/>
  <c r="L67" i="9"/>
  <c r="M67" i="9" s="1"/>
  <c r="L63" i="9"/>
  <c r="M63" i="9" s="1"/>
  <c r="L64" i="9"/>
  <c r="M64" i="9" s="1"/>
  <c r="L66" i="9"/>
  <c r="M66" i="9" s="1"/>
  <c r="L65" i="9"/>
  <c r="M65" i="9" s="1"/>
  <c r="H118" i="78"/>
  <c r="C35" i="78"/>
  <c r="F118" i="78" s="1"/>
  <c r="M69" i="9" l="1"/>
  <c r="N69" i="9" s="1"/>
  <c r="C79" i="9"/>
  <c r="C95" i="9"/>
  <c r="C34" i="78"/>
  <c r="D118" i="78" s="1"/>
  <c r="D119" i="78" s="1"/>
  <c r="F119" i="78"/>
  <c r="G118" i="78"/>
  <c r="H119" i="78"/>
  <c r="H101" i="78"/>
  <c r="C104" i="78"/>
  <c r="I118" i="78"/>
  <c r="C96" i="9" l="1"/>
  <c r="E96" i="9" s="1"/>
  <c r="E97" i="9" s="1"/>
  <c r="C97" i="9"/>
  <c r="D58" i="9" s="1"/>
  <c r="D56" i="9" s="1"/>
  <c r="M54" i="9" s="1"/>
  <c r="N57" i="9" s="1"/>
  <c r="C80" i="9"/>
  <c r="E80" i="9" s="1"/>
  <c r="E81" i="9" s="1"/>
  <c r="E118" i="78"/>
  <c r="H102" i="78"/>
  <c r="C105" i="78"/>
  <c r="M48" i="78"/>
  <c r="H107" i="78"/>
  <c r="D45" i="78"/>
  <c r="C81" i="9" l="1"/>
  <c r="N58" i="9"/>
  <c r="P57" i="9"/>
  <c r="N59" i="9"/>
  <c r="M49" i="78"/>
  <c r="D122" i="78"/>
  <c r="D123" i="78" s="1"/>
  <c r="H108" i="78"/>
  <c r="D55" i="78"/>
  <c r="M53" i="78" s="1"/>
  <c r="C85" i="78"/>
  <c r="C78" i="78"/>
  <c r="C73" i="78" s="1"/>
  <c r="C64" i="78"/>
  <c r="C63" i="78" s="1"/>
  <c r="C67" i="78" s="1"/>
  <c r="C68" i="78" s="1"/>
  <c r="D54" i="78" s="1"/>
  <c r="C72" i="78"/>
  <c r="D52" i="78"/>
  <c r="D53" i="78"/>
  <c r="C93" i="78"/>
  <c r="C86" i="78" s="1"/>
  <c r="N60" i="9" l="1"/>
  <c r="N61" i="9"/>
  <c r="C79" i="78"/>
  <c r="C80" i="78" s="1"/>
  <c r="E80" i="78" s="1"/>
  <c r="E81" i="78" s="1"/>
  <c r="C95" i="78"/>
  <c r="L66" i="78"/>
  <c r="M66" i="78" s="1"/>
  <c r="L65" i="78"/>
  <c r="M65" i="78" s="1"/>
  <c r="L63" i="78"/>
  <c r="M63" i="78" s="1"/>
  <c r="L67" i="78"/>
  <c r="M67" i="78" s="1"/>
  <c r="L68" i="78"/>
  <c r="M68" i="78" s="1"/>
  <c r="L64" i="78"/>
  <c r="M64" i="78" s="1"/>
  <c r="C96" i="78" l="1"/>
  <c r="E96" i="78" s="1"/>
  <c r="E97" i="78" s="1"/>
  <c r="M69" i="78"/>
  <c r="N69" i="78" s="1"/>
  <c r="C81" i="78"/>
  <c r="C97" i="78" l="1"/>
  <c r="D58" i="78" s="1"/>
  <c r="D56" i="78" s="1"/>
  <c r="M54" i="78" s="1"/>
  <c r="N57" i="78" s="1"/>
  <c r="N58" i="78" l="1"/>
  <c r="P57" i="78"/>
  <c r="N59" i="78"/>
  <c r="N61" i="78" l="1"/>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<sst xmlns="http://schemas.openxmlformats.org/spreadsheetml/2006/main" count="12395" uniqueCount="3669">
  <si>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</si>
  <si>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</si>
  <si>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</si>
  <si>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</si>
  <si>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</si>
  <si>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</si>
  <si>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</si>
  <si>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</si>
  <si>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</si>
  <si>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</si>
  <si>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</si>
  <si>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</si>
  <si>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</si>
  <si>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</si>
  <si>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</si>
  <si>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</si>
  <si>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</si>
  <si>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</si>
  <si>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</si>
  <si>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</si>
  <si>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</si>
  <si>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</si>
  <si>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</si>
  <si>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</si>
  <si>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</si>
  <si>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</si>
  <si>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</si>
  <si>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</si>
  <si>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</si>
  <si>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</si>
  <si>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</si>
  <si>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</si>
  <si>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</si>
  <si>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</si>
  <si>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</si>
  <si>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</si>
  <si>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</si>
  <si>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</si>
  <si>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</si>
  <si>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</si>
  <si>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</si>
  <si>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</si>
  <si>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</si>
  <si>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</si>
  <si>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</si>
  <si>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</si>
  <si>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</si>
  <si>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</si>
  <si>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</si>
  <si>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</si>
  <si>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</si>
  <si>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</si>
  <si>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</si>
  <si>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</si>
  <si>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</si>
  <si>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</si>
  <si>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</si>
  <si>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</si>
  <si>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</si>
  <si>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</si>
  <si>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</si>
  <si>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</si>
  <si>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</si>
  <si>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</si>
  <si>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</si>
  <si>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</si>
  <si>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</si>
  <si>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</si>
  <si>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</si>
  <si>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</si>
  <si>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</si>
  <si>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</si>
  <si>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</si>
  <si>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</si>
  <si>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</si>
  <si>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</si>
  <si>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</si>
  <si>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</si>
  <si>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</si>
  <si>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</si>
  <si>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</si>
  <si>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</si>
  <si>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</si>
  <si>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</si>
  <si>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</si>
  <si>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</si>
  <si>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</si>
  <si>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</si>
  <si>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</si>
  <si>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</si>
  <si>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</si>
  <si>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</si>
  <si>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</si>
  <si>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</si>
  <si>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</si>
  <si>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</si>
  <si>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</si>
  <si>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</si>
  <si>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</si>
  <si>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</si>
  <si>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</si>
  <si>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</si>
  <si>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</si>
  <si>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</si>
  <si>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</si>
  <si>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</si>
  <si>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</si>
  <si>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</si>
  <si>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</si>
  <si>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</si>
  <si>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</si>
  <si>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</si>
  <si>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</si>
  <si>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</si>
  <si>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</si>
  <si>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</si>
  <si>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</si>
  <si>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</si>
  <si>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</si>
  <si>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</si>
  <si>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</si>
  <si>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</si>
  <si>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</si>
  <si>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</si>
  <si>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</si>
  <si>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</si>
  <si>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</si>
  <si>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</si>
  <si>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</si>
  <si>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</si>
  <si>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</si>
  <si>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</si>
  <si>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</si>
  <si>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</si>
  <si>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</si>
  <si>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</si>
  <si>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</si>
  <si>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</si>
  <si>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</si>
  <si>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</si>
  <si>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</si>
  <si>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</si>
  <si>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</si>
  <si>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</si>
  <si>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</si>
  <si>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</si>
  <si>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</si>
  <si>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</si>
  <si>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</si>
  <si>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</si>
  <si>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</si>
  <si>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</si>
  <si>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</si>
  <si>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</si>
  <si>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</si>
  <si>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</si>
  <si>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</si>
  <si>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</si>
  <si>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</si>
  <si>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</si>
  <si>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</si>
  <si>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</si>
  <si>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</si>
  <si>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</si>
  <si>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</si>
  <si>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</si>
  <si>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</si>
  <si>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</si>
  <si>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</si>
  <si>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</si>
  <si>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</si>
  <si>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</si>
  <si>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</si>
  <si>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</si>
  <si>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</si>
  <si>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</si>
  <si>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</si>
  <si>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</si>
  <si>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</si>
  <si>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</si>
  <si>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</si>
  <si>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</si>
  <si>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</si>
  <si>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</si>
  <si>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</si>
  <si>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</si>
  <si>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</si>
  <si>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</si>
  <si>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</si>
  <si>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</si>
  <si>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</si>
  <si>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</si>
  <si>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</si>
  <si>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</si>
  <si>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</si>
  <si>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</si>
  <si>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</si>
  <si>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</si>
  <si>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</si>
  <si>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</si>
  <si>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</si>
  <si>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</si>
  <si>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</si>
  <si>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</si>
  <si>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</si>
  <si>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</si>
  <si>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</si>
  <si>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</si>
  <si>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</si>
  <si>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</si>
  <si>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</si>
  <si>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</si>
  <si>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</si>
  <si>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</si>
  <si>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</si>
  <si>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</si>
  <si>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</si>
  <si>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</si>
  <si>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</si>
  <si>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</si>
  <si>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</si>
  <si>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</si>
  <si>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</si>
  <si>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</si>
  <si>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</si>
  <si>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</si>
  <si>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</si>
  <si>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</si>
  <si>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</si>
  <si>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</si>
  <si>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</si>
  <si>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</si>
  <si>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</si>
  <si>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</si>
  <si>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</si>
  <si>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</si>
  <si>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</si>
  <si>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</si>
  <si>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</si>
  <si>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</si>
  <si>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</si>
  <si>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</si>
  <si>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</si>
  <si>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</si>
  <si>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</si>
  <si>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</si>
  <si>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</si>
  <si>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</si>
  <si>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</si>
  <si>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</si>
  <si>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</si>
  <si>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</si>
  <si>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</si>
  <si>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</si>
  <si>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</si>
  <si>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</si>
  <si>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</si>
  <si>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</si>
  <si>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</si>
  <si>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</si>
  <si>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</si>
  <si>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</si>
  <si>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</si>
  <si>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</si>
  <si>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</si>
  <si>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</si>
  <si>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</si>
  <si>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</si>
  <si>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</si>
  <si>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</si>
  <si>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</si>
  <si>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</si>
  <si>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</si>
  <si>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</si>
  <si>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</si>
  <si>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</si>
  <si>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</si>
  <si>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</si>
  <si>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</si>
  <si>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</si>
  <si>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</si>
  <si>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</si>
  <si>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</si>
  <si>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</si>
  <si>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</si>
  <si>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</si>
  <si>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</si>
  <si>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</si>
  <si>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</si>
  <si>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</si>
  <si>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</si>
  <si>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</si>
  <si>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</si>
  <si>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</si>
  <si>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</si>
  <si>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</si>
  <si>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</si>
  <si>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</si>
  <si>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</si>
  <si>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</si>
  <si>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</si>
  <si>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</si>
  <si>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</si>
  <si>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</si>
  <si>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</si>
  <si>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</si>
  <si>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</si>
  <si>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</si>
  <si>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</si>
  <si>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</si>
  <si>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</si>
  <si>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</si>
  <si>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</si>
  <si>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</si>
  <si>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</si>
  <si>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</si>
  <si>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</si>
  <si>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</si>
  <si>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</si>
  <si>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</si>
  <si>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</si>
  <si>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</si>
  <si>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</si>
  <si>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</si>
  <si>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</si>
  <si>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</si>
  <si>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</si>
  <si>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</si>
  <si>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</si>
  <si>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</si>
  <si>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</si>
  <si>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</si>
  <si>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</si>
  <si>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</si>
  <si>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</si>
  <si>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</si>
  <si>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</si>
  <si>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</si>
  <si>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</si>
  <si>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</si>
  <si>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</si>
  <si>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</si>
  <si>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</si>
  <si>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</si>
  <si>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</si>
  <si>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</si>
  <si>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</si>
  <si>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</si>
  <si>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</si>
  <si>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</si>
  <si>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</si>
  <si>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</si>
  <si>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</si>
  <si>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</si>
  <si>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</si>
  <si>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</si>
  <si>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</si>
  <si>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</si>
  <si>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</si>
  <si>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</si>
  <si>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</si>
  <si>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</si>
  <si>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</si>
  <si>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</si>
  <si>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</si>
  <si>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</si>
  <si>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</si>
  <si>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</si>
  <si>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</si>
  <si>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</si>
  <si>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</si>
  <si>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</si>
  <si>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</si>
  <si>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</si>
  <si>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</si>
  <si>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</si>
  <si>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</si>
  <si>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</si>
  <si>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</si>
  <si>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</si>
  <si>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</si>
  <si>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</si>
  <si>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</si>
  <si>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</si>
  <si>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</si>
  <si>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</si>
  <si>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</si>
  <si>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</si>
  <si>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</si>
  <si>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</si>
  <si>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</si>
  <si>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</si>
  <si>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</si>
  <si>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</si>
  <si>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</si>
  <si>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</si>
  <si>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</si>
  <si>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</si>
  <si>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</si>
  <si>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</si>
  <si>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</si>
  <si>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</si>
  <si>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</si>
  <si>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</si>
  <si>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</si>
  <si>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</si>
  <si>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</si>
  <si>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</si>
  <si>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</si>
  <si>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</si>
  <si>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</si>
  <si>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</si>
  <si>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</si>
  <si>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</si>
  <si>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</si>
  <si>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</si>
  <si>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</si>
  <si>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</si>
  <si>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</si>
  <si>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</si>
  <si>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</si>
  <si>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</si>
  <si>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</si>
  <si>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</si>
  <si>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</si>
  <si>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</si>
  <si>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</si>
  <si>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</si>
  <si>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</si>
  <si>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</si>
  <si>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</si>
  <si>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</si>
  <si>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</si>
  <si>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</si>
  <si>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</si>
  <si>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</si>
  <si>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</si>
  <si>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</si>
  <si>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</si>
  <si>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</si>
  <si>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</si>
  <si>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</si>
  <si>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</si>
  <si>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</si>
  <si>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</si>
  <si>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</si>
  <si>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</si>
  <si>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</si>
  <si>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</si>
  <si>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</si>
  <si>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</si>
  <si>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</si>
  <si>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</si>
  <si>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</si>
  <si>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</si>
  <si>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</si>
  <si>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</si>
  <si>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</si>
  <si>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</si>
  <si>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</si>
  <si>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</si>
  <si>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</si>
  <si>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</si>
  <si>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</si>
  <si>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</si>
  <si>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</si>
  <si>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</si>
  <si>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</si>
  <si>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</si>
  <si>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</si>
  <si>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</si>
  <si>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</si>
  <si>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</si>
  <si>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</si>
  <si>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</si>
  <si>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</si>
  <si>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</si>
  <si>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</si>
  <si>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</si>
  <si>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</si>
  <si>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</si>
  <si>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</si>
  <si>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</si>
  <si>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</si>
  <si>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</si>
  <si>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</si>
  <si>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</si>
  <si>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</si>
  <si>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</si>
  <si>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</si>
  <si>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</si>
  <si>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</si>
  <si>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</si>
  <si>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</si>
  <si>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</si>
  <si>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</si>
  <si>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</si>
  <si>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</si>
  <si>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</si>
  <si>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</si>
  <si>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</si>
  <si>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</si>
  <si>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</si>
  <si>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</si>
  <si>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</si>
  <si>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</si>
  <si>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</si>
  <si>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</si>
  <si>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</si>
  <si>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</si>
  <si>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</si>
  <si>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</si>
  <si>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</si>
  <si>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</si>
  <si>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</si>
  <si>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</si>
  <si>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</si>
  <si>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</si>
  <si>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</si>
  <si>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</si>
  <si>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</si>
  <si>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</si>
  <si>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</si>
  <si>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</si>
  <si>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</si>
  <si>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</si>
  <si>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</si>
  <si>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</si>
  <si>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</si>
  <si>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</si>
  <si>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</si>
  <si>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</si>
  <si>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</si>
  <si>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</si>
  <si>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</si>
  <si>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</si>
  <si>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</si>
  <si>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</si>
  <si>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</si>
  <si>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</si>
  <si>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</si>
  <si>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</si>
  <si>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</si>
  <si>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</si>
  <si>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</si>
  <si>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</si>
  <si>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</si>
  <si>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</si>
  <si>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</si>
  <si>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</si>
  <si>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</si>
  <si>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</si>
  <si>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</si>
  <si>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</si>
  <si>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</si>
  <si>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</si>
  <si>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</si>
  <si>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</si>
  <si>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</si>
  <si>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</si>
  <si>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</si>
  <si>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</si>
  <si>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</si>
  <si>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</si>
  <si>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</si>
  <si>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</si>
  <si>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</si>
  <si>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</si>
  <si>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</si>
  <si>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</si>
  <si>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</si>
  <si>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</si>
  <si>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</si>
  <si>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</si>
  <si>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</si>
  <si>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</si>
  <si>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</si>
  <si>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</si>
  <si>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</si>
  <si>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</si>
  <si>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</si>
  <si>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</si>
  <si>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</si>
  <si>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</si>
  <si>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</si>
  <si>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</si>
  <si>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</si>
  <si>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</si>
  <si>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</si>
  <si>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</si>
  <si>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</si>
  <si>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</si>
  <si>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</si>
  <si>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</si>
  <si>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</si>
  <si>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</si>
  <si>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</si>
  <si>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</si>
  <si>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</si>
  <si>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</si>
  <si>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</si>
  <si>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</si>
  <si>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</si>
  <si>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</si>
  <si>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</si>
  <si>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</si>
  <si>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</si>
  <si>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</si>
  <si>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</si>
  <si>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</si>
  <si>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</si>
  <si>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</si>
  <si>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</si>
  <si>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</si>
  <si>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</si>
  <si>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</si>
  <si>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</si>
  <si>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</si>
  <si>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</si>
  <si>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</si>
  <si>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</si>
  <si>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</si>
  <si>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</si>
  <si>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</si>
  <si>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</si>
  <si>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</si>
  <si>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</si>
  <si>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</si>
  <si>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</si>
  <si>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</si>
  <si>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</si>
  <si>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</si>
  <si>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</si>
  <si>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</si>
  <si>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</si>
  <si>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</si>
  <si>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</si>
  <si>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</si>
  <si>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</si>
  <si>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</si>
  <si>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</si>
  <si>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</si>
  <si>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</si>
  <si>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</si>
  <si>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</si>
  <si>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</si>
  <si>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</si>
  <si>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</si>
  <si>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</si>
  <si>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</si>
  <si>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</si>
  <si>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</si>
  <si>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</si>
  <si>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</si>
  <si>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</si>
  <si>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</si>
  <si>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</si>
  <si>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</si>
  <si>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</si>
  <si>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</si>
  <si>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</si>
  <si>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</si>
  <si>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</si>
  <si>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</si>
  <si>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</si>
  <si>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</si>
  <si>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</si>
  <si>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</si>
  <si>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</si>
  <si>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</si>
  <si>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</si>
  <si>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</si>
  <si>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</si>
  <si>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</si>
  <si>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</si>
  <si>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</si>
  <si>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</si>
  <si>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</si>
  <si>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</si>
  <si>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</si>
  <si>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</si>
  <si>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</si>
  <si>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</si>
  <si>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</si>
  <si>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</si>
  <si>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</si>
  <si>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</si>
  <si>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</si>
  <si>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</si>
  <si>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</si>
  <si>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</si>
  <si>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</si>
  <si>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</si>
  <si>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</si>
  <si>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</si>
  <si>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</si>
  <si>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</si>
  <si>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</si>
  <si>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</si>
  <si>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</si>
  <si>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</si>
  <si>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</si>
  <si>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</si>
  <si>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</si>
  <si>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</si>
  <si>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</si>
  <si>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</si>
  <si>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</si>
  <si>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</si>
  <si>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</si>
  <si>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</si>
  <si>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</si>
  <si>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</si>
  <si>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</si>
  <si>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</si>
  <si>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</si>
  <si>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</si>
  <si>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</si>
  <si>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</si>
  <si>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</si>
  <si>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</si>
  <si>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</si>
  <si>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</si>
  <si>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</si>
  <si>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</si>
  <si>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</si>
  <si>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</si>
  <si>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</si>
  <si>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</si>
  <si>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</si>
  <si>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</si>
  <si>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</si>
  <si>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</si>
  <si>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</si>
  <si>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</si>
  <si>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</si>
  <si>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</si>
  <si>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</si>
  <si>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</si>
  <si>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</si>
  <si>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</si>
  <si>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</si>
  <si>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</si>
  <si>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</si>
  <si>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</si>
  <si>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</si>
  <si>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</si>
  <si>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</si>
  <si>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</si>
  <si>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</si>
  <si>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</si>
  <si>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</si>
  <si>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</si>
  <si>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</si>
  <si>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</si>
  <si>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</si>
  <si>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</si>
  <si>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</si>
  <si>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</si>
  <si>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</si>
  <si>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</si>
  <si>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</si>
  <si>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</si>
  <si>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</si>
  <si>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</si>
  <si>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</si>
  <si>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</si>
  <si>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</si>
  <si>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</si>
  <si>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</si>
  <si>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</si>
  <si>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</si>
  <si>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</si>
  <si>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</si>
  <si>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</si>
  <si>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</si>
  <si>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</si>
  <si>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</si>
  <si>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</si>
  <si>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</si>
  <si>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</si>
  <si>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</si>
  <si>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</si>
  <si>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</si>
  <si>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</si>
  <si>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</si>
  <si>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</si>
  <si>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</si>
  <si>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</si>
  <si>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</si>
  <si>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</si>
  <si>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</si>
  <si>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</si>
  <si>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</si>
  <si>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</si>
  <si>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</si>
  <si>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</si>
  <si>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</si>
  <si>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</si>
  <si>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</si>
  <si>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</si>
  <si>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</si>
  <si>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</si>
  <si>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</si>
  <si>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</si>
  <si>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</si>
  <si>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</si>
  <si>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</si>
  <si>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</si>
  <si>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</si>
  <si>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</si>
  <si>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</si>
  <si>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</si>
  <si>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</si>
  <si>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</si>
  <si>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</si>
  <si>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</si>
  <si>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</si>
  <si>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</si>
  <si>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</si>
  <si>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</si>
  <si>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</si>
  <si>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</si>
  <si>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</si>
  <si>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</si>
  <si>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</si>
  <si>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</si>
  <si>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</si>
  <si>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</si>
  <si>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</si>
  <si>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</si>
  <si>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</si>
  <si>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</si>
  <si>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</si>
  <si>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</si>
  <si>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</si>
  <si>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</si>
  <si>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</si>
  <si>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</si>
  <si>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</si>
  <si>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</si>
  <si>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</si>
  <si>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</si>
  <si>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</si>
  <si>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</si>
  <si>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</si>
  <si>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</si>
  <si>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</si>
  <si>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</si>
  <si>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</si>
  <si>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</si>
  <si>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</si>
  <si>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</si>
  <si>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</si>
  <si>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</si>
  <si>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</si>
  <si>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</si>
  <si>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</si>
  <si>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</si>
  <si>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</si>
  <si>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</si>
  <si>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</si>
  <si>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</si>
  <si>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</si>
  <si>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</si>
  <si>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</si>
  <si>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</si>
  <si>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</si>
  <si>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</si>
  <si>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</si>
  <si>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</si>
  <si>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</si>
  <si>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</si>
  <si>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</si>
  <si>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</si>
  <si>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</si>
  <si>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</si>
  <si>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</si>
  <si>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</si>
  <si>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</si>
  <si>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</si>
  <si>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</si>
  <si>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</si>
  <si>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</si>
  <si>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</si>
  <si>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</si>
  <si>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</si>
  <si>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</si>
  <si>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</si>
  <si>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</si>
  <si>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</si>
  <si>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</si>
  <si>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</si>
  <si>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</si>
  <si>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</si>
  <si>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</si>
  <si>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</si>
  <si>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</si>
  <si>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</si>
  <si>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</si>
  <si>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</si>
  <si>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</si>
  <si>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</si>
  <si>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</si>
  <si>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</si>
  <si>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</si>
  <si>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</si>
  <si>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</si>
  <si>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</si>
  <si>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</si>
  <si>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</si>
  <si>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</si>
  <si>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</si>
  <si>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</si>
  <si>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</si>
  <si>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</si>
  <si>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</si>
  <si>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</si>
  <si>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</si>
  <si>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</si>
  <si>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</si>
  <si>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</si>
  <si>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</si>
  <si>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</si>
  <si>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</si>
  <si>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</si>
  <si>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</si>
  <si>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</si>
  <si>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</si>
  <si>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</si>
  <si>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</si>
  <si>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</si>
  <si>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</si>
  <si>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</si>
  <si>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</si>
  <si>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</si>
  <si>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</si>
  <si>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</si>
  <si>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</si>
  <si>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</si>
  <si>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</si>
  <si>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</si>
  <si>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</si>
  <si>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</si>
  <si>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</si>
  <si>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</si>
  <si>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</si>
  <si>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</si>
  <si>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</si>
  <si>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</si>
  <si>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</si>
  <si>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</si>
  <si>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</si>
  <si>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</si>
  <si>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</si>
  <si>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</si>
  <si>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</si>
  <si>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</si>
  <si>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</si>
  <si>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</si>
  <si>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</si>
  <si>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</si>
  <si>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</si>
  <si>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</si>
  <si>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</si>
  <si>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</si>
  <si>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</si>
  <si>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</si>
  <si>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</si>
  <si>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</si>
  <si>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</si>
  <si>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</si>
  <si>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</si>
  <si>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</si>
  <si>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</si>
  <si>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</si>
  <si>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</si>
  <si>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</si>
  <si>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</si>
  <si>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</si>
  <si>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</si>
  <si>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</si>
  <si>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</si>
  <si>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</si>
  <si>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</si>
  <si>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</si>
  <si>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</si>
  <si>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</si>
  <si>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</si>
  <si>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</si>
  <si>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</si>
  <si>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</si>
  <si>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</si>
  <si>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</si>
  <si>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</si>
  <si>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</si>
  <si>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</si>
  <si>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</si>
  <si>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</si>
  <si>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</si>
  <si>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</si>
  <si>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</si>
  <si>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</si>
  <si>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</si>
  <si>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</si>
  <si>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</si>
  <si>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</si>
  <si>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</si>
  <si>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</si>
  <si>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</si>
  <si>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</si>
  <si>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</si>
  <si>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</si>
  <si>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</si>
  <si>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</si>
  <si>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</si>
  <si>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</si>
  <si>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</si>
  <si>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</si>
  <si>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</si>
  <si>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</si>
  <si>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</si>
  <si>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</si>
  <si>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</si>
  <si>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</si>
  <si>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</si>
  <si>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</si>
  <si>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</si>
  <si>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</si>
  <si>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</si>
  <si>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</si>
  <si>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</si>
  <si>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</si>
  <si>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</si>
  <si>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</si>
  <si>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</si>
  <si>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</si>
  <si>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</si>
  <si>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</si>
  <si>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</si>
  <si>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</si>
  <si>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</si>
  <si>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</si>
  <si>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</si>
  <si>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</si>
  <si>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</si>
  <si>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</si>
  <si>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</si>
  <si>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</si>
  <si>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</si>
  <si>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</si>
  <si>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</si>
  <si>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</si>
  <si>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</si>
  <si>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</si>
  <si>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</si>
  <si>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</si>
  <si>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</si>
  <si>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</si>
  <si>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</si>
  <si>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</si>
  <si>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</si>
  <si>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</si>
  <si>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</si>
  <si>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</si>
  <si>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</si>
  <si>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</si>
  <si>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</si>
  <si>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</si>
  <si>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</si>
  <si>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</si>
  <si>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</si>
  <si>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</si>
  <si>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</si>
  <si>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</si>
  <si>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</si>
  <si>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</si>
  <si>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</si>
  <si>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</si>
  <si>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</si>
  <si>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</si>
  <si>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</si>
  <si>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</si>
  <si>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</si>
  <si>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</si>
  <si>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</si>
  <si>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</si>
  <si>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</si>
  <si>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</si>
  <si>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</si>
  <si>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</si>
  <si>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</si>
  <si>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</si>
  <si>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</si>
  <si>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</si>
  <si>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</si>
  <si>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</si>
  <si>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</si>
  <si>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</si>
  <si>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</si>
  <si>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</si>
  <si>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</si>
  <si>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</si>
  <si>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</si>
  <si>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</si>
  <si>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</si>
  <si>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</si>
  <si>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</si>
  <si>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</si>
  <si>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</si>
  <si>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</si>
  <si>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</si>
  <si>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</si>
  <si>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</si>
  <si>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</si>
  <si>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</si>
  <si>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</si>
  <si>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</si>
  <si>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</si>
  <si>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</si>
  <si>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</si>
  <si>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</si>
  <si>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</si>
  <si>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</si>
  <si>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</si>
  <si>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</si>
  <si>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</si>
  <si>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</si>
  <si>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</si>
  <si>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</si>
  <si>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</si>
  <si>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</si>
  <si>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</si>
  <si>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</si>
  <si>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</si>
  <si>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</si>
  <si>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</si>
  <si>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</si>
  <si>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</si>
  <si>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</si>
  <si>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</si>
  <si>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</si>
  <si>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</si>
  <si>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</si>
  <si>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</si>
  <si>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</si>
  <si>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</si>
  <si>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</si>
  <si>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</si>
  <si>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</si>
  <si>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</si>
  <si>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</si>
  <si>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</si>
  <si>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</si>
  <si>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</si>
  <si>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</si>
  <si>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</si>
  <si>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</si>
  <si>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</si>
  <si>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</si>
  <si>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</si>
  <si>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</si>
  <si>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</si>
  <si>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</si>
  <si>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</si>
  <si>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</si>
  <si>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</si>
  <si>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</si>
  <si>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</si>
  <si>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</si>
  <si>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</si>
  <si>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</si>
  <si>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</si>
  <si>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</si>
  <si>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</si>
  <si>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</si>
  <si>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</si>
  <si>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</si>
  <si>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</si>
  <si>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</si>
  <si>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</si>
  <si>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</si>
  <si>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</si>
  <si>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</si>
  <si>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</si>
  <si>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</si>
  <si>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</si>
  <si>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</si>
  <si>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</si>
  <si>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</si>
  <si>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</si>
  <si>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</si>
  <si>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</si>
  <si>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</si>
  <si>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</si>
  <si>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</si>
  <si>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</si>
  <si>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</si>
  <si>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</si>
  <si>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</si>
  <si>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</si>
  <si>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</si>
  <si>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</si>
  <si>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</si>
  <si>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</si>
  <si>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</si>
  <si>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</si>
  <si>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</si>
  <si>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</si>
  <si>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</si>
  <si>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</si>
  <si>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</si>
  <si>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</si>
  <si>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</si>
  <si>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</si>
  <si>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</si>
  <si>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</si>
  <si>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</si>
  <si>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</si>
  <si>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</si>
  <si>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</si>
  <si>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</si>
  <si>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</si>
  <si>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</si>
  <si>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</si>
  <si>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</si>
  <si>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</si>
  <si>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</si>
  <si>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</si>
  <si>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</si>
  <si>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</si>
  <si>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</si>
  <si>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</si>
  <si>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</si>
  <si>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</si>
  <si>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</si>
  <si>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</si>
  <si>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</si>
  <si>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</si>
  <si>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</si>
  <si>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</si>
  <si>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</si>
  <si>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</si>
  <si>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</si>
  <si>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</si>
  <si>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</si>
  <si>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</si>
  <si>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</si>
  <si>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</si>
  <si>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</si>
  <si>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</si>
  <si>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</si>
  <si>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</si>
  <si>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</si>
  <si>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</si>
  <si>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</si>
  <si>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</si>
  <si>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</si>
  <si>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</si>
  <si>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</si>
  <si>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</si>
  <si>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</si>
  <si>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</si>
  <si>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</si>
  <si>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</si>
  <si>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</si>
  <si>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</si>
  <si>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</si>
  <si>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</si>
  <si>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</si>
  <si>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</si>
  <si>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</si>
  <si>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</si>
  <si>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</si>
  <si>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</si>
  <si>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</si>
  <si>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</si>
  <si>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</si>
  <si>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</si>
  <si>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</si>
  <si>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</si>
  <si>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</si>
  <si>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</si>
  <si>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</si>
  <si>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</si>
  <si>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</si>
  <si>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</si>
  <si>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</si>
  <si>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</si>
  <si>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</si>
  <si>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</si>
  <si>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</si>
  <si>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</si>
  <si>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</si>
  <si>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</si>
  <si>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</si>
  <si>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</si>
  <si>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</si>
  <si>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</si>
  <si>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</si>
  <si>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</si>
  <si>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</si>
  <si>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</si>
  <si>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</si>
  <si>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</si>
  <si>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</si>
  <si>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</si>
  <si>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</si>
  <si>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</si>
  <si>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</si>
  <si>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</si>
  <si>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</si>
  <si>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</si>
  <si>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</si>
  <si>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</si>
  <si>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</si>
  <si>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</si>
  <si>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</si>
  <si>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</si>
  <si>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</si>
  <si>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</si>
  <si>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</si>
  <si>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</si>
  <si>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</si>
  <si>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</si>
  <si>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</si>
  <si>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</si>
  <si>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</si>
  <si>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</si>
  <si>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</si>
  <si>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</si>
  <si>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</si>
  <si>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</si>
  <si>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</si>
  <si>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</si>
  <si>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</si>
  <si>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</si>
  <si>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</si>
  <si>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</si>
  <si>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</si>
  <si>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</si>
  <si>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</si>
  <si>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</si>
  <si>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</si>
  <si>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</si>
  <si>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</si>
  <si>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</si>
  <si>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</si>
  <si>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</si>
  <si>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</si>
  <si>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</si>
  <si>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</si>
  <si>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</si>
  <si>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</si>
  <si>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</si>
  <si>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</si>
  <si>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</si>
  <si>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</si>
  <si>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</si>
  <si>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</si>
  <si>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</si>
  <si>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</si>
  <si>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</si>
  <si>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</si>
  <si>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</si>
  <si>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</si>
  <si>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</si>
  <si>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</si>
  <si>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</si>
  <si>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</si>
  <si>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</si>
  <si>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</si>
  <si>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</si>
  <si>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</si>
  <si>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</si>
  <si>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</si>
  <si>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</si>
  <si>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</si>
  <si>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</si>
  <si>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</si>
  <si>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</si>
  <si>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</si>
  <si>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</si>
  <si>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</si>
  <si>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</si>
  <si>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</si>
  <si>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</si>
  <si>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</si>
  <si>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</si>
  <si>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</si>
  <si>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</si>
  <si>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</si>
  <si>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</si>
  <si>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</si>
  <si>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</si>
  <si>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</si>
  <si>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</si>
  <si>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</si>
  <si>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</si>
  <si>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</si>
  <si>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</si>
  <si>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</si>
  <si>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</si>
  <si>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</si>
  <si>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</si>
  <si>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</si>
  <si>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</si>
  <si>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</si>
  <si>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</si>
  <si>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</si>
  <si>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</si>
  <si>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</si>
  <si>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</si>
  <si>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</si>
  <si>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</si>
  <si>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</si>
  <si>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</si>
  <si>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</si>
  <si>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</si>
  <si>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</si>
  <si>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</si>
  <si>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</si>
  <si>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</si>
  <si>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</si>
  <si>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</si>
  <si>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</si>
  <si>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</si>
  <si>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</si>
  <si>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</si>
  <si>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</si>
  <si>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</si>
  <si>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</si>
  <si>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</si>
  <si>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</si>
  <si>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</si>
  <si>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</si>
  <si>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</si>
  <si>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</si>
  <si>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</si>
  <si>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</si>
  <si>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</si>
  <si>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</si>
  <si>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</si>
  <si>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</si>
  <si>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</si>
  <si>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</si>
  <si>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</si>
  <si>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</si>
  <si>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</si>
  <si>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</si>
  <si>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</si>
  <si>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</si>
  <si>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</si>
  <si>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</si>
  <si>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</si>
  <si>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</si>
  <si>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</si>
  <si>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</si>
  <si>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</si>
  <si>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</si>
  <si>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</si>
  <si>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</si>
  <si>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</si>
  <si>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</si>
  <si>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</si>
  <si>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</si>
  <si>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</si>
  <si>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</si>
  <si>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</si>
  <si>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</si>
  <si>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</si>
  <si>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</si>
  <si>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</si>
  <si>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</si>
  <si>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</si>
  <si>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</si>
  <si>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</si>
  <si>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</si>
  <si>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</si>
  <si>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</si>
  <si>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</si>
  <si>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</si>
  <si>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</si>
  <si>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</si>
  <si>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</si>
  <si>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</si>
  <si>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</si>
  <si>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</si>
  <si>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</si>
  <si>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</si>
  <si>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</si>
  <si>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</si>
  <si>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</si>
  <si>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</si>
  <si>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</si>
  <si>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</si>
  <si>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</si>
  <si>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</si>
  <si>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</si>
  <si>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</si>
  <si>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</si>
  <si>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</si>
  <si>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</si>
  <si>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</si>
  <si>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</si>
  <si>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</si>
  <si>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</si>
  <si>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</si>
  <si>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</si>
  <si>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</si>
  <si>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</si>
  <si>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</si>
  <si>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</si>
  <si>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</si>
  <si>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</si>
  <si>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</si>
  <si>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</si>
  <si>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</si>
  <si>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</si>
  <si>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</si>
  <si>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</si>
  <si>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</si>
  <si>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</si>
  <si>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</si>
  <si>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</si>
  <si>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</si>
  <si>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</si>
  <si>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</si>
  <si>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</si>
  <si>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</si>
  <si>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</si>
  <si>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</si>
  <si>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</si>
  <si>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</si>
  <si>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</si>
  <si>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</si>
  <si>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</si>
  <si>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</si>
  <si>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</si>
  <si>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</si>
  <si>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</si>
  <si>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</si>
  <si>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</si>
  <si>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</si>
  <si>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</si>
  <si>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</si>
  <si>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</si>
  <si>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</si>
  <si>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</si>
  <si>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</si>
  <si>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</si>
  <si>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</si>
  <si>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</si>
  <si>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</si>
  <si>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</si>
  <si>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</si>
  <si>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</si>
  <si>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</si>
  <si>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</si>
  <si>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</si>
  <si>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</si>
  <si>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</si>
  <si>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</si>
  <si>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</si>
  <si>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</si>
  <si>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</si>
  <si>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</si>
  <si>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</si>
  <si>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</si>
  <si>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</si>
  <si>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</si>
  <si>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</si>
  <si>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</si>
  <si>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</si>
  <si>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</si>
  <si>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</si>
  <si>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</si>
  <si>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</si>
  <si>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</si>
  <si>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</si>
  <si>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</si>
  <si>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</si>
  <si>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</si>
  <si>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</si>
  <si>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</si>
  <si>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</si>
  <si>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</si>
  <si>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</si>
  <si>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</si>
  <si>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</si>
  <si>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</si>
  <si>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</si>
  <si>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</si>
  <si>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</si>
  <si>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</si>
  <si>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</si>
  <si>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</si>
  <si>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</si>
  <si>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</si>
  <si>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</si>
  <si>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</si>
  <si>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</si>
  <si>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</si>
  <si>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</si>
  <si>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</si>
  <si>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</si>
  <si>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</si>
  <si>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</si>
  <si>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</si>
  <si>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</si>
  <si>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</si>
  <si>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</si>
  <si>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</si>
  <si>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</si>
  <si>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</si>
  <si>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</si>
  <si>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</si>
  <si>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</si>
  <si>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</si>
  <si>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</si>
  <si>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</si>
  <si>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</si>
  <si>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</si>
  <si>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</si>
  <si>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</si>
  <si>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</si>
  <si>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</si>
  <si>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</si>
  <si>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</si>
  <si>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</si>
  <si>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</si>
  <si>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</si>
  <si>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</si>
  <si>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</si>
  <si>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</si>
  <si>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</si>
  <si>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</si>
  <si>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</si>
  <si>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</si>
  <si>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</si>
  <si>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</si>
  <si>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</si>
  <si>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</si>
  <si>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</si>
  <si>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</si>
  <si>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</si>
  <si>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</si>
  <si>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</si>
  <si>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</si>
  <si>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</si>
  <si>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</si>
  <si>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</si>
  <si>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</si>
  <si>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</si>
  <si>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</si>
  <si>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</si>
  <si>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</si>
  <si>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</si>
  <si>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</si>
  <si>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</si>
  <si>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</si>
  <si>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</si>
  <si>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</si>
  <si>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</si>
  <si>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</si>
  <si>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</si>
  <si>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</si>
  <si>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</si>
  <si>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</si>
  <si>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</si>
  <si>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</si>
  <si>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</si>
  <si>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</si>
  <si>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</si>
  <si>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</si>
  <si>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</si>
  <si>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</si>
  <si>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</si>
  <si>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</si>
  <si>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</si>
  <si>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</si>
  <si>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</si>
  <si>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</si>
  <si>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</si>
  <si>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</si>
  <si>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</si>
  <si>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</si>
  <si>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</si>
  <si>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</si>
  <si>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</si>
  <si>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</si>
  <si>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</si>
  <si>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</si>
  <si>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</si>
  <si>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</si>
  <si>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</si>
  <si>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</si>
  <si>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</si>
  <si>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</si>
  <si>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</si>
  <si>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</si>
  <si>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</si>
  <si>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</si>
  <si>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</si>
  <si>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</si>
  <si>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</si>
  <si>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</si>
  <si>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</si>
  <si>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</si>
  <si>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</si>
  <si>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</si>
  <si>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</si>
  <si>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</si>
  <si>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</si>
  <si>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</si>
  <si>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</si>
  <si>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</si>
  <si>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</si>
  <si>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</si>
  <si>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</si>
  <si>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</si>
  <si>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</si>
  <si>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</si>
  <si>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</si>
  <si>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</si>
  <si>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</si>
  <si>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</si>
  <si>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</si>
  <si>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</si>
  <si>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</si>
  <si>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</si>
  <si>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</si>
  <si>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</si>
  <si>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</si>
  <si>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</si>
  <si>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</si>
  <si>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</si>
  <si>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</si>
  <si>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</si>
  <si>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</si>
  <si>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</si>
  <si>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</si>
  <si>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</si>
  <si>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</si>
  <si>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</si>
  <si>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</si>
  <si>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</si>
  <si>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</si>
  <si>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</si>
  <si>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</si>
  <si>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</si>
  <si>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</si>
  <si>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</si>
  <si>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</si>
  <si>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</si>
  <si>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</si>
  <si>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</si>
  <si>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</si>
  <si>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</si>
  <si>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</si>
  <si>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</si>
  <si>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</si>
  <si>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</si>
  <si>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</si>
  <si>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</si>
  <si>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</si>
  <si>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</si>
  <si>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</si>
  <si>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</si>
  <si>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</si>
  <si>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</si>
  <si>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</si>
  <si>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</si>
  <si>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</si>
  <si>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</si>
  <si>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</si>
  <si>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</si>
  <si>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</si>
  <si>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</si>
  <si>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</si>
  <si>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</si>
  <si>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</si>
  <si>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</si>
  <si>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</si>
  <si>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</si>
  <si>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</si>
  <si>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</si>
  <si>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</si>
  <si>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</si>
  <si>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</si>
  <si>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</si>
  <si>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</si>
  <si>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</si>
  <si>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</si>
  <si>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</si>
  <si>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</si>
  <si>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</si>
  <si>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</si>
  <si>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</si>
  <si>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</si>
  <si>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</si>
  <si>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</si>
  <si>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</si>
  <si>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</si>
  <si>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</si>
  <si>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</si>
  <si>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</si>
  <si>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</si>
  <si>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</si>
  <si>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</si>
  <si>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</si>
  <si>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</si>
  <si>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</si>
  <si>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</si>
  <si>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</si>
  <si>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</si>
  <si>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</si>
  <si>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</si>
  <si>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</si>
  <si>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</si>
  <si>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</si>
  <si>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</si>
  <si>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</si>
  <si>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</si>
  <si>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</si>
  <si>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</si>
  <si>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</si>
  <si>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</si>
  <si>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</si>
  <si>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</si>
  <si>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</si>
  <si>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</si>
  <si>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</si>
  <si>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</si>
  <si>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</si>
  <si>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</si>
  <si>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</si>
  <si>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</si>
  <si>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</si>
  <si>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</si>
  <si>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</si>
  <si>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</si>
  <si>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</si>
  <si>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</si>
  <si>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</si>
  <si>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</si>
  <si>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</si>
  <si>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</si>
  <si>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</si>
  <si>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</si>
  <si>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</si>
  <si>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</si>
  <si>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</si>
  <si>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</si>
  <si>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</si>
  <si>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</si>
  <si>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</si>
  <si>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</si>
  <si>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</si>
  <si>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</si>
  <si>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</si>
  <si>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</si>
  <si>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</si>
  <si>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</si>
  <si>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</si>
  <si>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</si>
  <si>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</si>
  <si>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</si>
  <si>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</si>
  <si>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</si>
  <si>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</si>
  <si>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</si>
  <si>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</si>
  <si>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</si>
  <si>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</si>
  <si>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</si>
  <si>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</si>
  <si>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</si>
  <si>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</si>
  <si>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</si>
  <si>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</si>
  <si>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</si>
  <si>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</si>
  <si>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</si>
  <si>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</si>
  <si>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</si>
  <si>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</si>
  <si>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</si>
  <si>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</si>
  <si>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</si>
  <si>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</si>
  <si>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</si>
  <si>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</si>
  <si>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</si>
  <si>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</si>
  <si>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</si>
  <si>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</si>
  <si>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</si>
  <si>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</si>
  <si>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</si>
  <si>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</si>
  <si>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</si>
  <si>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</si>
  <si>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</si>
  <si>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</si>
  <si>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</si>
  <si>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</si>
  <si>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</si>
  <si>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</si>
  <si>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</si>
  <si>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</si>
  <si>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</si>
  <si>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</si>
  <si>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</si>
  <si>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</si>
  <si>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</si>
  <si>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</si>
  <si>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</si>
  <si>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</si>
  <si>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</si>
  <si>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</si>
  <si>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</si>
  <si>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</si>
  <si>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</si>
  <si>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</si>
  <si>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</si>
  <si>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</si>
  <si>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</si>
  <si>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</si>
  <si>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</si>
  <si>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</si>
  <si>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</si>
  <si>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</si>
  <si>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</si>
  <si>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</si>
  <si>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</si>
  <si>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</si>
  <si>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</si>
  <si>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</si>
  <si>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</si>
  <si>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</si>
  <si>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</si>
  <si>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</si>
  <si>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</si>
  <si>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</si>
  <si>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</si>
  <si>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</si>
  <si>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</si>
  <si>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</si>
  <si>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</si>
  <si>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</si>
  <si>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</si>
  <si>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</si>
  <si>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</si>
  <si>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</si>
  <si>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</si>
  <si>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</si>
  <si>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</si>
  <si>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</si>
  <si>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</si>
  <si>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</si>
  <si>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</si>
  <si>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</si>
  <si>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</si>
  <si>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</si>
  <si>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</si>
  <si>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</si>
  <si>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</si>
  <si>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</si>
  <si>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</si>
  <si>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</si>
  <si>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</si>
  <si>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</si>
  <si>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</si>
  <si>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</si>
  <si>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</si>
  <si>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</si>
  <si>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</si>
  <si>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</si>
  <si>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</si>
  <si>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</si>
  <si>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</si>
  <si>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</si>
  <si>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</si>
  <si>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</si>
  <si>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</si>
  <si>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</si>
  <si>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</si>
  <si>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</si>
  <si>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</si>
  <si>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</si>
  <si>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</si>
  <si>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</si>
  <si>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</si>
  <si>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</si>
  <si>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</si>
  <si>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</si>
  <si>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</si>
  <si>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</si>
  <si>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</si>
  <si>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</si>
  <si>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</si>
  <si>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</si>
  <si>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</si>
  <si>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</si>
  <si>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</si>
  <si>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</si>
  <si>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</si>
  <si>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</si>
  <si>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</si>
  <si>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</si>
  <si>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</si>
  <si>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</si>
  <si>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</si>
  <si>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</si>
  <si>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</si>
  <si>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</si>
  <si>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</si>
  <si>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</si>
  <si>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</si>
  <si>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</si>
  <si>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</si>
  <si>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</si>
  <si>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</si>
  <si>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</si>
  <si>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</si>
  <si>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</si>
  <si>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</si>
  <si>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</si>
  <si>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</si>
  <si>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</si>
  <si>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</si>
  <si>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</si>
  <si>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</si>
  <si>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</si>
  <si>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</si>
  <si>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</si>
  <si>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</si>
  <si>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</si>
  <si>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</si>
  <si>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</si>
  <si>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</si>
  <si>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</si>
  <si>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</si>
  <si>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</si>
  <si>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</si>
  <si>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</si>
  <si>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</si>
  <si>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</si>
  <si>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</si>
  <si>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</si>
  <si>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</si>
  <si>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</si>
  <si>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</si>
  <si>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</si>
  <si>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</si>
  <si>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</si>
  <si>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</si>
  <si>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</si>
  <si>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</si>
  <si>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</si>
  <si>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</si>
  <si>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</si>
  <si>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</si>
  <si>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</si>
  <si>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</si>
  <si>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</si>
  <si>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</si>
  <si>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</si>
  <si>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</si>
  <si>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</si>
  <si>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</si>
  <si>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</si>
  <si>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</si>
  <si>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</si>
  <si>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</si>
  <si>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</si>
  <si>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</si>
  <si>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</si>
  <si>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</si>
  <si>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</si>
  <si>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</si>
  <si>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</si>
  <si>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</si>
  <si>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</si>
  <si>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</si>
  <si>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</si>
  <si>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</si>
  <si>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</si>
  <si>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</si>
  <si>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</si>
  <si>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</si>
  <si>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</si>
  <si>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</si>
  <si>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</si>
  <si>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</si>
  <si>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</si>
  <si>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</si>
  <si>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</si>
  <si>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</si>
  <si>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</si>
  <si>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</si>
  <si>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</si>
  <si>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</si>
  <si>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</si>
  <si>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</si>
  <si>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</si>
  <si>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</si>
  <si>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</si>
  <si>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</si>
  <si>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</si>
  <si>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</si>
  <si>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</si>
  <si>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</si>
  <si>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</si>
  <si>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</si>
  <si>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</si>
  <si>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</si>
  <si>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</si>
  <si>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</si>
  <si>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</si>
  <si>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</si>
  <si>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</si>
  <si>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</si>
  <si>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</si>
  <si>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</si>
  <si>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</si>
  <si>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</si>
  <si>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</si>
  <si>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</si>
  <si>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</si>
  <si>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</si>
  <si>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</si>
  <si>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</si>
  <si>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</si>
  <si>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</si>
  <si>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</si>
  <si>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</si>
  <si>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</si>
  <si>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</si>
  <si>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</si>
  <si>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</si>
  <si>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</si>
  <si>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</si>
  <si>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</si>
  <si>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</si>
  <si>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</si>
  <si>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</si>
  <si>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</si>
  <si>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</si>
  <si>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</si>
  <si>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</si>
  <si>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</si>
  <si>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</si>
  <si>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</si>
  <si>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</si>
  <si>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</si>
  <si>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</si>
  <si>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</si>
  <si>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</si>
  <si>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</si>
  <si>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</si>
  <si>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</si>
  <si>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</si>
  <si>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</si>
  <si>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</si>
  <si>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</si>
  <si>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</si>
  <si>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</si>
  <si>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</si>
  <si>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</si>
  <si>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</si>
  <si>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</si>
  <si>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</si>
  <si>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</si>
  <si>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</si>
  <si>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</si>
  <si>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</si>
  <si>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</si>
  <si>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</si>
  <si>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</si>
  <si>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</si>
  <si>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</si>
  <si>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</si>
  <si>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</si>
  <si>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</si>
  <si>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</si>
  <si>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</si>
  <si>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</si>
  <si>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</si>
  <si>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</si>
  <si>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</si>
  <si>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</si>
  <si>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</si>
  <si>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</si>
  <si>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</si>
  <si>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</si>
  <si>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</si>
  <si>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</si>
  <si>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</si>
  <si>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</si>
  <si>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</si>
  <si>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</si>
  <si>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</si>
  <si>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</si>
  <si>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</si>
  <si>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</si>
  <si>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</si>
  <si>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</si>
  <si>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</si>
  <si>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</si>
  <si>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</si>
  <si>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</si>
  <si>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</si>
  <si>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</si>
  <si>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</si>
  <si>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</si>
  <si>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</si>
  <si>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</si>
  <si>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</si>
  <si>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</si>
  <si>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</si>
  <si>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</si>
  <si>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</si>
  <si>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</si>
  <si>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</si>
  <si>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</si>
  <si>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</si>
  <si>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</si>
  <si>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</si>
  <si>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</si>
  <si>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</si>
  <si>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</si>
  <si>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</si>
  <si>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</si>
  <si>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</si>
  <si>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</si>
  <si>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</si>
  <si>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</si>
  <si>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</si>
  <si>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</si>
  <si>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</si>
  <si>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</si>
  <si>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</si>
  <si>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</si>
  <si>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</si>
  <si>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</si>
  <si>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</si>
  <si>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</si>
  <si>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</si>
  <si>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</si>
  <si>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</si>
  <si>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</si>
  <si>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</si>
  <si>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</si>
  <si>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</si>
  <si>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</si>
  <si>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</si>
  <si>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</si>
  <si>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</si>
  <si>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</si>
  <si>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</si>
  <si>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</si>
  <si>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</si>
  <si>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</si>
  <si>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</si>
  <si>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</si>
  <si>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</si>
  <si>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</si>
  <si>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</si>
  <si>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</si>
  <si>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</si>
  <si>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</si>
  <si>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</si>
  <si>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</si>
  <si>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</si>
  <si>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</si>
  <si>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</si>
  <si>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</si>
  <si>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</si>
  <si>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</si>
  <si>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</si>
  <si>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</si>
  <si>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</si>
  <si>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</si>
  <si>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</si>
  <si>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</si>
  <si>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</si>
  <si>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</si>
  <si>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</si>
  <si>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</si>
  <si>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</si>
  <si>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</si>
  <si>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</si>
  <si>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</si>
  <si>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</si>
  <si>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</si>
  <si>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</si>
  <si>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</si>
  <si>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</si>
  <si>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</si>
  <si>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</si>
  <si>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</si>
  <si>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</si>
  <si>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</si>
  <si>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</si>
  <si>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</si>
  <si>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</si>
  <si>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</si>
  <si>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</si>
  <si>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</si>
  <si>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</si>
  <si>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</si>
  <si>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</si>
  <si>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</si>
  <si>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</si>
  <si>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</si>
  <si>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</si>
  <si>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</si>
  <si>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</si>
  <si>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</si>
  <si>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</si>
  <si>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</si>
  <si>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</si>
  <si>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</si>
  <si>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</si>
  <si>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</si>
  <si>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</si>
  <si>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</si>
  <si>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</si>
  <si>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</si>
  <si>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</si>
  <si>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</si>
  <si>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</si>
  <si>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</si>
  <si>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</si>
  <si>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</si>
  <si>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</si>
  <si>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</si>
  <si>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</si>
  <si>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</si>
  <si>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</si>
  <si>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</si>
  <si>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</si>
  <si>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</si>
  <si>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</si>
  <si>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</si>
  <si>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</si>
  <si>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</si>
  <si>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</si>
  <si>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</si>
  <si>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</si>
  <si>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</si>
  <si>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</si>
  <si>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</si>
  <si>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</si>
  <si>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</si>
  <si>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</si>
  <si>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</si>
  <si>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</si>
  <si>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</si>
  <si>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</si>
  <si>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</si>
  <si>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</si>
  <si>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</si>
  <si>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</si>
  <si>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</si>
  <si>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</si>
  <si>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</si>
  <si>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</si>
  <si>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</si>
  <si>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</si>
  <si>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</si>
  <si>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</si>
  <si>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</si>
  <si>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</si>
  <si>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</si>
  <si>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</si>
  <si>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</si>
  <si>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</si>
  <si>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</si>
  <si>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</si>
  <si>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</si>
  <si>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</si>
  <si>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</si>
  <si>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</si>
  <si>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</si>
  <si>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</si>
  <si>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</si>
  <si>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</si>
  <si>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</si>
  <si>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</si>
  <si>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</si>
  <si>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</si>
  <si>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</si>
  <si>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</si>
  <si>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</si>
  <si>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</si>
  <si>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</si>
  <si>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</si>
  <si>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</si>
  <si>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</si>
  <si>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</si>
  <si>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</si>
  <si>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</si>
  <si>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</si>
  <si>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</si>
  <si>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</si>
  <si>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</si>
  <si>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</si>
  <si>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</si>
  <si>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</si>
  <si>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</si>
  <si>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</si>
  <si>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</si>
  <si>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</si>
  <si>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</si>
  <si>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</si>
  <si>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</si>
  <si>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</si>
  <si>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</si>
  <si>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</si>
  <si>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</si>
  <si>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</si>
  <si>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</si>
  <si>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</si>
  <si>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</si>
  <si>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</si>
  <si>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</si>
  <si>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</si>
  <si>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</si>
  <si>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</si>
  <si>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</si>
  <si>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</si>
  <si>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</si>
  <si>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</si>
  <si>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</si>
  <si>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</si>
  <si>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</si>
  <si>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</si>
  <si>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</si>
  <si>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</si>
  <si>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</si>
  <si>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</si>
  <si>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</si>
  <si>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</si>
  <si>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</si>
  <si>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</si>
  <si>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</si>
  <si>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</si>
  <si>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</si>
  <si>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</si>
  <si>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</si>
  <si>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</si>
  <si>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</si>
  <si>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</si>
  <si>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</si>
  <si>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</si>
  <si>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</si>
  <si>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</si>
  <si>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</si>
  <si>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</si>
  <si>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</si>
  <si>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</si>
  <si>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</si>
  <si>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</si>
  <si>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</si>
  <si>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</si>
  <si>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</si>
  <si>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</si>
  <si>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</si>
  <si>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</si>
  <si>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</si>
  <si>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</si>
  <si>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</si>
  <si>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</si>
  <si>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</si>
  <si>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</si>
  <si>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</si>
  <si>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</si>
  <si>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</si>
  <si>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</si>
  <si>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</si>
  <si>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</si>
  <si>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</si>
  <si>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</si>
  <si>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</si>
  <si>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</si>
  <si>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</si>
  <si>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</si>
  <si>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</si>
  <si>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</si>
  <si>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</si>
  <si>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</si>
  <si>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</si>
  <si>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</si>
  <si>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</si>
  <si>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</si>
  <si>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</si>
  <si>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</si>
  <si>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</si>
  <si>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</si>
  <si>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</si>
  <si>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</si>
  <si>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</si>
  <si>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</si>
  <si>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</si>
  <si>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</si>
  <si>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</si>
  <si>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</si>
  <si>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</si>
  <si>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</si>
  <si>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</si>
  <si>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</si>
  <si>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</si>
  <si>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</si>
  <si>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</si>
  <si>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</si>
  <si>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</si>
  <si>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</si>
  <si>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</si>
  <si>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</si>
  <si>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</si>
  <si>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</si>
  <si>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</si>
  <si>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</si>
  <si>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</si>
  <si>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</si>
  <si>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</si>
  <si>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</si>
  <si>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</si>
  <si>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</si>
  <si>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</si>
  <si>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</si>
  <si>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</si>
  <si>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</si>
  <si>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</si>
  <si>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</si>
  <si>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</si>
  <si>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</si>
  <si>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</si>
  <si>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</si>
  <si>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</si>
  <si>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</si>
  <si>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</si>
  <si>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</si>
  <si>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</si>
  <si>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</si>
  <si>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</si>
  <si>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</si>
  <si>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</si>
  <si>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</si>
  <si>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</si>
  <si>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</si>
  <si>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</si>
  <si>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</si>
  <si>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</si>
  <si>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</si>
  <si>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</si>
  <si>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</si>
  <si>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</si>
  <si>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</si>
  <si>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</si>
  <si>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</si>
  <si>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</si>
  <si>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</si>
  <si>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</si>
  <si>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</si>
  <si>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</si>
  <si>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</si>
  <si>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</si>
  <si>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</si>
  <si>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</si>
  <si>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</si>
  <si>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</si>
  <si>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</si>
  <si>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</si>
  <si>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</si>
  <si>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</si>
  <si>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</si>
  <si>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</si>
  <si>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</si>
  <si>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</si>
  <si>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</si>
  <si>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</si>
  <si>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</si>
  <si>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</si>
  <si>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</si>
  <si>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</si>
  <si>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</si>
  <si>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</si>
  <si>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</si>
  <si>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</si>
  <si>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</si>
  <si>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</si>
  <si>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</si>
  <si>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</si>
  <si>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</si>
  <si>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</si>
  <si>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</si>
  <si>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</si>
  <si>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</si>
  <si>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</si>
  <si>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</si>
  <si>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</si>
  <si>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</si>
  <si>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</si>
  <si>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</si>
  <si>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</si>
  <si>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</si>
  <si>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</si>
  <si>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</si>
  <si>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</si>
  <si>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</si>
  <si>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</si>
  <si>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</si>
  <si>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</si>
  <si>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</si>
  <si>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</si>
  <si>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</si>
  <si>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</si>
  <si>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</si>
  <si>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</si>
  <si>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</si>
  <si>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</si>
  <si>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</si>
  <si>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</si>
  <si>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</si>
  <si>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</si>
  <si>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</si>
  <si>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</si>
  <si>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</si>
  <si>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</si>
  <si>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</si>
  <si>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</si>
  <si>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</si>
  <si>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</si>
  <si>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</si>
  <si>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</si>
  <si>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</si>
  <si>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</si>
  <si>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</si>
  <si>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</si>
  <si>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</si>
  <si>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</si>
  <si>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</si>
  <si>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</si>
  <si>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</si>
  <si>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</si>
  <si>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</si>
  <si>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</si>
  <si>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</si>
  <si>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</si>
  <si>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</si>
  <si>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</si>
  <si>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</si>
  <si>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</si>
  <si>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</si>
  <si>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</si>
  <si>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</si>
  <si>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</si>
  <si>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</si>
  <si>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</si>
  <si>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</si>
  <si>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</si>
  <si>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</si>
  <si>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</si>
  <si>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</si>
  <si>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</si>
  <si>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</si>
  <si>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</si>
  <si>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</si>
  <si>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</si>
  <si>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</si>
  <si>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</si>
  <si>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</si>
  <si>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</si>
  <si>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</si>
  <si>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</si>
  <si>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</si>
  <si>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</si>
  <si>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</si>
  <si>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</si>
  <si>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</si>
  <si>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</si>
  <si>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</si>
  <si>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</si>
  <si>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</si>
  <si>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</si>
  <si>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</si>
  <si>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</si>
  <si>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</si>
  <si>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</si>
  <si>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</si>
  <si>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</si>
  <si>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</si>
  <si>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</si>
  <si>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</si>
  <si>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</si>
  <si>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</si>
  <si>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</si>
  <si>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</si>
  <si>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</si>
  <si>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</si>
  <si>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</si>
  <si>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</si>
  <si>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</si>
  <si>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</si>
  <si>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</si>
  <si>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</si>
  <si>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</si>
  <si>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</si>
  <si>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</si>
  <si>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</si>
  <si>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</si>
  <si>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</si>
  <si>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</si>
  <si>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</si>
  <si>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</si>
  <si>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</si>
  <si>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</si>
  <si>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</si>
  <si>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</si>
  <si>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</si>
  <si>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</si>
  <si>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</si>
  <si>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</si>
  <si>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</si>
  <si>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</si>
  <si>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</si>
  <si>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</si>
  <si>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</si>
  <si>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</si>
  <si>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</si>
  <si>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</si>
  <si>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</si>
  <si>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</si>
  <si>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</si>
  <si>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</si>
  <si>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</si>
  <si>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</si>
  <si>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</si>
  <si>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</si>
  <si>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</si>
  <si>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</si>
  <si>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</si>
  <si>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</si>
  <si>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</si>
  <si>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</si>
  <si>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</si>
  <si>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</si>
  <si>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</si>
  <si>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</si>
  <si>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</si>
  <si>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</si>
  <si>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</si>
  <si>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</si>
  <si>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</si>
  <si>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</si>
  <si>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</si>
  <si>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</si>
  <si>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</si>
  <si>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</si>
  <si>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</si>
  <si>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</si>
  <si>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</si>
  <si>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</si>
  <si>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</si>
  <si>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</si>
  <si>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</si>
  <si>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</si>
  <si>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</si>
  <si>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</si>
  <si>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</si>
  <si>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</si>
  <si>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</si>
  <si>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</si>
  <si>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</si>
  <si>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</si>
  <si>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</si>
  <si>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</si>
  <si>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</si>
  <si>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</si>
  <si>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</si>
  <si>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</si>
  <si>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</si>
  <si>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</si>
  <si>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</si>
  <si>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</si>
  <si>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</si>
  <si>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</si>
  <si>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</si>
  <si>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</si>
  <si>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</si>
  <si>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</si>
  <si>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</si>
  <si>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</si>
  <si>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</si>
  <si>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</si>
  <si>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</si>
  <si>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</si>
  <si>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</si>
  <si>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</si>
  <si>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</si>
  <si>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</si>
  <si>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</si>
  <si>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</si>
  <si>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</si>
  <si>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</si>
  <si>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</si>
  <si>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</si>
  <si>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</si>
  <si>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</si>
  <si>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</si>
  <si>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</si>
  <si>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</si>
  <si>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</si>
  <si>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</si>
  <si>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</si>
  <si>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</si>
  <si>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</si>
  <si>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</si>
  <si>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</si>
  <si>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</si>
  <si>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</si>
  <si>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</si>
  <si>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</si>
  <si>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</si>
  <si>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</si>
  <si>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</si>
  <si>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</si>
  <si>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</si>
  <si>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</si>
  <si>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</si>
  <si>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</si>
  <si>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</si>
  <si>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</si>
  <si>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</si>
  <si>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</si>
  <si>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</si>
  <si>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</si>
  <si>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</si>
  <si>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</si>
  <si>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</si>
  <si>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</si>
  <si>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</si>
  <si>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</si>
  <si>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</si>
  <si>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</si>
  <si>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</si>
  <si>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</si>
  <si>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</si>
  <si>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</si>
  <si>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</si>
  <si>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</si>
  <si>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</si>
  <si>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</si>
  <si>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</si>
  <si>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</si>
  <si>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</si>
  <si>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</si>
  <si>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</si>
  <si>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</si>
  <si>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</si>
  <si>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</si>
  <si>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</si>
  <si>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</si>
  <si>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</si>
  <si>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</si>
  <si>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</si>
  <si>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</si>
  <si>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</si>
  <si>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</si>
  <si>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</si>
  <si>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</si>
  <si>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</si>
  <si>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</si>
  <si>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</si>
  <si>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</si>
  <si>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</si>
  <si>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</si>
  <si>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</si>
  <si>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</si>
  <si>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</si>
  <si>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</si>
  <si>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</si>
  <si>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</si>
  <si>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</si>
  <si>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</si>
  <si>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</si>
  <si>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</si>
  <si>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</si>
  <si>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</si>
  <si>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</si>
  <si>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</si>
  <si>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</si>
  <si>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</si>
  <si>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</si>
  <si>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</si>
  <si>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</si>
  <si>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</si>
  <si>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</si>
  <si>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</si>
  <si>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</si>
  <si>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</si>
  <si>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</si>
  <si>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</si>
  <si>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</si>
  <si>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</si>
  <si>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</si>
  <si>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</si>
  <si>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</si>
  <si>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</si>
  <si>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</si>
  <si>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</si>
  <si>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</si>
  <si>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</si>
  <si>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</si>
  <si>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</si>
  <si>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</si>
  <si>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</si>
  <si>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</si>
  <si>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</si>
  <si>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</si>
  <si>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</si>
  <si>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</si>
  <si>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</si>
  <si>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</si>
  <si>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</si>
  <si>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</si>
  <si>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</si>
  <si>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</si>
  <si>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</si>
  <si>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</si>
  <si>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</si>
  <si>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</si>
  <si>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</si>
  <si>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</si>
  <si>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</si>
  <si>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</si>
  <si>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</si>
  <si>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</si>
  <si>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</si>
  <si>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</si>
  <si>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</si>
  <si>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</si>
  <si>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</si>
  <si>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</si>
  <si>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</si>
  <si>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</si>
  <si>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</si>
  <si>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</si>
  <si>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</si>
  <si>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</si>
  <si>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</si>
  <si>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</si>
  <si>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</si>
  <si>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</si>
  <si>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</si>
  <si>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</si>
  <si>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</si>
  <si>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</si>
  <si>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</si>
  <si>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</si>
  <si>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</si>
  <si>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</si>
  <si>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</si>
  <si>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</si>
  <si>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</si>
  <si>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</si>
  <si>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</si>
  <si>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</si>
  <si>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</si>
  <si>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</si>
  <si>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</si>
  <si>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</si>
  <si>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</si>
  <si>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</si>
  <si>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</si>
  <si>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</si>
  <si>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</si>
  <si>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</si>
  <si>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</si>
  <si>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</si>
  <si>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</si>
  <si>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</si>
  <si>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</si>
  <si>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</si>
  <si>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</si>
  <si>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</si>
  <si>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</si>
  <si>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</si>
  <si>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</si>
  <si>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</si>
  <si>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</si>
  <si>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</si>
  <si>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</si>
  <si>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</si>
  <si>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</si>
  <si>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</si>
  <si>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</si>
  <si>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</si>
  <si>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</si>
  <si>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</si>
  <si>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</si>
  <si>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</si>
  <si>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</si>
  <si>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</si>
  <si>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</si>
  <si>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</si>
  <si>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</si>
  <si>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</si>
  <si>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</si>
  <si>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</si>
  <si>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</si>
  <si>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</si>
  <si>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</si>
  <si>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</si>
  <si>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</si>
  <si>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</si>
  <si>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</si>
  <si>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</si>
  <si>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</si>
  <si>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</si>
  <si>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</si>
  <si>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</si>
  <si>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</si>
  <si>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</si>
  <si>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</si>
  <si>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</si>
  <si>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</si>
  <si>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</si>
  <si>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</si>
  <si>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</si>
  <si>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</si>
  <si>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</si>
  <si>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</si>
  <si>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</si>
  <si>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</si>
  <si>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</si>
  <si>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</si>
  <si>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</si>
  <si>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</si>
  <si>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</si>
  <si>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</si>
  <si>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</si>
  <si>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</si>
  <si>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</si>
  <si>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</si>
  <si>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</si>
  <si>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</si>
  <si>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</si>
  <si>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</si>
  <si>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</si>
  <si>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</si>
  <si>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</si>
  <si>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</si>
  <si>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</si>
  <si>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</si>
  <si>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</si>
  <si>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</si>
  <si>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</si>
  <si>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</si>
  <si>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</si>
  <si>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</si>
  <si>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</si>
  <si>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</si>
  <si>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</si>
  <si>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</si>
  <si>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</si>
  <si>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</si>
  <si>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</si>
  <si>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</si>
  <si>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</si>
  <si>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</si>
  <si>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</si>
  <si>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</si>
  <si>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</si>
  <si>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</si>
  <si>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</si>
  <si>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</si>
  <si>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</si>
  <si>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</si>
  <si>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</si>
  <si>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</si>
  <si>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</si>
  <si>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</si>
  <si>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</si>
  <si>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</si>
  <si>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</si>
  <si>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</si>
  <si>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</si>
  <si>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</si>
  <si>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</si>
  <si>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</si>
  <si>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</si>
  <si>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</si>
  <si>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</si>
  <si>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</si>
  <si>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</si>
  <si>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</si>
  <si>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</si>
  <si>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</si>
  <si>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</si>
  <si>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</si>
  <si>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</si>
  <si>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</si>
  <si>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</si>
  <si>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</si>
  <si>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</si>
  <si>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</si>
  <si>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</si>
  <si>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</si>
  <si>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</si>
  <si>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</si>
  <si>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</si>
  <si>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</si>
  <si>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</si>
  <si>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</si>
  <si>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</si>
  <si>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</si>
  <si>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</si>
  <si>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</si>
  <si>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</si>
  <si>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</si>
  <si>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</si>
  <si>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</si>
  <si>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</si>
  <si>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</si>
  <si>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</si>
  <si>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</si>
  <si>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</si>
  <si>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</si>
  <si>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</si>
  <si>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</si>
  <si>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</si>
  <si>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</si>
  <si>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</si>
  <si>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</si>
  <si>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</si>
  <si>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</si>
  <si>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</si>
  <si>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</si>
  <si>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</si>
  <si>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</si>
  <si>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</si>
  <si>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</si>
  <si>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</si>
  <si>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</si>
  <si>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</si>
  <si>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</si>
  <si>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</si>
  <si>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</si>
  <si>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</si>
  <si>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</si>
  <si>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</si>
  <si>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</si>
  <si>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</si>
  <si>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</si>
  <si>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</si>
  <si>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</si>
  <si>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</si>
  <si>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</si>
  <si>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</si>
  <si>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</si>
  <si>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</si>
  <si>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</si>
  <si>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</si>
  <si>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</si>
  <si>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</si>
  <si>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</si>
  <si>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</si>
  <si>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</si>
  <si>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</si>
  <si>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</si>
  <si>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</si>
  <si>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</si>
  <si>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</si>
  <si>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</si>
  <si>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</si>
  <si>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</si>
  <si>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</si>
  <si>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</si>
  <si>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</si>
  <si>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</si>
  <si>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</si>
  <si>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</si>
  <si>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</si>
  <si>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</si>
  <si>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</si>
  <si>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</si>
  <si>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</si>
  <si>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</si>
  <si>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</si>
  <si>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</si>
  <si>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</si>
  <si>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</si>
  <si>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</si>
  <si>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</si>
  <si>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</si>
  <si>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</si>
  <si>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</si>
  <si>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</si>
  <si>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</si>
  <si>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</si>
  <si>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</si>
  <si>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</si>
  <si>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</si>
  <si>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</si>
  <si>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</si>
  <si>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</si>
  <si>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</si>
  <si>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</si>
  <si>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</si>
  <si>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</si>
  <si>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</si>
  <si>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</si>
  <si>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</si>
  <si>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</si>
  <si>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</si>
  <si>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</si>
  <si>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</si>
  <si>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</si>
  <si>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</si>
  <si>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</si>
  <si>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</si>
  <si>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</si>
  <si>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</si>
  <si>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</si>
  <si>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</si>
  <si>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</si>
  <si>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</si>
  <si>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</si>
  <si>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x京房产证朝字第1460397号</t>
    <phoneticPr fontId="3" type="noConversion"/>
  </si>
  <si>
    <t>701</t>
    <phoneticPr fontId="3" type="noConversion"/>
  </si>
  <si>
    <t>7</t>
    <phoneticPr fontId="3" type="noConversion"/>
  </si>
  <si>
    <t>x京房产证朝字第1430011号</t>
    <phoneticPr fontId="3" type="noConversion"/>
  </si>
  <si>
    <t>702</t>
  </si>
  <si>
    <t>703</t>
  </si>
  <si>
    <t>704</t>
  </si>
  <si>
    <t>705</t>
  </si>
  <si>
    <t>706</t>
  </si>
  <si>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</si>
  <si>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</si>
  <si>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</si>
  <si>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</si>
  <si>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</si>
  <si>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</si>
  <si>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</si>
  <si>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</si>
  <si>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</si>
  <si>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</si>
  <si>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</si>
  <si>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</si>
  <si>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</si>
  <si>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</si>
  <si>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</si>
  <si>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</si>
  <si>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</si>
  <si>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</si>
  <si>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</si>
  <si>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</si>
  <si>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</si>
  <si>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</si>
  <si>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</si>
  <si>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</si>
  <si>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</si>
  <si>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</si>
  <si>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</si>
  <si>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</si>
  <si>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</si>
  <si>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</si>
  <si>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</si>
  <si>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</si>
  <si>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</si>
  <si>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</si>
  <si>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</si>
  <si>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</si>
  <si>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</si>
  <si>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</si>
  <si>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</si>
  <si>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</si>
  <si>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</si>
  <si>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</si>
  <si>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</si>
  <si>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</si>
  <si>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</si>
  <si>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</si>
  <si>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</si>
  <si>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</si>
  <si>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</si>
  <si>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</si>
  <si>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</si>
  <si>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</si>
  <si>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</si>
  <si>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</si>
  <si>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</si>
  <si>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</si>
  <si>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</si>
  <si>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</si>
  <si>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</si>
  <si>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</si>
  <si>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</si>
  <si>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</si>
  <si>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</si>
  <si>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</si>
  <si>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</si>
  <si>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</si>
  <si>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</si>
  <si>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</si>
  <si>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</si>
  <si>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</si>
  <si>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</si>
  <si>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</si>
  <si>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</si>
  <si>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</si>
  <si>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</si>
  <si>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</si>
  <si>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</si>
  <si>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</si>
  <si>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</si>
  <si>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</si>
  <si>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</si>
  <si>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</si>
  <si>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</si>
  <si>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</si>
  <si>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</si>
  <si>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</si>
  <si>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</si>
  <si>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</si>
  <si>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</si>
  <si>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</si>
  <si>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</si>
  <si>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</si>
  <si>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</si>
  <si>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</si>
  <si>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</si>
  <si>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</si>
  <si>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</si>
  <si>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</si>
  <si>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</si>
  <si>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</si>
  <si>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</si>
  <si>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</si>
  <si>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-101</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</si>
  <si>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</si>
  <si>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</si>
  <si>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</si>
  <si>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</si>
  <si>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</si>
  <si>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</si>
  <si>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</si>
  <si>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</si>
  <si>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</si>
  <si>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</si>
  <si>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</si>
  <si>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</si>
  <si>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</si>
  <si>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</si>
  <si>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</si>
  <si>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</si>
  <si>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</si>
  <si>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</si>
  <si>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</si>
  <si>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</si>
  <si>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</si>
  <si>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</si>
  <si>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</si>
  <si>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</si>
  <si>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</si>
  <si>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</si>
  <si>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</si>
  <si>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</si>
  <si>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</si>
  <si>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</si>
  <si>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</si>
  <si>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</si>
  <si>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</si>
  <si>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</si>
  <si>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</si>
  <si>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</si>
  <si>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</si>
  <si>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</si>
  <si>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</si>
  <si>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</si>
  <si>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</si>
  <si>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</si>
  <si>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</si>
  <si>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</si>
  <si>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</si>
  <si>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</si>
  <si>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</si>
  <si>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</si>
  <si>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</si>
  <si>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</si>
  <si>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</si>
  <si>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</si>
  <si>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</si>
  <si>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办公</t>
    <phoneticPr fontId="260" type="noConversion"/>
  </si>
  <si>
    <t>地下车库</t>
    <phoneticPr fontId="260" type="noConversion"/>
  </si>
  <si>
    <t>剩余租期</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</si>
  <si>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</si>
  <si>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</si>
  <si>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</si>
  <si>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</si>
  <si>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20-30（含）</t>
  </si>
  <si>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</si>
  <si>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</si>
  <si>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</si>
  <si>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</si>
  <si>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</si>
  <si>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</si>
  <si>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</si>
  <si>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</si>
  <si>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</si>
  <si>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</si>
  <si>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</si>
  <si>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</si>
  <si>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</si>
  <si>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</si>
  <si>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</si>
  <si>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</si>
  <si>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</si>
  <si>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</si>
  <si>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</si>
  <si>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</si>
  <si>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</si>
  <si>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</si>
  <si>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</si>
  <si>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</si>
  <si>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</si>
  <si>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</si>
  <si>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</si>
  <si>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</si>
  <si>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</si>
  <si>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</si>
  <si>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</si>
  <si>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</si>
  <si>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</si>
  <si>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</si>
  <si>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</si>
  <si>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</si>
  <si>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</si>
  <si>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</si>
  <si>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</si>
  <si>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</si>
  <si>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</si>
  <si>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</si>
  <si>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</si>
  <si>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</si>
  <si>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</si>
  <si>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</si>
  <si>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</si>
  <si>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</si>
  <si>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</si>
  <si>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</si>
  <si>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</si>
  <si>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</si>
  <si>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</si>
  <si>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</si>
  <si>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</si>
  <si>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</si>
  <si>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</si>
  <si>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</si>
  <si>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</si>
  <si>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</si>
  <si>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</si>
  <si>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</si>
  <si>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</si>
  <si>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</si>
  <si>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</si>
  <si>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</si>
  <si>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</si>
  <si>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</si>
  <si>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</si>
  <si>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</si>
  <si>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</si>
  <si>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</si>
  <si>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</si>
  <si>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</si>
  <si>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</si>
  <si>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</si>
  <si>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</si>
  <si>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</si>
  <si>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</si>
  <si>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</si>
  <si>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</si>
  <si>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</si>
  <si>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</si>
  <si>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</si>
  <si>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</si>
  <si>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</si>
  <si>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</si>
  <si>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</si>
  <si>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</si>
  <si>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</si>
  <si>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</si>
  <si>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</si>
  <si>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</si>
  <si>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</si>
  <si>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</si>
  <si>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</si>
  <si>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</si>
  <si>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</si>
  <si>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</si>
  <si>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</si>
  <si>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</si>
  <si>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</si>
  <si>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</si>
  <si>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</si>
  <si>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</si>
  <si>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</si>
  <si>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</si>
  <si>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</si>
  <si>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</si>
  <si>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</si>
  <si>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</si>
  <si>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</si>
  <si>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</si>
  <si>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</si>
  <si>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</si>
  <si>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</si>
  <si>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</si>
  <si>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</si>
  <si>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</si>
  <si>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</si>
  <si>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</si>
  <si>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</si>
  <si>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</si>
  <si>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</si>
  <si>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</si>
  <si>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</si>
  <si>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</si>
  <si>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</si>
  <si>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</si>
  <si>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</si>
  <si>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</si>
  <si>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</si>
  <si>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</si>
  <si>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</si>
  <si>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</si>
  <si>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</si>
  <si>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</si>
  <si>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</si>
  <si>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</si>
  <si>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</si>
  <si>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</si>
  <si>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</si>
  <si>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</si>
  <si>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</si>
  <si>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</si>
  <si>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</si>
  <si>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</si>
  <si>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</si>
  <si>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</si>
  <si>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</si>
  <si>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</si>
  <si>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</si>
  <si>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</si>
  <si>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</si>
  <si>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</si>
  <si>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</si>
  <si>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</si>
  <si>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</si>
  <si>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</si>
  <si>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</si>
  <si>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</si>
  <si>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</si>
  <si>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</si>
  <si>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</si>
  <si>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</si>
  <si>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</si>
  <si>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</si>
  <si>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</si>
  <si>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</si>
  <si>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</si>
  <si>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</si>
  <si>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</si>
  <si>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</si>
  <si>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</si>
  <si>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</si>
  <si>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</si>
  <si>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</si>
  <si>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</si>
  <si>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</si>
  <si>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</si>
  <si>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</si>
  <si>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</si>
  <si>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</si>
  <si>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</si>
  <si>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</si>
  <si>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</si>
  <si>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</si>
  <si>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</si>
  <si>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</si>
  <si>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</si>
  <si>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</si>
  <si>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</si>
  <si>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</si>
  <si>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260"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</si>
  <si>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</si>
  <si>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</si>
  <si>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</si>
  <si>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</si>
  <si>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</si>
  <si>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</si>
  <si>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</si>
  <si>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</si>
  <si>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</si>
  <si>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</si>
  <si>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</si>
  <si>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</si>
  <si>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</si>
  <si>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</si>
  <si>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</si>
  <si>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</si>
  <si>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</si>
  <si>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</si>
  <si>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</si>
  <si>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</si>
  <si>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</si>
  <si>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</si>
  <si>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</si>
  <si>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</si>
  <si>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</si>
  <si>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</si>
  <si>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</si>
  <si>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</si>
  <si>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</si>
  <si>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</si>
  <si>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</si>
  <si>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</si>
  <si>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</si>
  <si>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</si>
  <si>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</si>
  <si>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</si>
  <si>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</si>
  <si>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</si>
  <si>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</si>
  <si>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</si>
  <si>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</si>
  <si>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</si>
  <si>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</si>
  <si>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</si>
  <si>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办公出租</t>
  </si>
  <si>
    <t>办公自用</t>
  </si>
  <si>
    <t>收益法商租</t>
    <phoneticPr fontId="16" type="noConversion"/>
  </si>
  <si>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</si>
  <si>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</si>
  <si>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</si>
  <si>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</si>
  <si>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</si>
  <si>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</si>
  <si>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</si>
  <si>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</si>
  <si>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</si>
  <si>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</si>
  <si>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</si>
  <si>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</si>
  <si>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r>
      <rPr>
        <sz val="10"/>
        <color rgb="FFFF0000"/>
        <rFont val="宋体"/>
        <family val="3"/>
        <charset val="134"/>
      </rPr>
      <t>企业提供（在右侧录入）</t>
    </r>
  </si>
  <si>
    <t>其他：</t>
  </si>
  <si>
    <t>山东省</t>
    <phoneticPr fontId="6" type="noConversion"/>
  </si>
  <si>
    <t>其他</t>
    <phoneticPr fontId="3" type="noConversion"/>
  </si>
  <si>
    <t>商业二层</t>
  </si>
  <si>
    <t>商业二层</t>
    <phoneticPr fontId="3" type="noConversion"/>
  </si>
  <si>
    <t>商业二层</t>
    <phoneticPr fontId="3" type="noConversion"/>
  </si>
  <si>
    <t>收益法</t>
  </si>
  <si>
    <t>比较法-商业</t>
  </si>
  <si>
    <t>聊城万达欢乐小镇（万达广场）二层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</si>
</sst>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7" borderId="1" xfId="0" applyFont="1" applyFill="1" applyBorder="1" applyAlignment="1"/>
    <xf numFmtId="9" fontId="265" fillId="17"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106" fillId="5" borderId="23" xfId="0" applyNumberFormat="1" applyFont="1" applyFill="1" applyBorder="1" applyAlignment="1" applyProtection="1">
      <alignment vertical="center"/>
      <protection locked="0"/>
    </xf>
    <xf numFmtId="43"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山东省聊城万达欢乐小镇（万达广场）二层房地产抵押价值预评估</v>
      </c>
    </row>
    <row r="3" spans="1:2" s="1573" customFormat="1">
      <c r="A3" s="1571" t="s">
        <v>1210</v>
      </c>
      <c r="B3" s="1572">
        <f>'预评函-封皮'!B40</f>
        <v>0</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受贵公司委托，我公司对山东省聊城万达欢乐小镇（万达广场）二层房地产抵押价值进行了预评估。</v>
      </c>
    </row>
    <row r="7" spans="1:2" s="1573" customFormat="1">
      <c r="A7" s="1571" t="s">
        <v>1253</v>
      </c>
      <c r="B7" s="1572" t="str">
        <f>'预评函-1'!A7</f>
        <v>估价对象为山东省聊城万达欢乐小镇（万达广场）二层房地产，为所有。根据《国有土地使用证》[]，估价对象（分摊）出让国有建设用地使用权面积为15134.65平方米，建筑面积为24348.57平方米。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山东省聊城万达欢乐小镇（万达广场）二层房地产,属开发建设的，该项目尚在开发建设中。根据《国有土地使用证》[]，估价对象（分摊）出让国有建设用地使用权面积为15134.65平方米，规划建筑面积为24348.57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2" spans="1:2" s="1573" customFormat="1">
      <c r="A12" s="1571" t="s">
        <v>1215</v>
      </c>
      <c r="B12" s="1572" t="str">
        <f>'预评函-1'!A15</f>
        <v>2020年1月10日（评估专业人员实地查勘之日）</v>
      </c>
    </row>
    <row r="13" spans="1:2" s="1573" customFormat="1">
      <c r="A13" s="1571" t="s">
        <v>1216</v>
      </c>
      <c r="B13" s="1572" t="str">
        <f>'预评函-1'!A18</f>
        <v>本次估价的“房地产价值”是指在正常市场情况下，在价值时点2020年1月10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本次评估采用的主估价方法为比较法和收益法。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41072</v>
      </c>
    </row>
    <row r="21" spans="1:2" s="1573" customFormat="1">
      <c r="A21" s="1571" t="s">
        <v>1224</v>
      </c>
      <c r="B21" s="1572">
        <f ca="1">'预评函-2'!D7</f>
        <v>16868</v>
      </c>
    </row>
    <row r="22" spans="1:2" s="1573" customFormat="1">
      <c r="A22" s="1571" t="s">
        <v>1225</v>
      </c>
      <c r="B22" s="1572" t="str">
        <f ca="1">'预评函-2'!D6</f>
        <v>肆亿壹仟零柒拾贰万元整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41072</v>
      </c>
    </row>
    <row r="31" spans="1:2" s="1573" customFormat="1">
      <c r="A31" s="1571" t="s">
        <v>1263</v>
      </c>
      <c r="B31" s="1572">
        <f ca="1">'预评函-2'!D15</f>
        <v>16868</v>
      </c>
    </row>
    <row r="32" spans="1:2" s="1573" customFormat="1">
      <c r="A32" s="1571" t="s">
        <v>1230</v>
      </c>
      <c r="B32" s="1572" t="str">
        <f ca="1">'预评函-2'!D14</f>
        <v>肆亿壹仟零柒拾贰万元整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山东省聊城万达欢乐小镇（万达广场）二层房地产</v>
      </c>
    </row>
    <row r="42" spans="1:2" s="1573" customFormat="1">
      <c r="A42" s="1571" t="s">
        <v>1277</v>
      </c>
      <c r="B42" s="1572" t="str">
        <f>'预评函-3'!B2</f>
        <v>建筑面积</v>
      </c>
    </row>
    <row r="43" spans="1:2" s="1573" customFormat="1">
      <c r="A43" s="1571" t="s">
        <v>1278</v>
      </c>
      <c r="B43" s="1572">
        <f>'预评函-3'!B4</f>
        <v>24348.570000000003</v>
      </c>
    </row>
    <row r="44" spans="1:2" s="1573" customFormat="1">
      <c r="A44" s="1571" t="s">
        <v>1262</v>
      </c>
      <c r="B44" s="1572" t="str">
        <f>'预评函-3'!C2</f>
        <v>(分摊)土地面积</v>
      </c>
    </row>
    <row r="45" spans="1:2" s="1573" customFormat="1">
      <c r="A45" s="1571" t="s">
        <v>1234</v>
      </c>
      <c r="B45" s="1572">
        <f>'预评函-3'!C4</f>
        <v>15134.65</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3" customWidth="1"/>
    <col min="2" max="2" width="22.75" style="2993" bestFit="1" customWidth="1"/>
    <col min="3" max="3" width="9" style="2993"/>
    <col min="4" max="4" width="9" style="2999"/>
    <col min="5" max="5" width="9.375" style="2993" bestFit="1" customWidth="1"/>
    <col min="6" max="6" width="14.125" style="2993" bestFit="1" customWidth="1"/>
    <col min="7" max="7" width="9" style="2999"/>
    <col min="8" max="8" width="13.875" style="2993" bestFit="1" customWidth="1"/>
    <col min="9" max="10" width="9" style="2993"/>
    <col min="11" max="11" width="10.75" style="2993" customWidth="1"/>
    <col min="12" max="13" width="11.375" style="2993" bestFit="1" customWidth="1"/>
    <col min="14" max="15" width="14.125" style="2993" bestFit="1" customWidth="1"/>
    <col min="16" max="16384" width="9" style="2993"/>
  </cols>
  <sheetData>
    <row r="1" spans="1:11">
      <c r="A1" s="2991" t="s">
        <v>3174</v>
      </c>
      <c r="B1" s="2991" t="s">
        <v>3641</v>
      </c>
      <c r="C1" s="2991" t="s">
        <v>3175</v>
      </c>
      <c r="D1" s="2992" t="s">
        <v>3176</v>
      </c>
      <c r="E1" s="2991" t="s">
        <v>3177</v>
      </c>
      <c r="F1" s="2991" t="s">
        <v>3178</v>
      </c>
      <c r="G1" s="2992" t="s">
        <v>3179</v>
      </c>
      <c r="H1" s="2991" t="s">
        <v>3180</v>
      </c>
      <c r="I1" s="2991" t="s">
        <v>3181</v>
      </c>
    </row>
    <row r="2" spans="1:11">
      <c r="A2" s="2991">
        <v>9</v>
      </c>
      <c r="B2" s="2991" t="s">
        <v>3221</v>
      </c>
      <c r="C2" s="2991" t="s">
        <v>3203</v>
      </c>
      <c r="D2" s="2992" t="s">
        <v>3204</v>
      </c>
      <c r="E2" s="2991" t="s">
        <v>3123</v>
      </c>
      <c r="F2" s="2991" t="s">
        <v>3193</v>
      </c>
      <c r="G2" s="2992" t="s">
        <v>1028</v>
      </c>
      <c r="H2" s="2991" t="s">
        <v>3194</v>
      </c>
      <c r="I2" s="2991">
        <v>1078.23</v>
      </c>
    </row>
    <row r="3" spans="1:11">
      <c r="A3" s="2991">
        <v>11</v>
      </c>
      <c r="B3" s="2991" t="s">
        <v>3202</v>
      </c>
      <c r="C3" s="2991" t="s">
        <v>3203</v>
      </c>
      <c r="D3" s="2992" t="s">
        <v>3206</v>
      </c>
      <c r="E3" s="2991" t="s">
        <v>3123</v>
      </c>
      <c r="F3" s="2991" t="s">
        <v>3193</v>
      </c>
      <c r="G3" s="2992" t="s">
        <v>3207</v>
      </c>
      <c r="H3" s="2991" t="s">
        <v>3194</v>
      </c>
      <c r="I3" s="2991">
        <v>1443.69</v>
      </c>
    </row>
    <row r="4" spans="1:11">
      <c r="A4" s="2991">
        <v>21</v>
      </c>
      <c r="B4" s="2991" t="s">
        <v>3221</v>
      </c>
      <c r="C4" s="2991" t="s">
        <v>3203</v>
      </c>
      <c r="D4" s="2992" t="s">
        <v>3222</v>
      </c>
      <c r="E4" s="2991" t="s">
        <v>3214</v>
      </c>
      <c r="F4" s="2991" t="s">
        <v>3215</v>
      </c>
      <c r="G4" s="2992" t="s">
        <v>3223</v>
      </c>
      <c r="H4" s="2991" t="s">
        <v>3216</v>
      </c>
      <c r="I4" s="2991">
        <v>1443.69</v>
      </c>
    </row>
    <row r="5" spans="1:11">
      <c r="A5" s="2991">
        <v>31</v>
      </c>
      <c r="B5" s="2991" t="s">
        <v>3233</v>
      </c>
      <c r="C5" s="2991" t="s">
        <v>3203</v>
      </c>
      <c r="D5" s="2992" t="s">
        <v>3234</v>
      </c>
      <c r="E5" s="2991" t="s">
        <v>3123</v>
      </c>
      <c r="F5" s="2991" t="s">
        <v>3215</v>
      </c>
      <c r="G5" s="2992" t="s">
        <v>3235</v>
      </c>
      <c r="H5" s="2991" t="s">
        <v>3194</v>
      </c>
      <c r="I5" s="2991">
        <v>1443.69</v>
      </c>
    </row>
    <row r="6" spans="1:11">
      <c r="A6" s="2991">
        <v>41</v>
      </c>
      <c r="B6" s="2991" t="s">
        <v>3221</v>
      </c>
      <c r="C6" s="2991" t="s">
        <v>3203</v>
      </c>
      <c r="D6" s="2992" t="s">
        <v>3245</v>
      </c>
      <c r="E6" s="2991" t="s">
        <v>3214</v>
      </c>
      <c r="F6" s="2991" t="s">
        <v>3215</v>
      </c>
      <c r="G6" s="2992" t="s">
        <v>3246</v>
      </c>
      <c r="H6" s="2991" t="s">
        <v>3216</v>
      </c>
      <c r="I6" s="2991">
        <v>1443.69</v>
      </c>
    </row>
    <row r="7" spans="1:11">
      <c r="A7" s="2991">
        <v>51</v>
      </c>
      <c r="B7" s="2991" t="s">
        <v>3221</v>
      </c>
      <c r="C7" s="2991" t="s">
        <v>3203</v>
      </c>
      <c r="D7" s="2992" t="s">
        <v>3256</v>
      </c>
      <c r="E7" s="2991" t="s">
        <v>3123</v>
      </c>
      <c r="F7" s="2991" t="s">
        <v>3215</v>
      </c>
      <c r="G7" s="2992" t="s">
        <v>3257</v>
      </c>
      <c r="H7" s="2991" t="s">
        <v>3194</v>
      </c>
      <c r="I7" s="2991">
        <v>1443.69</v>
      </c>
    </row>
    <row r="8" spans="1:11">
      <c r="A8" s="2991">
        <v>61</v>
      </c>
      <c r="B8" s="2991" t="s">
        <v>3221</v>
      </c>
      <c r="C8" s="2991" t="s">
        <v>3267</v>
      </c>
      <c r="D8" s="2992" t="s">
        <v>3268</v>
      </c>
      <c r="E8" s="2991" t="s">
        <v>3214</v>
      </c>
      <c r="F8" s="2991" t="s">
        <v>3215</v>
      </c>
      <c r="G8" s="2992" t="s">
        <v>3269</v>
      </c>
      <c r="H8" s="2991" t="s">
        <v>3216</v>
      </c>
      <c r="I8" s="2991">
        <v>1443.69</v>
      </c>
      <c r="J8" s="2998"/>
      <c r="K8" s="2998"/>
    </row>
    <row r="9" spans="1:11">
      <c r="A9" s="2991">
        <v>71</v>
      </c>
      <c r="B9" s="2991" t="s">
        <v>3221</v>
      </c>
      <c r="C9" s="2991" t="s">
        <v>3203</v>
      </c>
      <c r="D9" s="2992" t="s">
        <v>3279</v>
      </c>
      <c r="E9" s="2991" t="s">
        <v>3214</v>
      </c>
      <c r="F9" s="2991" t="s">
        <v>3215</v>
      </c>
      <c r="G9" s="2992" t="s">
        <v>3280</v>
      </c>
      <c r="H9" s="2991" t="s">
        <v>3216</v>
      </c>
      <c r="I9" s="2991">
        <v>1443.69</v>
      </c>
    </row>
    <row r="10" spans="1:11">
      <c r="A10" s="2991">
        <v>81</v>
      </c>
      <c r="B10" s="2991" t="s">
        <v>3233</v>
      </c>
      <c r="C10" s="2991" t="s">
        <v>3203</v>
      </c>
      <c r="D10" s="2992" t="s">
        <v>3293</v>
      </c>
      <c r="E10" s="2991" t="s">
        <v>3232</v>
      </c>
      <c r="F10" s="2991" t="s">
        <v>3215</v>
      </c>
      <c r="G10" s="2992" t="s">
        <v>3294</v>
      </c>
      <c r="H10" s="2991" t="s">
        <v>3194</v>
      </c>
      <c r="I10" s="2991">
        <v>1443.69</v>
      </c>
    </row>
    <row r="11" spans="1:11">
      <c r="A11" s="2991">
        <v>91</v>
      </c>
      <c r="B11" s="2991" t="s">
        <v>3221</v>
      </c>
      <c r="C11" s="2991" t="s">
        <v>3203</v>
      </c>
      <c r="D11" s="2992" t="s">
        <v>3305</v>
      </c>
      <c r="E11" s="2991" t="s">
        <v>3214</v>
      </c>
      <c r="F11" s="2991" t="s">
        <v>3215</v>
      </c>
      <c r="G11" s="2992" t="s">
        <v>3306</v>
      </c>
      <c r="H11" s="2991" t="s">
        <v>3216</v>
      </c>
      <c r="I11" s="2991">
        <v>1443.69</v>
      </c>
    </row>
    <row r="12" spans="1:11">
      <c r="A12" s="2991">
        <v>101</v>
      </c>
      <c r="B12" s="2991" t="s">
        <v>3221</v>
      </c>
      <c r="C12" s="2991" t="s">
        <v>3203</v>
      </c>
      <c r="D12" s="2992" t="s">
        <v>3317</v>
      </c>
      <c r="E12" s="2991" t="s">
        <v>3214</v>
      </c>
      <c r="F12" s="2991" t="s">
        <v>3215</v>
      </c>
      <c r="G12" s="2992" t="s">
        <v>3318</v>
      </c>
      <c r="H12" s="2991" t="s">
        <v>3216</v>
      </c>
      <c r="I12" s="2991">
        <v>1443.69</v>
      </c>
    </row>
    <row r="13" spans="1:11">
      <c r="A13" s="2991">
        <v>111</v>
      </c>
      <c r="B13" s="2991" t="s">
        <v>3221</v>
      </c>
      <c r="C13" s="2991" t="s">
        <v>3203</v>
      </c>
      <c r="D13" s="2992" t="s">
        <v>3329</v>
      </c>
      <c r="E13" s="2991" t="s">
        <v>3214</v>
      </c>
      <c r="F13" s="2991" t="s">
        <v>3215</v>
      </c>
      <c r="G13" s="2992" t="s">
        <v>3330</v>
      </c>
      <c r="H13" s="2991" t="s">
        <v>3216</v>
      </c>
      <c r="I13" s="2991">
        <v>1443.69</v>
      </c>
    </row>
    <row r="14" spans="1:11">
      <c r="A14" s="2991">
        <v>121</v>
      </c>
      <c r="B14" s="2991" t="s">
        <v>3221</v>
      </c>
      <c r="C14" s="2991" t="s">
        <v>3203</v>
      </c>
      <c r="D14" s="2992" t="s">
        <v>3341</v>
      </c>
      <c r="E14" s="2991" t="s">
        <v>3214</v>
      </c>
      <c r="F14" s="2991" t="s">
        <v>3215</v>
      </c>
      <c r="G14" s="2992" t="s">
        <v>3342</v>
      </c>
      <c r="H14" s="2991" t="s">
        <v>3343</v>
      </c>
      <c r="I14" s="2991">
        <v>701.01</v>
      </c>
    </row>
    <row r="15" spans="1:11">
      <c r="A15" s="2991">
        <v>4</v>
      </c>
      <c r="B15" s="2991" t="s">
        <v>3190</v>
      </c>
      <c r="C15" s="2991" t="s">
        <v>3191</v>
      </c>
      <c r="D15" s="2992" t="s">
        <v>3192</v>
      </c>
      <c r="E15" s="2991" t="s">
        <v>3123</v>
      </c>
      <c r="F15" s="2991" t="s">
        <v>3193</v>
      </c>
      <c r="G15" s="2992" t="s">
        <v>3186</v>
      </c>
      <c r="H15" s="2991" t="s">
        <v>3194</v>
      </c>
      <c r="I15" s="2991">
        <v>31.96</v>
      </c>
    </row>
    <row r="16" spans="1:11">
      <c r="A16" s="2991">
        <v>12</v>
      </c>
      <c r="B16" s="2991" t="s">
        <v>3190</v>
      </c>
      <c r="C16" s="2991" t="s">
        <v>3191</v>
      </c>
      <c r="D16" s="2992" t="s">
        <v>3206</v>
      </c>
      <c r="E16" s="2991" t="s">
        <v>3123</v>
      </c>
      <c r="F16" s="2991" t="s">
        <v>3193</v>
      </c>
      <c r="G16" s="2992" t="s">
        <v>3207</v>
      </c>
      <c r="H16" s="2991" t="s">
        <v>3194</v>
      </c>
      <c r="I16" s="2991">
        <v>160.65</v>
      </c>
    </row>
    <row r="17" spans="1:17">
      <c r="A17" s="2991">
        <v>13</v>
      </c>
      <c r="B17" s="2991" t="s">
        <v>3190</v>
      </c>
      <c r="C17" s="2991" t="s">
        <v>3191</v>
      </c>
      <c r="D17" s="2992" t="s">
        <v>3208</v>
      </c>
      <c r="E17" s="2991" t="s">
        <v>3123</v>
      </c>
      <c r="F17" s="2991" t="s">
        <v>3193</v>
      </c>
      <c r="G17" s="2992" t="s">
        <v>3207</v>
      </c>
      <c r="H17" s="2991" t="s">
        <v>3194</v>
      </c>
      <c r="I17" s="2991">
        <v>152</v>
      </c>
    </row>
    <row r="18" spans="1:17">
      <c r="A18" s="2991">
        <v>14</v>
      </c>
      <c r="B18" s="2991" t="s">
        <v>3190</v>
      </c>
      <c r="C18" s="2991" t="s">
        <v>3191</v>
      </c>
      <c r="D18" s="2992" t="s">
        <v>3209</v>
      </c>
      <c r="E18" s="2991" t="s">
        <v>3123</v>
      </c>
      <c r="F18" s="2991" t="s">
        <v>3193</v>
      </c>
      <c r="G18" s="2992" t="s">
        <v>3207</v>
      </c>
      <c r="H18" s="2991" t="s">
        <v>3194</v>
      </c>
      <c r="I18" s="2991">
        <v>152</v>
      </c>
    </row>
    <row r="19" spans="1:17">
      <c r="A19" s="2991">
        <v>15</v>
      </c>
      <c r="B19" s="2991" t="s">
        <v>3190</v>
      </c>
      <c r="C19" s="2991" t="s">
        <v>3191</v>
      </c>
      <c r="D19" s="2992" t="s">
        <v>3210</v>
      </c>
      <c r="E19" s="2991" t="s">
        <v>3123</v>
      </c>
      <c r="F19" s="2991" t="s">
        <v>3193</v>
      </c>
      <c r="G19" s="2992" t="s">
        <v>3207</v>
      </c>
      <c r="H19" s="2991" t="s">
        <v>3194</v>
      </c>
      <c r="I19" s="2991">
        <v>152</v>
      </c>
    </row>
    <row r="20" spans="1:17">
      <c r="A20" s="2991">
        <v>16</v>
      </c>
      <c r="B20" s="2991" t="s">
        <v>3190</v>
      </c>
      <c r="C20" s="2991" t="s">
        <v>3191</v>
      </c>
      <c r="D20" s="2992" t="s">
        <v>3211</v>
      </c>
      <c r="E20" s="2991" t="s">
        <v>3123</v>
      </c>
      <c r="F20" s="2991" t="s">
        <v>3193</v>
      </c>
      <c r="G20" s="2992" t="s">
        <v>3207</v>
      </c>
      <c r="H20" s="2991" t="s">
        <v>3194</v>
      </c>
      <c r="I20" s="2991">
        <v>152</v>
      </c>
    </row>
    <row r="21" spans="1:17">
      <c r="A21" s="2991">
        <v>17</v>
      </c>
      <c r="B21" s="2991" t="s">
        <v>3190</v>
      </c>
      <c r="C21" s="2991" t="s">
        <v>3191</v>
      </c>
      <c r="D21" s="2992" t="s">
        <v>3212</v>
      </c>
      <c r="E21" s="2991" t="s">
        <v>3123</v>
      </c>
      <c r="F21" s="2991" t="s">
        <v>3193</v>
      </c>
      <c r="G21" s="2992" t="s">
        <v>3207</v>
      </c>
      <c r="H21" s="2991" t="s">
        <v>3194</v>
      </c>
      <c r="I21" s="2991">
        <v>208.31</v>
      </c>
    </row>
    <row r="22" spans="1:17">
      <c r="A22" s="2991">
        <v>18</v>
      </c>
      <c r="B22" s="2991" t="s">
        <v>3190</v>
      </c>
      <c r="C22" s="2991" t="s">
        <v>3191</v>
      </c>
      <c r="D22" s="2992" t="s">
        <v>3213</v>
      </c>
      <c r="E22" s="2991" t="s">
        <v>3214</v>
      </c>
      <c r="F22" s="2991" t="s">
        <v>3215</v>
      </c>
      <c r="G22" s="2992" t="s">
        <v>1029</v>
      </c>
      <c r="H22" s="2991" t="s">
        <v>3216</v>
      </c>
      <c r="I22" s="2991">
        <v>222.93</v>
      </c>
    </row>
    <row r="23" spans="1:17">
      <c r="A23" s="2991">
        <v>19</v>
      </c>
      <c r="B23" s="2991" t="s">
        <v>3217</v>
      </c>
      <c r="C23" s="2991" t="s">
        <v>3218</v>
      </c>
      <c r="D23" s="2992" t="s">
        <v>3219</v>
      </c>
      <c r="E23" s="2991" t="s">
        <v>3214</v>
      </c>
      <c r="F23" s="2991" t="s">
        <v>3215</v>
      </c>
      <c r="G23" s="2992" t="s">
        <v>1029</v>
      </c>
      <c r="H23" s="2991" t="s">
        <v>3216</v>
      </c>
      <c r="I23" s="2991">
        <v>152.03</v>
      </c>
    </row>
    <row r="24" spans="1:17">
      <c r="A24" s="2991">
        <v>20</v>
      </c>
      <c r="B24" s="2991" t="s">
        <v>3217</v>
      </c>
      <c r="C24" s="2991" t="s">
        <v>3218</v>
      </c>
      <c r="D24" s="2992" t="s">
        <v>3220</v>
      </c>
      <c r="E24" s="2991" t="s">
        <v>3214</v>
      </c>
      <c r="F24" s="2991" t="s">
        <v>3215</v>
      </c>
      <c r="G24" s="2992" t="s">
        <v>1029</v>
      </c>
      <c r="H24" s="2991" t="s">
        <v>3216</v>
      </c>
      <c r="I24" s="2991">
        <v>116.9</v>
      </c>
    </row>
    <row r="25" spans="1:17">
      <c r="A25" s="2991">
        <v>22</v>
      </c>
      <c r="B25" s="2991" t="s">
        <v>3217</v>
      </c>
      <c r="C25" s="2991" t="s">
        <v>3218</v>
      </c>
      <c r="D25" s="2992" t="s">
        <v>3222</v>
      </c>
      <c r="E25" s="2991" t="s">
        <v>3214</v>
      </c>
      <c r="F25" s="2991" t="s">
        <v>3215</v>
      </c>
      <c r="G25" s="2992" t="s">
        <v>3223</v>
      </c>
      <c r="H25" s="2991" t="s">
        <v>3216</v>
      </c>
      <c r="I25" s="2991">
        <v>160.65</v>
      </c>
    </row>
    <row r="26" spans="1:17">
      <c r="A26" s="2991">
        <v>23</v>
      </c>
      <c r="B26" s="2991" t="s">
        <v>3217</v>
      </c>
      <c r="C26" s="2991" t="s">
        <v>3218</v>
      </c>
      <c r="D26" s="2992" t="s">
        <v>3224</v>
      </c>
      <c r="E26" s="2991" t="s">
        <v>3214</v>
      </c>
      <c r="F26" s="2991" t="s">
        <v>3215</v>
      </c>
      <c r="G26" s="2992" t="s">
        <v>3223</v>
      </c>
      <c r="H26" s="2991" t="s">
        <v>3216</v>
      </c>
      <c r="I26" s="2991">
        <v>152</v>
      </c>
    </row>
    <row r="27" spans="1:17">
      <c r="A27" s="2991">
        <v>24</v>
      </c>
      <c r="B27" s="2991" t="s">
        <v>3217</v>
      </c>
      <c r="C27" s="2991" t="s">
        <v>3218</v>
      </c>
      <c r="D27" s="2992" t="s">
        <v>3225</v>
      </c>
      <c r="E27" s="2991" t="s">
        <v>3214</v>
      </c>
      <c r="F27" s="2991" t="s">
        <v>3215</v>
      </c>
      <c r="G27" s="2992" t="s">
        <v>3223</v>
      </c>
      <c r="H27" s="2991" t="s">
        <v>3216</v>
      </c>
      <c r="I27" s="2991">
        <v>152</v>
      </c>
    </row>
    <row r="28" spans="1:17">
      <c r="A28" s="2991">
        <v>25</v>
      </c>
      <c r="B28" s="2991" t="s">
        <v>3217</v>
      </c>
      <c r="C28" s="2991" t="s">
        <v>3218</v>
      </c>
      <c r="D28" s="2992" t="s">
        <v>3226</v>
      </c>
      <c r="E28" s="2991" t="s">
        <v>3214</v>
      </c>
      <c r="F28" s="2991" t="s">
        <v>3215</v>
      </c>
      <c r="G28" s="2992" t="s">
        <v>3223</v>
      </c>
      <c r="H28" s="2991" t="s">
        <v>3216</v>
      </c>
      <c r="I28" s="2991">
        <v>152</v>
      </c>
    </row>
    <row r="29" spans="1:17">
      <c r="A29" s="2991">
        <v>26</v>
      </c>
      <c r="B29" s="2991" t="s">
        <v>3217</v>
      </c>
      <c r="C29" s="2991" t="s">
        <v>3218</v>
      </c>
      <c r="D29" s="2992" t="s">
        <v>3227</v>
      </c>
      <c r="E29" s="2991" t="s">
        <v>3214</v>
      </c>
      <c r="F29" s="2991" t="s">
        <v>3215</v>
      </c>
      <c r="G29" s="2992" t="s">
        <v>3223</v>
      </c>
      <c r="H29" s="2991" t="s">
        <v>3216</v>
      </c>
      <c r="I29" s="2991">
        <v>152</v>
      </c>
    </row>
    <row r="30" spans="1:17">
      <c r="A30" s="2991">
        <v>27</v>
      </c>
      <c r="B30" s="2991" t="s">
        <v>3217</v>
      </c>
      <c r="C30" s="2991" t="s">
        <v>3218</v>
      </c>
      <c r="D30" s="2992" t="s">
        <v>3228</v>
      </c>
      <c r="E30" s="2991" t="s">
        <v>3214</v>
      </c>
      <c r="F30" s="2991" t="s">
        <v>3215</v>
      </c>
      <c r="G30" s="2992" t="s">
        <v>3223</v>
      </c>
      <c r="H30" s="2991" t="s">
        <v>3216</v>
      </c>
      <c r="I30" s="2991">
        <v>208.31</v>
      </c>
    </row>
    <row r="31" spans="1:17">
      <c r="A31" s="2991">
        <v>28</v>
      </c>
      <c r="B31" s="2991" t="s">
        <v>3217</v>
      </c>
      <c r="C31" s="2991" t="s">
        <v>3218</v>
      </c>
      <c r="D31" s="2992" t="s">
        <v>3229</v>
      </c>
      <c r="E31" s="2991" t="s">
        <v>3214</v>
      </c>
      <c r="F31" s="2991" t="s">
        <v>3215</v>
      </c>
      <c r="G31" s="2992" t="s">
        <v>3223</v>
      </c>
      <c r="H31" s="2991" t="s">
        <v>3216</v>
      </c>
      <c r="I31" s="2991">
        <v>222.93</v>
      </c>
      <c r="Q31" s="2993" t="s">
        <v>3401</v>
      </c>
    </row>
    <row r="32" spans="1:17">
      <c r="A32" s="2991">
        <v>29</v>
      </c>
      <c r="B32" s="2991" t="s">
        <v>3217</v>
      </c>
      <c r="C32" s="2991" t="s">
        <v>3218</v>
      </c>
      <c r="D32" s="2992" t="s">
        <v>3230</v>
      </c>
      <c r="E32" s="2991" t="s">
        <v>3214</v>
      </c>
      <c r="F32" s="2991" t="s">
        <v>3215</v>
      </c>
      <c r="G32" s="2992" t="s">
        <v>3223</v>
      </c>
      <c r="H32" s="2991" t="s">
        <v>3216</v>
      </c>
      <c r="I32" s="2991">
        <v>152.03</v>
      </c>
    </row>
    <row r="33" spans="1:9">
      <c r="A33" s="2991">
        <v>30</v>
      </c>
      <c r="B33" s="2991" t="s">
        <v>3217</v>
      </c>
      <c r="C33" s="2991" t="s">
        <v>3218</v>
      </c>
      <c r="D33" s="2992" t="s">
        <v>3231</v>
      </c>
      <c r="E33" s="2991" t="s">
        <v>3232</v>
      </c>
      <c r="F33" s="2991" t="s">
        <v>3215</v>
      </c>
      <c r="G33" s="2992" t="s">
        <v>1030</v>
      </c>
      <c r="H33" s="2991" t="s">
        <v>3194</v>
      </c>
      <c r="I33" s="2991">
        <v>116.9</v>
      </c>
    </row>
    <row r="34" spans="1:9">
      <c r="A34" s="2991">
        <v>32</v>
      </c>
      <c r="B34" s="2991" t="s">
        <v>3236</v>
      </c>
      <c r="C34" s="2991" t="s">
        <v>3218</v>
      </c>
      <c r="D34" s="2992" t="s">
        <v>3234</v>
      </c>
      <c r="E34" s="2991" t="s">
        <v>3123</v>
      </c>
      <c r="F34" s="2991" t="s">
        <v>3215</v>
      </c>
      <c r="G34" s="2992" t="s">
        <v>3235</v>
      </c>
      <c r="H34" s="2991" t="s">
        <v>3194</v>
      </c>
      <c r="I34" s="2991">
        <v>160.65</v>
      </c>
    </row>
    <row r="35" spans="1:9">
      <c r="A35" s="2991">
        <v>33</v>
      </c>
      <c r="B35" s="2991" t="s">
        <v>3236</v>
      </c>
      <c r="C35" s="2991" t="s">
        <v>3218</v>
      </c>
      <c r="D35" s="2992" t="s">
        <v>3237</v>
      </c>
      <c r="E35" s="2991" t="s">
        <v>3123</v>
      </c>
      <c r="F35" s="2991" t="s">
        <v>3215</v>
      </c>
      <c r="G35" s="2992" t="s">
        <v>3235</v>
      </c>
      <c r="H35" s="2991" t="s">
        <v>3194</v>
      </c>
      <c r="I35" s="2991">
        <v>152</v>
      </c>
    </row>
    <row r="36" spans="1:9">
      <c r="A36" s="2991">
        <v>34</v>
      </c>
      <c r="B36" s="2991" t="s">
        <v>3236</v>
      </c>
      <c r="C36" s="2991" t="s">
        <v>3218</v>
      </c>
      <c r="D36" s="2992" t="s">
        <v>3238</v>
      </c>
      <c r="E36" s="2991" t="s">
        <v>3123</v>
      </c>
      <c r="F36" s="2991" t="s">
        <v>3215</v>
      </c>
      <c r="G36" s="2992" t="s">
        <v>3235</v>
      </c>
      <c r="H36" s="2991" t="s">
        <v>3194</v>
      </c>
      <c r="I36" s="2991">
        <v>152</v>
      </c>
    </row>
    <row r="37" spans="1:9">
      <c r="A37" s="2991">
        <v>35</v>
      </c>
      <c r="B37" s="2991" t="s">
        <v>3236</v>
      </c>
      <c r="C37" s="2991" t="s">
        <v>3218</v>
      </c>
      <c r="D37" s="2992" t="s">
        <v>3239</v>
      </c>
      <c r="E37" s="2991" t="s">
        <v>3123</v>
      </c>
      <c r="F37" s="2991" t="s">
        <v>3215</v>
      </c>
      <c r="G37" s="2992" t="s">
        <v>3235</v>
      </c>
      <c r="H37" s="2991" t="s">
        <v>3194</v>
      </c>
      <c r="I37" s="2991">
        <v>152</v>
      </c>
    </row>
    <row r="38" spans="1:9">
      <c r="A38" s="2991">
        <v>36</v>
      </c>
      <c r="B38" s="2991" t="s">
        <v>3236</v>
      </c>
      <c r="C38" s="2991" t="s">
        <v>3218</v>
      </c>
      <c r="D38" s="2992" t="s">
        <v>3240</v>
      </c>
      <c r="E38" s="2991" t="s">
        <v>3123</v>
      </c>
      <c r="F38" s="2991" t="s">
        <v>3215</v>
      </c>
      <c r="G38" s="2992" t="s">
        <v>3235</v>
      </c>
      <c r="H38" s="2991" t="s">
        <v>3194</v>
      </c>
      <c r="I38" s="2991">
        <v>152</v>
      </c>
    </row>
    <row r="39" spans="1:9">
      <c r="A39" s="2991">
        <v>37</v>
      </c>
      <c r="B39" s="2991" t="s">
        <v>3236</v>
      </c>
      <c r="C39" s="2991" t="s">
        <v>3218</v>
      </c>
      <c r="D39" s="2992" t="s">
        <v>3241</v>
      </c>
      <c r="E39" s="2991" t="s">
        <v>3214</v>
      </c>
      <c r="F39" s="2991" t="s">
        <v>3215</v>
      </c>
      <c r="G39" s="2992" t="s">
        <v>3235</v>
      </c>
      <c r="H39" s="2991" t="s">
        <v>3216</v>
      </c>
      <c r="I39" s="2991">
        <v>208.31</v>
      </c>
    </row>
    <row r="40" spans="1:9">
      <c r="A40" s="2991">
        <v>38</v>
      </c>
      <c r="B40" s="2991" t="s">
        <v>3217</v>
      </c>
      <c r="C40" s="2991" t="s">
        <v>3218</v>
      </c>
      <c r="D40" s="2992" t="s">
        <v>3242</v>
      </c>
      <c r="E40" s="2991" t="s">
        <v>3214</v>
      </c>
      <c r="F40" s="2991" t="s">
        <v>3215</v>
      </c>
      <c r="G40" s="2992" t="s">
        <v>3235</v>
      </c>
      <c r="H40" s="2991" t="s">
        <v>3216</v>
      </c>
      <c r="I40" s="2991">
        <v>222.93</v>
      </c>
    </row>
    <row r="41" spans="1:9">
      <c r="A41" s="2991">
        <v>39</v>
      </c>
      <c r="B41" s="2991" t="s">
        <v>3217</v>
      </c>
      <c r="C41" s="2991" t="s">
        <v>3218</v>
      </c>
      <c r="D41" s="2992" t="s">
        <v>3243</v>
      </c>
      <c r="E41" s="2991" t="s">
        <v>3214</v>
      </c>
      <c r="F41" s="2991" t="s">
        <v>3215</v>
      </c>
      <c r="G41" s="2992" t="s">
        <v>3235</v>
      </c>
      <c r="H41" s="2991" t="s">
        <v>3216</v>
      </c>
      <c r="I41" s="2991">
        <v>152.03</v>
      </c>
    </row>
    <row r="42" spans="1:9">
      <c r="A42" s="2991">
        <v>40</v>
      </c>
      <c r="B42" s="2991" t="s">
        <v>3217</v>
      </c>
      <c r="C42" s="2991" t="s">
        <v>3218</v>
      </c>
      <c r="D42" s="2992" t="s">
        <v>3244</v>
      </c>
      <c r="E42" s="2991" t="s">
        <v>3214</v>
      </c>
      <c r="F42" s="2991" t="s">
        <v>3215</v>
      </c>
      <c r="G42" s="2992" t="s">
        <v>3235</v>
      </c>
      <c r="H42" s="2991" t="s">
        <v>3216</v>
      </c>
      <c r="I42" s="2991">
        <v>116.9</v>
      </c>
    </row>
    <row r="43" spans="1:9">
      <c r="A43" s="2991">
        <v>42</v>
      </c>
      <c r="B43" s="2991" t="s">
        <v>3217</v>
      </c>
      <c r="C43" s="2991" t="s">
        <v>3218</v>
      </c>
      <c r="D43" s="2992" t="s">
        <v>3245</v>
      </c>
      <c r="E43" s="2991" t="s">
        <v>3214</v>
      </c>
      <c r="F43" s="2991" t="s">
        <v>3215</v>
      </c>
      <c r="G43" s="2992" t="s">
        <v>3247</v>
      </c>
      <c r="H43" s="2991" t="s">
        <v>3216</v>
      </c>
      <c r="I43" s="2991">
        <v>160.65</v>
      </c>
    </row>
    <row r="44" spans="1:9">
      <c r="A44" s="2991">
        <v>43</v>
      </c>
      <c r="B44" s="2991" t="s">
        <v>3217</v>
      </c>
      <c r="C44" s="2991" t="s">
        <v>3218</v>
      </c>
      <c r="D44" s="2992" t="s">
        <v>3248</v>
      </c>
      <c r="E44" s="2991" t="s">
        <v>3214</v>
      </c>
      <c r="F44" s="2991" t="s">
        <v>3215</v>
      </c>
      <c r="G44" s="2992" t="s">
        <v>3247</v>
      </c>
      <c r="H44" s="2991" t="s">
        <v>3216</v>
      </c>
      <c r="I44" s="2991">
        <v>152</v>
      </c>
    </row>
    <row r="45" spans="1:9">
      <c r="A45" s="2991">
        <v>44</v>
      </c>
      <c r="B45" s="2991" t="s">
        <v>3217</v>
      </c>
      <c r="C45" s="2991" t="s">
        <v>3218</v>
      </c>
      <c r="D45" s="2992" t="s">
        <v>3249</v>
      </c>
      <c r="E45" s="2991" t="s">
        <v>3214</v>
      </c>
      <c r="F45" s="2991" t="s">
        <v>3215</v>
      </c>
      <c r="G45" s="2992" t="s">
        <v>3247</v>
      </c>
      <c r="H45" s="2991" t="s">
        <v>3216</v>
      </c>
      <c r="I45" s="2991">
        <v>152</v>
      </c>
    </row>
    <row r="46" spans="1:9">
      <c r="A46" s="2991">
        <v>45</v>
      </c>
      <c r="B46" s="2991" t="s">
        <v>3217</v>
      </c>
      <c r="C46" s="2991" t="s">
        <v>3218</v>
      </c>
      <c r="D46" s="2992" t="s">
        <v>3250</v>
      </c>
      <c r="E46" s="2991" t="s">
        <v>3214</v>
      </c>
      <c r="F46" s="2991" t="s">
        <v>3215</v>
      </c>
      <c r="G46" s="2992" t="s">
        <v>3247</v>
      </c>
      <c r="H46" s="2991" t="s">
        <v>3216</v>
      </c>
      <c r="I46" s="2991">
        <v>152</v>
      </c>
    </row>
    <row r="47" spans="1:9">
      <c r="A47" s="2991">
        <v>46</v>
      </c>
      <c r="B47" s="2991" t="s">
        <v>3217</v>
      </c>
      <c r="C47" s="2991" t="s">
        <v>3218</v>
      </c>
      <c r="D47" s="2992" t="s">
        <v>3251</v>
      </c>
      <c r="E47" s="2991" t="s">
        <v>3214</v>
      </c>
      <c r="F47" s="2991" t="s">
        <v>3215</v>
      </c>
      <c r="G47" s="2992" t="s">
        <v>3247</v>
      </c>
      <c r="H47" s="2991" t="s">
        <v>3216</v>
      </c>
      <c r="I47" s="2991">
        <v>152</v>
      </c>
    </row>
    <row r="48" spans="1:9">
      <c r="A48" s="2991">
        <v>47</v>
      </c>
      <c r="B48" s="2991" t="s">
        <v>3217</v>
      </c>
      <c r="C48" s="2991" t="s">
        <v>3218</v>
      </c>
      <c r="D48" s="2992" t="s">
        <v>3252</v>
      </c>
      <c r="E48" s="2991" t="s">
        <v>3214</v>
      </c>
      <c r="F48" s="2991" t="s">
        <v>3215</v>
      </c>
      <c r="G48" s="2992" t="s">
        <v>3247</v>
      </c>
      <c r="H48" s="2991" t="s">
        <v>3216</v>
      </c>
      <c r="I48" s="2991">
        <v>208.31</v>
      </c>
    </row>
    <row r="49" spans="1:9">
      <c r="A49" s="2991">
        <v>48</v>
      </c>
      <c r="B49" s="2991" t="s">
        <v>3217</v>
      </c>
      <c r="C49" s="2991" t="s">
        <v>3218</v>
      </c>
      <c r="D49" s="2992" t="s">
        <v>3253</v>
      </c>
      <c r="E49" s="2991" t="s">
        <v>3214</v>
      </c>
      <c r="F49" s="2991" t="s">
        <v>3215</v>
      </c>
      <c r="G49" s="2992" t="s">
        <v>3247</v>
      </c>
      <c r="H49" s="2991" t="s">
        <v>3216</v>
      </c>
      <c r="I49" s="2991">
        <v>222.93</v>
      </c>
    </row>
    <row r="50" spans="1:9">
      <c r="A50" s="2991">
        <v>49</v>
      </c>
      <c r="B50" s="2991" t="s">
        <v>3217</v>
      </c>
      <c r="C50" s="2991" t="s">
        <v>3218</v>
      </c>
      <c r="D50" s="2992" t="s">
        <v>3254</v>
      </c>
      <c r="E50" s="2991" t="s">
        <v>3214</v>
      </c>
      <c r="F50" s="2991" t="s">
        <v>3215</v>
      </c>
      <c r="G50" s="2992" t="s">
        <v>3247</v>
      </c>
      <c r="H50" s="2991" t="s">
        <v>3216</v>
      </c>
      <c r="I50" s="2991">
        <v>152.03</v>
      </c>
    </row>
    <row r="51" spans="1:9">
      <c r="A51" s="2991">
        <v>50</v>
      </c>
      <c r="B51" s="2991" t="s">
        <v>3217</v>
      </c>
      <c r="C51" s="2991" t="s">
        <v>3218</v>
      </c>
      <c r="D51" s="2992" t="s">
        <v>3255</v>
      </c>
      <c r="E51" s="2991" t="s">
        <v>3214</v>
      </c>
      <c r="F51" s="2991" t="s">
        <v>3215</v>
      </c>
      <c r="G51" s="2992" t="s">
        <v>3247</v>
      </c>
      <c r="H51" s="2991" t="s">
        <v>3216</v>
      </c>
      <c r="I51" s="2991">
        <v>116.9</v>
      </c>
    </row>
    <row r="52" spans="1:9">
      <c r="A52" s="2991">
        <v>52</v>
      </c>
      <c r="B52" s="2991" t="s">
        <v>3236</v>
      </c>
      <c r="C52" s="2991" t="s">
        <v>3218</v>
      </c>
      <c r="D52" s="2992" t="s">
        <v>3256</v>
      </c>
      <c r="E52" s="2991" t="s">
        <v>3123</v>
      </c>
      <c r="F52" s="2991" t="s">
        <v>3215</v>
      </c>
      <c r="G52" s="2992" t="s">
        <v>3258</v>
      </c>
      <c r="H52" s="2991" t="s">
        <v>3194</v>
      </c>
      <c r="I52" s="2991">
        <v>160.65</v>
      </c>
    </row>
    <row r="53" spans="1:9">
      <c r="A53" s="2991">
        <v>53</v>
      </c>
      <c r="B53" s="2991" t="s">
        <v>3236</v>
      </c>
      <c r="C53" s="2991" t="s">
        <v>3218</v>
      </c>
      <c r="D53" s="2992" t="s">
        <v>3259</v>
      </c>
      <c r="E53" s="2991" t="s">
        <v>3123</v>
      </c>
      <c r="F53" s="2991" t="s">
        <v>3215</v>
      </c>
      <c r="G53" s="2992" t="s">
        <v>3258</v>
      </c>
      <c r="H53" s="2991" t="s">
        <v>3194</v>
      </c>
      <c r="I53" s="2991">
        <v>152</v>
      </c>
    </row>
    <row r="54" spans="1:9">
      <c r="A54" s="2991">
        <v>54</v>
      </c>
      <c r="B54" s="2991" t="s">
        <v>3236</v>
      </c>
      <c r="C54" s="2991" t="s">
        <v>3218</v>
      </c>
      <c r="D54" s="2992" t="s">
        <v>3260</v>
      </c>
      <c r="E54" s="2991" t="s">
        <v>3123</v>
      </c>
      <c r="F54" s="2991" t="s">
        <v>3215</v>
      </c>
      <c r="G54" s="2992" t="s">
        <v>3258</v>
      </c>
      <c r="H54" s="2991" t="s">
        <v>3194</v>
      </c>
      <c r="I54" s="2991">
        <v>152</v>
      </c>
    </row>
    <row r="55" spans="1:9">
      <c r="A55" s="2991">
        <v>55</v>
      </c>
      <c r="B55" s="2991" t="s">
        <v>3236</v>
      </c>
      <c r="C55" s="2991" t="s">
        <v>3218</v>
      </c>
      <c r="D55" s="2992" t="s">
        <v>3261</v>
      </c>
      <c r="E55" s="2991" t="s">
        <v>3123</v>
      </c>
      <c r="F55" s="2991" t="s">
        <v>3215</v>
      </c>
      <c r="G55" s="2992" t="s">
        <v>3258</v>
      </c>
      <c r="H55" s="2991" t="s">
        <v>3194</v>
      </c>
      <c r="I55" s="2991">
        <v>152</v>
      </c>
    </row>
    <row r="56" spans="1:9">
      <c r="A56" s="2991">
        <v>56</v>
      </c>
      <c r="B56" s="2991" t="s">
        <v>3236</v>
      </c>
      <c r="C56" s="2991" t="s">
        <v>3218</v>
      </c>
      <c r="D56" s="2992" t="s">
        <v>3262</v>
      </c>
      <c r="E56" s="2991" t="s">
        <v>3123</v>
      </c>
      <c r="F56" s="2991" t="s">
        <v>3215</v>
      </c>
      <c r="G56" s="2992" t="s">
        <v>3258</v>
      </c>
      <c r="H56" s="2991" t="s">
        <v>3194</v>
      </c>
      <c r="I56" s="2991">
        <v>152</v>
      </c>
    </row>
    <row r="57" spans="1:9">
      <c r="A57" s="2991">
        <v>57</v>
      </c>
      <c r="B57" s="2991" t="s">
        <v>3236</v>
      </c>
      <c r="C57" s="2991" t="s">
        <v>3218</v>
      </c>
      <c r="D57" s="2992" t="s">
        <v>3263</v>
      </c>
      <c r="E57" s="2991" t="s">
        <v>3123</v>
      </c>
      <c r="F57" s="2991" t="s">
        <v>3215</v>
      </c>
      <c r="G57" s="2992" t="s">
        <v>3258</v>
      </c>
      <c r="H57" s="2991" t="s">
        <v>3194</v>
      </c>
      <c r="I57" s="2991">
        <v>208.31</v>
      </c>
    </row>
    <row r="58" spans="1:9">
      <c r="A58" s="2991">
        <v>58</v>
      </c>
      <c r="B58" s="2991" t="s">
        <v>3236</v>
      </c>
      <c r="C58" s="2991" t="s">
        <v>3218</v>
      </c>
      <c r="D58" s="2992" t="s">
        <v>3264</v>
      </c>
      <c r="E58" s="2991" t="s">
        <v>3123</v>
      </c>
      <c r="F58" s="2991" t="s">
        <v>3215</v>
      </c>
      <c r="G58" s="2992" t="s">
        <v>3258</v>
      </c>
      <c r="H58" s="2991" t="s">
        <v>3194</v>
      </c>
      <c r="I58" s="2991">
        <v>222.93</v>
      </c>
    </row>
    <row r="59" spans="1:9">
      <c r="A59" s="2991">
        <v>59</v>
      </c>
      <c r="B59" s="2991" t="s">
        <v>3236</v>
      </c>
      <c r="C59" s="2991" t="s">
        <v>3218</v>
      </c>
      <c r="D59" s="2992" t="s">
        <v>3265</v>
      </c>
      <c r="E59" s="2991" t="s">
        <v>3123</v>
      </c>
      <c r="F59" s="2991" t="s">
        <v>3215</v>
      </c>
      <c r="G59" s="2992" t="s">
        <v>3258</v>
      </c>
      <c r="H59" s="2991" t="s">
        <v>3194</v>
      </c>
      <c r="I59" s="2991">
        <v>152.03</v>
      </c>
    </row>
    <row r="60" spans="1:9">
      <c r="A60" s="2991">
        <v>60</v>
      </c>
      <c r="B60" s="2991" t="s">
        <v>3236</v>
      </c>
      <c r="C60" s="2991" t="s">
        <v>3218</v>
      </c>
      <c r="D60" s="2992" t="s">
        <v>3266</v>
      </c>
      <c r="E60" s="2991" t="s">
        <v>3123</v>
      </c>
      <c r="F60" s="2991" t="s">
        <v>3215</v>
      </c>
      <c r="G60" s="2992" t="s">
        <v>3258</v>
      </c>
      <c r="H60" s="2991" t="s">
        <v>3194</v>
      </c>
      <c r="I60" s="2991">
        <v>116.9</v>
      </c>
    </row>
    <row r="61" spans="1:9">
      <c r="A61" s="2991">
        <v>62</v>
      </c>
      <c r="B61" s="2991" t="s">
        <v>3217</v>
      </c>
      <c r="C61" s="2991" t="s">
        <v>3218</v>
      </c>
      <c r="D61" s="2992" t="s">
        <v>3268</v>
      </c>
      <c r="E61" s="2991" t="s">
        <v>3214</v>
      </c>
      <c r="F61" s="2991" t="s">
        <v>3215</v>
      </c>
      <c r="G61" s="2992" t="s">
        <v>3270</v>
      </c>
      <c r="H61" s="2991" t="s">
        <v>3216</v>
      </c>
      <c r="I61" s="2991">
        <v>160.65</v>
      </c>
    </row>
    <row r="62" spans="1:9">
      <c r="A62" s="2991">
        <v>63</v>
      </c>
      <c r="B62" s="2991" t="s">
        <v>3217</v>
      </c>
      <c r="C62" s="2991" t="s">
        <v>3218</v>
      </c>
      <c r="D62" s="2992" t="s">
        <v>3271</v>
      </c>
      <c r="E62" s="2991" t="s">
        <v>3214</v>
      </c>
      <c r="F62" s="2991" t="s">
        <v>3215</v>
      </c>
      <c r="G62" s="2992" t="s">
        <v>3270</v>
      </c>
      <c r="H62" s="2991" t="s">
        <v>3216</v>
      </c>
      <c r="I62" s="2991">
        <v>152</v>
      </c>
    </row>
    <row r="63" spans="1:9">
      <c r="A63" s="2991">
        <v>64</v>
      </c>
      <c r="B63" s="2991" t="s">
        <v>3217</v>
      </c>
      <c r="C63" s="2991" t="s">
        <v>3218</v>
      </c>
      <c r="D63" s="2992" t="s">
        <v>3272</v>
      </c>
      <c r="E63" s="2991" t="s">
        <v>3214</v>
      </c>
      <c r="F63" s="2991" t="s">
        <v>3215</v>
      </c>
      <c r="G63" s="2992" t="s">
        <v>3270</v>
      </c>
      <c r="H63" s="2991" t="s">
        <v>3216</v>
      </c>
      <c r="I63" s="2991">
        <v>152</v>
      </c>
    </row>
    <row r="64" spans="1:9">
      <c r="A64" s="2991">
        <v>65</v>
      </c>
      <c r="B64" s="2991" t="s">
        <v>3217</v>
      </c>
      <c r="C64" s="2991" t="s">
        <v>3218</v>
      </c>
      <c r="D64" s="2992" t="s">
        <v>3273</v>
      </c>
      <c r="E64" s="2991" t="s">
        <v>3214</v>
      </c>
      <c r="F64" s="2991" t="s">
        <v>3215</v>
      </c>
      <c r="G64" s="2992" t="s">
        <v>3270</v>
      </c>
      <c r="H64" s="2991" t="s">
        <v>3216</v>
      </c>
      <c r="I64" s="2991">
        <v>152</v>
      </c>
    </row>
    <row r="65" spans="1:9">
      <c r="A65" s="2991">
        <v>66</v>
      </c>
      <c r="B65" s="2991" t="s">
        <v>3217</v>
      </c>
      <c r="C65" s="2991" t="s">
        <v>3218</v>
      </c>
      <c r="D65" s="2992" t="s">
        <v>3274</v>
      </c>
      <c r="E65" s="2991" t="s">
        <v>3214</v>
      </c>
      <c r="F65" s="2991" t="s">
        <v>3215</v>
      </c>
      <c r="G65" s="2992" t="s">
        <v>3270</v>
      </c>
      <c r="H65" s="2991" t="s">
        <v>3216</v>
      </c>
      <c r="I65" s="2991">
        <v>152</v>
      </c>
    </row>
    <row r="66" spans="1:9">
      <c r="A66" s="2991">
        <v>67</v>
      </c>
      <c r="B66" s="2991" t="s">
        <v>3217</v>
      </c>
      <c r="C66" s="2991" t="s">
        <v>3218</v>
      </c>
      <c r="D66" s="2992" t="s">
        <v>3275</v>
      </c>
      <c r="E66" s="2991" t="s">
        <v>3214</v>
      </c>
      <c r="F66" s="2991" t="s">
        <v>3215</v>
      </c>
      <c r="G66" s="2992" t="s">
        <v>3270</v>
      </c>
      <c r="H66" s="2991" t="s">
        <v>3216</v>
      </c>
      <c r="I66" s="2991">
        <v>208.31</v>
      </c>
    </row>
    <row r="67" spans="1:9">
      <c r="A67" s="2991">
        <v>68</v>
      </c>
      <c r="B67" s="2991" t="s">
        <v>3217</v>
      </c>
      <c r="C67" s="2991" t="s">
        <v>3218</v>
      </c>
      <c r="D67" s="2992" t="s">
        <v>3276</v>
      </c>
      <c r="E67" s="2991" t="s">
        <v>3214</v>
      </c>
      <c r="F67" s="2991" t="s">
        <v>3215</v>
      </c>
      <c r="G67" s="2992" t="s">
        <v>3270</v>
      </c>
      <c r="H67" s="2991" t="s">
        <v>3216</v>
      </c>
      <c r="I67" s="2991">
        <v>222.93</v>
      </c>
    </row>
    <row r="68" spans="1:9">
      <c r="A68" s="2991">
        <v>69</v>
      </c>
      <c r="B68" s="2991" t="s">
        <v>3217</v>
      </c>
      <c r="C68" s="2991" t="s">
        <v>3218</v>
      </c>
      <c r="D68" s="2992" t="s">
        <v>3277</v>
      </c>
      <c r="E68" s="2991" t="s">
        <v>3214</v>
      </c>
      <c r="F68" s="2991" t="s">
        <v>3215</v>
      </c>
      <c r="G68" s="2992" t="s">
        <v>3270</v>
      </c>
      <c r="H68" s="2991" t="s">
        <v>3216</v>
      </c>
      <c r="I68" s="2991">
        <v>152.03</v>
      </c>
    </row>
    <row r="69" spans="1:9">
      <c r="A69" s="2991">
        <v>70</v>
      </c>
      <c r="B69" s="2991" t="s">
        <v>3217</v>
      </c>
      <c r="C69" s="2991" t="s">
        <v>3218</v>
      </c>
      <c r="D69" s="2992" t="s">
        <v>3278</v>
      </c>
      <c r="E69" s="2991" t="s">
        <v>3214</v>
      </c>
      <c r="F69" s="2991" t="s">
        <v>3215</v>
      </c>
      <c r="G69" s="2992" t="s">
        <v>3270</v>
      </c>
      <c r="H69" s="2991" t="s">
        <v>3216</v>
      </c>
      <c r="I69" s="2991">
        <v>116.9</v>
      </c>
    </row>
    <row r="70" spans="1:9">
      <c r="A70" s="2991">
        <v>72</v>
      </c>
      <c r="B70" s="2991" t="s">
        <v>3217</v>
      </c>
      <c r="C70" s="2991" t="s">
        <v>3218</v>
      </c>
      <c r="D70" s="2992" t="s">
        <v>3279</v>
      </c>
      <c r="E70" s="2991" t="s">
        <v>3214</v>
      </c>
      <c r="F70" s="2991" t="s">
        <v>3215</v>
      </c>
      <c r="G70" s="2992" t="s">
        <v>3281</v>
      </c>
      <c r="H70" s="2991" t="s">
        <v>3216</v>
      </c>
      <c r="I70" s="2991">
        <v>160.65</v>
      </c>
    </row>
    <row r="71" spans="1:9">
      <c r="A71" s="2991">
        <v>73</v>
      </c>
      <c r="B71" s="2991" t="s">
        <v>3217</v>
      </c>
      <c r="C71" s="2991" t="s">
        <v>3218</v>
      </c>
      <c r="D71" s="2992" t="s">
        <v>3282</v>
      </c>
      <c r="E71" s="2991" t="s">
        <v>3214</v>
      </c>
      <c r="F71" s="2991" t="s">
        <v>3215</v>
      </c>
      <c r="G71" s="2992" t="s">
        <v>3281</v>
      </c>
      <c r="H71" s="2991" t="s">
        <v>3216</v>
      </c>
      <c r="I71" s="2991">
        <v>152</v>
      </c>
    </row>
    <row r="72" spans="1:9">
      <c r="A72" s="2991">
        <v>74</v>
      </c>
      <c r="B72" s="2991" t="s">
        <v>3217</v>
      </c>
      <c r="C72" s="2991" t="s">
        <v>3218</v>
      </c>
      <c r="D72" s="2992" t="s">
        <v>3283</v>
      </c>
      <c r="E72" s="2991" t="s">
        <v>3232</v>
      </c>
      <c r="F72" s="2991" t="s">
        <v>3215</v>
      </c>
      <c r="G72" s="2992" t="s">
        <v>3284</v>
      </c>
      <c r="H72" s="2991" t="s">
        <v>3194</v>
      </c>
      <c r="I72" s="2991">
        <v>152</v>
      </c>
    </row>
    <row r="73" spans="1:9">
      <c r="A73" s="2991">
        <v>75</v>
      </c>
      <c r="B73" s="2991" t="s">
        <v>3285</v>
      </c>
      <c r="C73" s="2991" t="s">
        <v>3286</v>
      </c>
      <c r="D73" s="2992" t="s">
        <v>3287</v>
      </c>
      <c r="E73" s="2991" t="s">
        <v>3232</v>
      </c>
      <c r="F73" s="2991" t="s">
        <v>3215</v>
      </c>
      <c r="G73" s="2992" t="s">
        <v>3284</v>
      </c>
      <c r="H73" s="2991" t="s">
        <v>3194</v>
      </c>
      <c r="I73" s="2991">
        <v>152</v>
      </c>
    </row>
    <row r="74" spans="1:9">
      <c r="A74" s="2991">
        <v>76</v>
      </c>
      <c r="B74" s="2991" t="s">
        <v>3285</v>
      </c>
      <c r="C74" s="2991" t="s">
        <v>3286</v>
      </c>
      <c r="D74" s="2992" t="s">
        <v>3288</v>
      </c>
      <c r="E74" s="2991" t="s">
        <v>3232</v>
      </c>
      <c r="F74" s="2991" t="s">
        <v>3215</v>
      </c>
      <c r="G74" s="2992" t="s">
        <v>3284</v>
      </c>
      <c r="H74" s="2991" t="s">
        <v>3194</v>
      </c>
      <c r="I74" s="2991">
        <v>152</v>
      </c>
    </row>
    <row r="75" spans="1:9">
      <c r="A75" s="2991">
        <v>77</v>
      </c>
      <c r="B75" s="2991" t="s">
        <v>3285</v>
      </c>
      <c r="C75" s="2991" t="s">
        <v>3286</v>
      </c>
      <c r="D75" s="2992" t="s">
        <v>3289</v>
      </c>
      <c r="E75" s="2991" t="s">
        <v>3232</v>
      </c>
      <c r="F75" s="2991" t="s">
        <v>3215</v>
      </c>
      <c r="G75" s="2992" t="s">
        <v>3284</v>
      </c>
      <c r="H75" s="2991" t="s">
        <v>3194</v>
      </c>
      <c r="I75" s="2991">
        <v>208.31</v>
      </c>
    </row>
    <row r="76" spans="1:9">
      <c r="A76" s="2991">
        <v>78</v>
      </c>
      <c r="B76" s="2991" t="s">
        <v>3285</v>
      </c>
      <c r="C76" s="2991" t="s">
        <v>3286</v>
      </c>
      <c r="D76" s="2992" t="s">
        <v>3290</v>
      </c>
      <c r="E76" s="2991" t="s">
        <v>3232</v>
      </c>
      <c r="F76" s="2991" t="s">
        <v>3215</v>
      </c>
      <c r="G76" s="2992" t="s">
        <v>3284</v>
      </c>
      <c r="H76" s="2991" t="s">
        <v>3194</v>
      </c>
      <c r="I76" s="2991">
        <v>222.93</v>
      </c>
    </row>
    <row r="77" spans="1:9">
      <c r="A77" s="2991">
        <v>79</v>
      </c>
      <c r="B77" s="2991" t="s">
        <v>3285</v>
      </c>
      <c r="C77" s="2991" t="s">
        <v>3286</v>
      </c>
      <c r="D77" s="2992" t="s">
        <v>3291</v>
      </c>
      <c r="E77" s="2991" t="s">
        <v>3232</v>
      </c>
      <c r="F77" s="2991" t="s">
        <v>3215</v>
      </c>
      <c r="G77" s="2992" t="s">
        <v>3284</v>
      </c>
      <c r="H77" s="2991" t="s">
        <v>3194</v>
      </c>
      <c r="I77" s="2991">
        <v>152.03</v>
      </c>
    </row>
    <row r="78" spans="1:9">
      <c r="A78" s="2991">
        <v>80</v>
      </c>
      <c r="B78" s="2991" t="s">
        <v>3285</v>
      </c>
      <c r="C78" s="2991" t="s">
        <v>3286</v>
      </c>
      <c r="D78" s="2992" t="s">
        <v>3292</v>
      </c>
      <c r="E78" s="2991" t="s">
        <v>3232</v>
      </c>
      <c r="F78" s="2991" t="s">
        <v>3215</v>
      </c>
      <c r="G78" s="2992" t="s">
        <v>3284</v>
      </c>
      <c r="H78" s="2991" t="s">
        <v>3194</v>
      </c>
      <c r="I78" s="2991">
        <v>116.9</v>
      </c>
    </row>
    <row r="79" spans="1:9">
      <c r="A79" s="2991">
        <v>82</v>
      </c>
      <c r="B79" s="2991" t="s">
        <v>3285</v>
      </c>
      <c r="C79" s="2991" t="s">
        <v>3286</v>
      </c>
      <c r="D79" s="2992" t="s">
        <v>3295</v>
      </c>
      <c r="E79" s="2991" t="s">
        <v>3232</v>
      </c>
      <c r="F79" s="2991" t="s">
        <v>3215</v>
      </c>
      <c r="G79" s="2992" t="s">
        <v>3296</v>
      </c>
      <c r="H79" s="2991" t="s">
        <v>3194</v>
      </c>
      <c r="I79" s="2991">
        <v>160.65</v>
      </c>
    </row>
    <row r="80" spans="1:9">
      <c r="A80" s="2991">
        <v>83</v>
      </c>
      <c r="B80" s="2991" t="s">
        <v>3285</v>
      </c>
      <c r="C80" s="2991" t="s">
        <v>3286</v>
      </c>
      <c r="D80" s="2992" t="s">
        <v>3297</v>
      </c>
      <c r="E80" s="2991" t="s">
        <v>3232</v>
      </c>
      <c r="F80" s="2991" t="s">
        <v>3215</v>
      </c>
      <c r="G80" s="2992" t="s">
        <v>3296</v>
      </c>
      <c r="H80" s="2991" t="s">
        <v>3194</v>
      </c>
      <c r="I80" s="2991">
        <v>152</v>
      </c>
    </row>
    <row r="81" spans="1:9">
      <c r="A81" s="2991">
        <v>84</v>
      </c>
      <c r="B81" s="2991" t="s">
        <v>3285</v>
      </c>
      <c r="C81" s="2991" t="s">
        <v>3286</v>
      </c>
      <c r="D81" s="2992" t="s">
        <v>3298</v>
      </c>
      <c r="E81" s="2991" t="s">
        <v>3232</v>
      </c>
      <c r="F81" s="2991" t="s">
        <v>3215</v>
      </c>
      <c r="G81" s="2992" t="s">
        <v>3296</v>
      </c>
      <c r="H81" s="2991" t="s">
        <v>3194</v>
      </c>
      <c r="I81" s="2991">
        <v>152</v>
      </c>
    </row>
    <row r="82" spans="1:9">
      <c r="A82" s="2991">
        <v>85</v>
      </c>
      <c r="B82" s="2991" t="s">
        <v>3285</v>
      </c>
      <c r="C82" s="2991" t="s">
        <v>3286</v>
      </c>
      <c r="D82" s="2992" t="s">
        <v>3299</v>
      </c>
      <c r="E82" s="2991" t="s">
        <v>3232</v>
      </c>
      <c r="F82" s="2991" t="s">
        <v>3215</v>
      </c>
      <c r="G82" s="2992" t="s">
        <v>3296</v>
      </c>
      <c r="H82" s="2991" t="s">
        <v>3194</v>
      </c>
      <c r="I82" s="2991">
        <v>152</v>
      </c>
    </row>
    <row r="83" spans="1:9">
      <c r="A83" s="2991">
        <v>86</v>
      </c>
      <c r="B83" s="2991" t="s">
        <v>3285</v>
      </c>
      <c r="C83" s="2991" t="s">
        <v>3286</v>
      </c>
      <c r="D83" s="2992" t="s">
        <v>3300</v>
      </c>
      <c r="E83" s="2991" t="s">
        <v>3232</v>
      </c>
      <c r="F83" s="2991" t="s">
        <v>3215</v>
      </c>
      <c r="G83" s="2992" t="s">
        <v>3296</v>
      </c>
      <c r="H83" s="2991" t="s">
        <v>3194</v>
      </c>
      <c r="I83" s="2991">
        <v>152</v>
      </c>
    </row>
    <row r="84" spans="1:9">
      <c r="A84" s="2991">
        <v>87</v>
      </c>
      <c r="B84" s="2991" t="s">
        <v>3285</v>
      </c>
      <c r="C84" s="2991" t="s">
        <v>3286</v>
      </c>
      <c r="D84" s="2992" t="s">
        <v>3301</v>
      </c>
      <c r="E84" s="2991" t="s">
        <v>3232</v>
      </c>
      <c r="F84" s="2991" t="s">
        <v>3215</v>
      </c>
      <c r="G84" s="2992" t="s">
        <v>3296</v>
      </c>
      <c r="H84" s="2991" t="s">
        <v>3194</v>
      </c>
      <c r="I84" s="2991">
        <v>208.31</v>
      </c>
    </row>
    <row r="85" spans="1:9">
      <c r="A85" s="2991">
        <v>88</v>
      </c>
      <c r="B85" s="2991" t="s">
        <v>3285</v>
      </c>
      <c r="C85" s="2991" t="s">
        <v>3286</v>
      </c>
      <c r="D85" s="2992" t="s">
        <v>3302</v>
      </c>
      <c r="E85" s="2991" t="s">
        <v>3232</v>
      </c>
      <c r="F85" s="2991" t="s">
        <v>3215</v>
      </c>
      <c r="G85" s="2992" t="s">
        <v>3296</v>
      </c>
      <c r="H85" s="2991" t="s">
        <v>3194</v>
      </c>
      <c r="I85" s="2991">
        <v>222.93</v>
      </c>
    </row>
    <row r="86" spans="1:9">
      <c r="A86" s="2991">
        <v>89</v>
      </c>
      <c r="B86" s="2991" t="s">
        <v>3285</v>
      </c>
      <c r="C86" s="2991" t="s">
        <v>3286</v>
      </c>
      <c r="D86" s="2992" t="s">
        <v>3303</v>
      </c>
      <c r="E86" s="2991" t="s">
        <v>3232</v>
      </c>
      <c r="F86" s="2991" t="s">
        <v>3215</v>
      </c>
      <c r="G86" s="2992" t="s">
        <v>3296</v>
      </c>
      <c r="H86" s="2991" t="s">
        <v>3194</v>
      </c>
      <c r="I86" s="2991">
        <v>152.03</v>
      </c>
    </row>
    <row r="87" spans="1:9">
      <c r="A87" s="2991">
        <v>90</v>
      </c>
      <c r="B87" s="2991" t="s">
        <v>3285</v>
      </c>
      <c r="C87" s="2991" t="s">
        <v>3286</v>
      </c>
      <c r="D87" s="2992" t="s">
        <v>3304</v>
      </c>
      <c r="E87" s="2991" t="s">
        <v>3214</v>
      </c>
      <c r="F87" s="2991" t="s">
        <v>3215</v>
      </c>
      <c r="G87" s="2992" t="s">
        <v>3296</v>
      </c>
      <c r="H87" s="2991" t="s">
        <v>3216</v>
      </c>
      <c r="I87" s="2991">
        <v>116.9</v>
      </c>
    </row>
    <row r="88" spans="1:9">
      <c r="A88" s="2991">
        <v>92</v>
      </c>
      <c r="B88" s="2991" t="s">
        <v>3217</v>
      </c>
      <c r="C88" s="2991" t="s">
        <v>3218</v>
      </c>
      <c r="D88" s="2992" t="s">
        <v>3307</v>
      </c>
      <c r="E88" s="2991" t="s">
        <v>3214</v>
      </c>
      <c r="F88" s="2991" t="s">
        <v>3215</v>
      </c>
      <c r="G88" s="2992" t="s">
        <v>3308</v>
      </c>
      <c r="H88" s="2991" t="s">
        <v>3216</v>
      </c>
      <c r="I88" s="2991">
        <v>160.65</v>
      </c>
    </row>
    <row r="89" spans="1:9">
      <c r="A89" s="2991">
        <v>93</v>
      </c>
      <c r="B89" s="2991" t="s">
        <v>3217</v>
      </c>
      <c r="C89" s="2991" t="s">
        <v>3218</v>
      </c>
      <c r="D89" s="2992" t="s">
        <v>3309</v>
      </c>
      <c r="E89" s="2991" t="s">
        <v>3214</v>
      </c>
      <c r="F89" s="2991" t="s">
        <v>3215</v>
      </c>
      <c r="G89" s="2992" t="s">
        <v>3308</v>
      </c>
      <c r="H89" s="2991" t="s">
        <v>3216</v>
      </c>
      <c r="I89" s="2991">
        <v>152</v>
      </c>
    </row>
    <row r="90" spans="1:9">
      <c r="A90" s="2991">
        <v>94</v>
      </c>
      <c r="B90" s="2991" t="s">
        <v>3217</v>
      </c>
      <c r="C90" s="2991" t="s">
        <v>3218</v>
      </c>
      <c r="D90" s="2992" t="s">
        <v>3310</v>
      </c>
      <c r="E90" s="2991" t="s">
        <v>3214</v>
      </c>
      <c r="F90" s="2991" t="s">
        <v>3215</v>
      </c>
      <c r="G90" s="2992" t="s">
        <v>3308</v>
      </c>
      <c r="H90" s="2991" t="s">
        <v>3216</v>
      </c>
      <c r="I90" s="2991">
        <v>152</v>
      </c>
    </row>
    <row r="91" spans="1:9">
      <c r="A91" s="2991">
        <v>95</v>
      </c>
      <c r="B91" s="2991" t="s">
        <v>3217</v>
      </c>
      <c r="C91" s="2991" t="s">
        <v>3218</v>
      </c>
      <c r="D91" s="2992" t="s">
        <v>3311</v>
      </c>
      <c r="E91" s="2991" t="s">
        <v>3214</v>
      </c>
      <c r="F91" s="2991" t="s">
        <v>3215</v>
      </c>
      <c r="G91" s="2992" t="s">
        <v>3308</v>
      </c>
      <c r="H91" s="2991" t="s">
        <v>3216</v>
      </c>
      <c r="I91" s="2991">
        <v>152</v>
      </c>
    </row>
    <row r="92" spans="1:9">
      <c r="A92" s="2991">
        <v>96</v>
      </c>
      <c r="B92" s="2991" t="s">
        <v>3217</v>
      </c>
      <c r="C92" s="2991" t="s">
        <v>3218</v>
      </c>
      <c r="D92" s="2992" t="s">
        <v>3312</v>
      </c>
      <c r="E92" s="2991" t="s">
        <v>3214</v>
      </c>
      <c r="F92" s="2991" t="s">
        <v>3215</v>
      </c>
      <c r="G92" s="2992" t="s">
        <v>3308</v>
      </c>
      <c r="H92" s="2991" t="s">
        <v>3216</v>
      </c>
      <c r="I92" s="2991">
        <v>152</v>
      </c>
    </row>
    <row r="93" spans="1:9">
      <c r="A93" s="2991">
        <v>97</v>
      </c>
      <c r="B93" s="2991" t="s">
        <v>3217</v>
      </c>
      <c r="C93" s="2991" t="s">
        <v>3218</v>
      </c>
      <c r="D93" s="2992" t="s">
        <v>3313</v>
      </c>
      <c r="E93" s="2991" t="s">
        <v>3214</v>
      </c>
      <c r="F93" s="2991" t="s">
        <v>3215</v>
      </c>
      <c r="G93" s="2992" t="s">
        <v>3308</v>
      </c>
      <c r="H93" s="2991" t="s">
        <v>3216</v>
      </c>
      <c r="I93" s="2991">
        <v>208.31</v>
      </c>
    </row>
    <row r="94" spans="1:9">
      <c r="A94" s="2991">
        <v>98</v>
      </c>
      <c r="B94" s="2991" t="s">
        <v>3217</v>
      </c>
      <c r="C94" s="2991" t="s">
        <v>3218</v>
      </c>
      <c r="D94" s="2992" t="s">
        <v>3314</v>
      </c>
      <c r="E94" s="2991" t="s">
        <v>3214</v>
      </c>
      <c r="F94" s="2991" t="s">
        <v>3215</v>
      </c>
      <c r="G94" s="2992" t="s">
        <v>3308</v>
      </c>
      <c r="H94" s="2991" t="s">
        <v>3216</v>
      </c>
      <c r="I94" s="2991">
        <v>222.93</v>
      </c>
    </row>
    <row r="95" spans="1:9">
      <c r="A95" s="2991">
        <v>99</v>
      </c>
      <c r="B95" s="2991" t="s">
        <v>3217</v>
      </c>
      <c r="C95" s="2991" t="s">
        <v>3218</v>
      </c>
      <c r="D95" s="2992" t="s">
        <v>3315</v>
      </c>
      <c r="E95" s="2991" t="s">
        <v>3214</v>
      </c>
      <c r="F95" s="2991" t="s">
        <v>3215</v>
      </c>
      <c r="G95" s="2992" t="s">
        <v>3308</v>
      </c>
      <c r="H95" s="2991" t="s">
        <v>3216</v>
      </c>
      <c r="I95" s="2991">
        <v>152.03</v>
      </c>
    </row>
    <row r="96" spans="1:9">
      <c r="A96" s="2991">
        <v>100</v>
      </c>
      <c r="B96" s="2991" t="s">
        <v>3217</v>
      </c>
      <c r="C96" s="2991" t="s">
        <v>3218</v>
      </c>
      <c r="D96" s="2992" t="s">
        <v>3316</v>
      </c>
      <c r="E96" s="2991" t="s">
        <v>3214</v>
      </c>
      <c r="F96" s="2991" t="s">
        <v>3215</v>
      </c>
      <c r="G96" s="2992" t="s">
        <v>3308</v>
      </c>
      <c r="H96" s="2991" t="s">
        <v>3216</v>
      </c>
      <c r="I96" s="2991">
        <v>116.9</v>
      </c>
    </row>
    <row r="97" spans="1:9">
      <c r="A97" s="2991">
        <v>102</v>
      </c>
      <c r="B97" s="2991" t="s">
        <v>3217</v>
      </c>
      <c r="C97" s="2991" t="s">
        <v>3218</v>
      </c>
      <c r="D97" s="2992" t="s">
        <v>3319</v>
      </c>
      <c r="E97" s="2991" t="s">
        <v>3214</v>
      </c>
      <c r="F97" s="2991" t="s">
        <v>3215</v>
      </c>
      <c r="G97" s="2992" t="s">
        <v>3320</v>
      </c>
      <c r="H97" s="2991" t="s">
        <v>3216</v>
      </c>
      <c r="I97" s="2991">
        <v>160.65</v>
      </c>
    </row>
    <row r="98" spans="1:9">
      <c r="A98" s="2991">
        <v>103</v>
      </c>
      <c r="B98" s="2991" t="s">
        <v>3217</v>
      </c>
      <c r="C98" s="2991" t="s">
        <v>3218</v>
      </c>
      <c r="D98" s="2992" t="s">
        <v>3321</v>
      </c>
      <c r="E98" s="2991" t="s">
        <v>3214</v>
      </c>
      <c r="F98" s="2991" t="s">
        <v>3215</v>
      </c>
      <c r="G98" s="2992" t="s">
        <v>3320</v>
      </c>
      <c r="H98" s="2991" t="s">
        <v>3216</v>
      </c>
      <c r="I98" s="2991">
        <v>152</v>
      </c>
    </row>
    <row r="99" spans="1:9">
      <c r="A99" s="2991">
        <v>104</v>
      </c>
      <c r="B99" s="2991" t="s">
        <v>3217</v>
      </c>
      <c r="C99" s="2991" t="s">
        <v>3218</v>
      </c>
      <c r="D99" s="2992" t="s">
        <v>3322</v>
      </c>
      <c r="E99" s="2991" t="s">
        <v>3214</v>
      </c>
      <c r="F99" s="2991" t="s">
        <v>3215</v>
      </c>
      <c r="G99" s="2992" t="s">
        <v>3320</v>
      </c>
      <c r="H99" s="2991" t="s">
        <v>3216</v>
      </c>
      <c r="I99" s="2991">
        <v>152</v>
      </c>
    </row>
    <row r="100" spans="1:9">
      <c r="A100" s="2991">
        <v>105</v>
      </c>
      <c r="B100" s="2991" t="s">
        <v>3217</v>
      </c>
      <c r="C100" s="2991" t="s">
        <v>3218</v>
      </c>
      <c r="D100" s="2992" t="s">
        <v>3323</v>
      </c>
      <c r="E100" s="2991" t="s">
        <v>3214</v>
      </c>
      <c r="F100" s="2991" t="s">
        <v>3215</v>
      </c>
      <c r="G100" s="2992" t="s">
        <v>3320</v>
      </c>
      <c r="H100" s="2991" t="s">
        <v>3216</v>
      </c>
      <c r="I100" s="2991">
        <v>152</v>
      </c>
    </row>
    <row r="101" spans="1:9">
      <c r="A101" s="2991">
        <v>106</v>
      </c>
      <c r="B101" s="2991" t="s">
        <v>3217</v>
      </c>
      <c r="C101" s="2991" t="s">
        <v>3218</v>
      </c>
      <c r="D101" s="2992" t="s">
        <v>3324</v>
      </c>
      <c r="E101" s="2991" t="s">
        <v>3214</v>
      </c>
      <c r="F101" s="2991" t="s">
        <v>3215</v>
      </c>
      <c r="G101" s="2992" t="s">
        <v>3320</v>
      </c>
      <c r="H101" s="2991" t="s">
        <v>3216</v>
      </c>
      <c r="I101" s="2991">
        <v>152</v>
      </c>
    </row>
    <row r="102" spans="1:9">
      <c r="A102" s="2991">
        <v>107</v>
      </c>
      <c r="B102" s="2991" t="s">
        <v>3217</v>
      </c>
      <c r="C102" s="2991" t="s">
        <v>3218</v>
      </c>
      <c r="D102" s="2992" t="s">
        <v>3325</v>
      </c>
      <c r="E102" s="2991" t="s">
        <v>3214</v>
      </c>
      <c r="F102" s="2991" t="s">
        <v>3215</v>
      </c>
      <c r="G102" s="2992" t="s">
        <v>3320</v>
      </c>
      <c r="H102" s="2991" t="s">
        <v>3216</v>
      </c>
      <c r="I102" s="2991">
        <v>208.31</v>
      </c>
    </row>
    <row r="103" spans="1:9">
      <c r="A103" s="2991">
        <v>108</v>
      </c>
      <c r="B103" s="2991" t="s">
        <v>3217</v>
      </c>
      <c r="C103" s="2991" t="s">
        <v>3218</v>
      </c>
      <c r="D103" s="2992" t="s">
        <v>3326</v>
      </c>
      <c r="E103" s="2991" t="s">
        <v>3214</v>
      </c>
      <c r="F103" s="2991" t="s">
        <v>3215</v>
      </c>
      <c r="G103" s="2992" t="s">
        <v>3320</v>
      </c>
      <c r="H103" s="2991" t="s">
        <v>3216</v>
      </c>
      <c r="I103" s="2991">
        <v>222.93</v>
      </c>
    </row>
    <row r="104" spans="1:9">
      <c r="A104" s="2991">
        <v>109</v>
      </c>
      <c r="B104" s="2991" t="s">
        <v>3217</v>
      </c>
      <c r="C104" s="2991" t="s">
        <v>3218</v>
      </c>
      <c r="D104" s="2992" t="s">
        <v>3327</v>
      </c>
      <c r="E104" s="2991" t="s">
        <v>3214</v>
      </c>
      <c r="F104" s="2991" t="s">
        <v>3215</v>
      </c>
      <c r="G104" s="2992" t="s">
        <v>3320</v>
      </c>
      <c r="H104" s="2991" t="s">
        <v>3216</v>
      </c>
      <c r="I104" s="2991">
        <v>152.03</v>
      </c>
    </row>
    <row r="105" spans="1:9">
      <c r="A105" s="2991">
        <v>110</v>
      </c>
      <c r="B105" s="2991" t="s">
        <v>3217</v>
      </c>
      <c r="C105" s="2991" t="s">
        <v>3218</v>
      </c>
      <c r="D105" s="2992" t="s">
        <v>3328</v>
      </c>
      <c r="E105" s="2991" t="s">
        <v>3214</v>
      </c>
      <c r="F105" s="2991" t="s">
        <v>3215</v>
      </c>
      <c r="G105" s="2992" t="s">
        <v>3320</v>
      </c>
      <c r="H105" s="2991" t="s">
        <v>3216</v>
      </c>
      <c r="I105" s="2991">
        <v>116.9</v>
      </c>
    </row>
    <row r="106" spans="1:9">
      <c r="A106" s="2991">
        <v>112</v>
      </c>
      <c r="B106" s="2991" t="s">
        <v>3217</v>
      </c>
      <c r="C106" s="2991" t="s">
        <v>3218</v>
      </c>
      <c r="D106" s="2992" t="s">
        <v>3331</v>
      </c>
      <c r="E106" s="2991" t="s">
        <v>3214</v>
      </c>
      <c r="F106" s="2991" t="s">
        <v>3215</v>
      </c>
      <c r="G106" s="2992" t="s">
        <v>3332</v>
      </c>
      <c r="H106" s="2991" t="s">
        <v>3216</v>
      </c>
      <c r="I106" s="2991">
        <v>160.65</v>
      </c>
    </row>
    <row r="107" spans="1:9">
      <c r="A107" s="2991">
        <v>113</v>
      </c>
      <c r="B107" s="2991" t="s">
        <v>3217</v>
      </c>
      <c r="C107" s="2991" t="s">
        <v>3218</v>
      </c>
      <c r="D107" s="2992" t="s">
        <v>3333</v>
      </c>
      <c r="E107" s="2991" t="s">
        <v>3214</v>
      </c>
      <c r="F107" s="2991" t="s">
        <v>3215</v>
      </c>
      <c r="G107" s="2992" t="s">
        <v>3332</v>
      </c>
      <c r="H107" s="2991" t="s">
        <v>3216</v>
      </c>
      <c r="I107" s="2991">
        <v>152</v>
      </c>
    </row>
    <row r="108" spans="1:9">
      <c r="A108" s="2991">
        <v>114</v>
      </c>
      <c r="B108" s="2991" t="s">
        <v>3217</v>
      </c>
      <c r="C108" s="2991" t="s">
        <v>3218</v>
      </c>
      <c r="D108" s="2992" t="s">
        <v>3334</v>
      </c>
      <c r="E108" s="2991" t="s">
        <v>3214</v>
      </c>
      <c r="F108" s="2991" t="s">
        <v>3215</v>
      </c>
      <c r="G108" s="2992" t="s">
        <v>3332</v>
      </c>
      <c r="H108" s="2991" t="s">
        <v>3216</v>
      </c>
      <c r="I108" s="2991">
        <v>152</v>
      </c>
    </row>
    <row r="109" spans="1:9">
      <c r="A109" s="2991">
        <v>115</v>
      </c>
      <c r="B109" s="2991" t="s">
        <v>3217</v>
      </c>
      <c r="C109" s="2991" t="s">
        <v>3218</v>
      </c>
      <c r="D109" s="2992" t="s">
        <v>3335</v>
      </c>
      <c r="E109" s="2991" t="s">
        <v>3214</v>
      </c>
      <c r="F109" s="2991" t="s">
        <v>3215</v>
      </c>
      <c r="G109" s="2992" t="s">
        <v>3332</v>
      </c>
      <c r="H109" s="2991" t="s">
        <v>3216</v>
      </c>
      <c r="I109" s="2991">
        <v>152</v>
      </c>
    </row>
    <row r="110" spans="1:9">
      <c r="A110" s="2991">
        <v>116</v>
      </c>
      <c r="B110" s="2991" t="s">
        <v>3217</v>
      </c>
      <c r="C110" s="2991" t="s">
        <v>3218</v>
      </c>
      <c r="D110" s="2992" t="s">
        <v>3336</v>
      </c>
      <c r="E110" s="2991" t="s">
        <v>3214</v>
      </c>
      <c r="F110" s="2991" t="s">
        <v>3215</v>
      </c>
      <c r="G110" s="2992" t="s">
        <v>3332</v>
      </c>
      <c r="H110" s="2991" t="s">
        <v>3216</v>
      </c>
      <c r="I110" s="2991">
        <v>152</v>
      </c>
    </row>
    <row r="111" spans="1:9">
      <c r="A111" s="2991">
        <v>117</v>
      </c>
      <c r="B111" s="2991" t="s">
        <v>3217</v>
      </c>
      <c r="C111" s="2991" t="s">
        <v>3218</v>
      </c>
      <c r="D111" s="2992" t="s">
        <v>3337</v>
      </c>
      <c r="E111" s="2991" t="s">
        <v>3214</v>
      </c>
      <c r="F111" s="2991" t="s">
        <v>3215</v>
      </c>
      <c r="G111" s="2992" t="s">
        <v>3332</v>
      </c>
      <c r="H111" s="2991" t="s">
        <v>3216</v>
      </c>
      <c r="I111" s="2991">
        <v>208.31</v>
      </c>
    </row>
    <row r="112" spans="1:9">
      <c r="A112" s="2991">
        <v>118</v>
      </c>
      <c r="B112" s="2991" t="s">
        <v>3217</v>
      </c>
      <c r="C112" s="2991" t="s">
        <v>3218</v>
      </c>
      <c r="D112" s="2992" t="s">
        <v>3338</v>
      </c>
      <c r="E112" s="2991" t="s">
        <v>3214</v>
      </c>
      <c r="F112" s="2991" t="s">
        <v>3215</v>
      </c>
      <c r="G112" s="2992" t="s">
        <v>3332</v>
      </c>
      <c r="H112" s="2991" t="s">
        <v>3216</v>
      </c>
      <c r="I112" s="2991">
        <v>222.93</v>
      </c>
    </row>
    <row r="113" spans="1:9">
      <c r="A113" s="2991">
        <v>119</v>
      </c>
      <c r="B113" s="2991" t="s">
        <v>3217</v>
      </c>
      <c r="C113" s="2991" t="s">
        <v>3218</v>
      </c>
      <c r="D113" s="2992" t="s">
        <v>3339</v>
      </c>
      <c r="E113" s="2991" t="s">
        <v>3214</v>
      </c>
      <c r="F113" s="2991" t="s">
        <v>3215</v>
      </c>
      <c r="G113" s="2992" t="s">
        <v>3332</v>
      </c>
      <c r="H113" s="2991" t="s">
        <v>3216</v>
      </c>
      <c r="I113" s="2991">
        <v>152.03</v>
      </c>
    </row>
    <row r="114" spans="1:9">
      <c r="A114" s="2991">
        <v>120</v>
      </c>
      <c r="B114" s="2991" t="s">
        <v>3217</v>
      </c>
      <c r="C114" s="2991" t="s">
        <v>3218</v>
      </c>
      <c r="D114" s="2992" t="s">
        <v>3340</v>
      </c>
      <c r="E114" s="2991" t="s">
        <v>3214</v>
      </c>
      <c r="F114" s="2991" t="s">
        <v>3215</v>
      </c>
      <c r="G114" s="2992" t="s">
        <v>3332</v>
      </c>
      <c r="H114" s="2991" t="s">
        <v>3216</v>
      </c>
      <c r="I114" s="2991">
        <v>116.9</v>
      </c>
    </row>
    <row r="115" spans="1:9">
      <c r="A115" s="2991">
        <v>1</v>
      </c>
      <c r="B115" s="2991" t="s">
        <v>3182</v>
      </c>
      <c r="C115" s="2991" t="s">
        <v>3183</v>
      </c>
      <c r="D115" s="2992" t="s">
        <v>3184</v>
      </c>
      <c r="E115" s="2991" t="s">
        <v>3123</v>
      </c>
      <c r="F115" s="2991" t="s">
        <v>3185</v>
      </c>
      <c r="G115" s="2992" t="s">
        <v>3186</v>
      </c>
      <c r="H115" s="2991" t="s">
        <v>3187</v>
      </c>
      <c r="I115" s="2991">
        <v>5960.53</v>
      </c>
    </row>
    <row r="116" spans="1:9">
      <c r="A116" s="2991">
        <v>2</v>
      </c>
      <c r="B116" s="2991" t="s">
        <v>3182</v>
      </c>
      <c r="C116" s="2991" t="s">
        <v>3183</v>
      </c>
      <c r="D116" s="2992" t="s">
        <v>3188</v>
      </c>
      <c r="E116" s="2991" t="s">
        <v>3123</v>
      </c>
      <c r="F116" s="2991" t="s">
        <v>3185</v>
      </c>
      <c r="G116" s="2992" t="s">
        <v>3186</v>
      </c>
      <c r="H116" s="2991" t="s">
        <v>3187</v>
      </c>
      <c r="I116" s="2991">
        <v>2831.2</v>
      </c>
    </row>
    <row r="117" spans="1:9">
      <c r="A117" s="2991">
        <v>3</v>
      </c>
      <c r="B117" s="2991" t="s">
        <v>3182</v>
      </c>
      <c r="C117" s="2991" t="s">
        <v>3183</v>
      </c>
      <c r="D117" s="2992" t="s">
        <v>3189</v>
      </c>
      <c r="E117" s="2991" t="s">
        <v>3123</v>
      </c>
      <c r="F117" s="2991" t="s">
        <v>3185</v>
      </c>
      <c r="G117" s="2992" t="s">
        <v>3186</v>
      </c>
      <c r="H117" s="2991" t="s">
        <v>3187</v>
      </c>
      <c r="I117" s="2991">
        <v>973.41</v>
      </c>
    </row>
    <row r="118" spans="1:9">
      <c r="A118" s="2991">
        <v>5</v>
      </c>
      <c r="B118" s="2991" t="s">
        <v>3182</v>
      </c>
      <c r="C118" s="2991" t="s">
        <v>3183</v>
      </c>
      <c r="D118" s="2992" t="s">
        <v>3195</v>
      </c>
      <c r="E118" s="2991" t="s">
        <v>3123</v>
      </c>
      <c r="F118" s="2991" t="s">
        <v>3196</v>
      </c>
      <c r="G118" s="2992" t="s">
        <v>3197</v>
      </c>
      <c r="H118" s="2991" t="s">
        <v>3187</v>
      </c>
      <c r="I118" s="2991">
        <v>8925.85</v>
      </c>
    </row>
    <row r="119" spans="1:9">
      <c r="A119" s="2991">
        <v>6</v>
      </c>
      <c r="B119" s="2991" t="s">
        <v>3182</v>
      </c>
      <c r="C119" s="2991" t="s">
        <v>3183</v>
      </c>
      <c r="D119" s="2992" t="s">
        <v>3198</v>
      </c>
      <c r="E119" s="2991" t="s">
        <v>3123</v>
      </c>
      <c r="F119" s="2991" t="s">
        <v>3185</v>
      </c>
      <c r="G119" s="2992" t="s">
        <v>3197</v>
      </c>
      <c r="H119" s="2991" t="s">
        <v>3187</v>
      </c>
      <c r="I119" s="2991">
        <v>1999.18</v>
      </c>
    </row>
    <row r="120" spans="1:9">
      <c r="A120" s="2991">
        <v>7</v>
      </c>
      <c r="B120" s="2991" t="s">
        <v>3182</v>
      </c>
      <c r="C120" s="2991" t="s">
        <v>3183</v>
      </c>
      <c r="D120" s="2992" t="s">
        <v>3199</v>
      </c>
      <c r="E120" s="2991" t="s">
        <v>3123</v>
      </c>
      <c r="F120" s="2991" t="s">
        <v>3185</v>
      </c>
      <c r="G120" s="2992" t="s">
        <v>1027</v>
      </c>
      <c r="H120" s="2991" t="s">
        <v>3187</v>
      </c>
      <c r="I120" s="2991">
        <v>8965.7800000000007</v>
      </c>
    </row>
    <row r="121" spans="1:9">
      <c r="A121" s="2991">
        <v>8</v>
      </c>
      <c r="B121" s="2991" t="s">
        <v>3182</v>
      </c>
      <c r="C121" s="2991" t="s">
        <v>3200</v>
      </c>
      <c r="D121" s="2992" t="s">
        <v>3201</v>
      </c>
      <c r="E121" s="2991" t="s">
        <v>3123</v>
      </c>
      <c r="F121" s="2991" t="s">
        <v>3185</v>
      </c>
      <c r="G121" s="2992" t="s">
        <v>1027</v>
      </c>
      <c r="H121" s="2991" t="s">
        <v>3187</v>
      </c>
      <c r="I121" s="2991">
        <v>1991.5</v>
      </c>
    </row>
    <row r="122" spans="1:9">
      <c r="A122" s="2991">
        <v>10</v>
      </c>
      <c r="B122" s="2991" t="s">
        <v>3182</v>
      </c>
      <c r="C122" s="2991" t="s">
        <v>3183</v>
      </c>
      <c r="D122" s="2992" t="s">
        <v>3205</v>
      </c>
      <c r="E122" s="2991" t="s">
        <v>3123</v>
      </c>
      <c r="F122" s="2991" t="s">
        <v>3185</v>
      </c>
      <c r="G122" s="2992" t="s">
        <v>1028</v>
      </c>
      <c r="H122" s="2991" t="s">
        <v>3187</v>
      </c>
      <c r="I122" s="2991">
        <v>10095.84</v>
      </c>
    </row>
    <row r="123" spans="1:9">
      <c r="A123" s="2991">
        <v>122</v>
      </c>
      <c r="B123" s="2991" t="s">
        <v>3182</v>
      </c>
      <c r="C123" s="2991" t="s">
        <v>3200</v>
      </c>
      <c r="D123" s="2992" t="s">
        <v>3344</v>
      </c>
      <c r="E123" s="2991" t="s">
        <v>3214</v>
      </c>
      <c r="F123" s="2991" t="s">
        <v>3185</v>
      </c>
      <c r="G123" s="2992" t="s">
        <v>3342</v>
      </c>
      <c r="H123" s="2991" t="s">
        <v>3343</v>
      </c>
      <c r="I123" s="2991">
        <v>21.37</v>
      </c>
    </row>
    <row r="124" spans="1:9">
      <c r="A124" s="2991">
        <v>123</v>
      </c>
      <c r="B124" s="2991" t="s">
        <v>3182</v>
      </c>
      <c r="C124" s="2991" t="s">
        <v>3200</v>
      </c>
      <c r="D124" s="2992" t="s">
        <v>3345</v>
      </c>
      <c r="E124" s="2991" t="s">
        <v>3214</v>
      </c>
      <c r="F124" s="2991" t="s">
        <v>3185</v>
      </c>
      <c r="G124" s="2992" t="s">
        <v>3342</v>
      </c>
      <c r="H124" s="2991" t="s">
        <v>3343</v>
      </c>
      <c r="I124" s="2991">
        <v>7.56</v>
      </c>
    </row>
    <row r="125" spans="1:9">
      <c r="A125" s="2991">
        <v>124</v>
      </c>
      <c r="B125" s="2991" t="s">
        <v>3182</v>
      </c>
      <c r="C125" s="2991" t="s">
        <v>3200</v>
      </c>
      <c r="D125" s="2992" t="s">
        <v>3346</v>
      </c>
      <c r="E125" s="2991" t="s">
        <v>3214</v>
      </c>
      <c r="F125" s="2991" t="s">
        <v>3185</v>
      </c>
      <c r="G125" s="2992" t="s">
        <v>3342</v>
      </c>
      <c r="H125" s="2991" t="s">
        <v>3343</v>
      </c>
      <c r="I125" s="2991">
        <v>36.07</v>
      </c>
    </row>
    <row r="126" spans="1:9">
      <c r="A126" s="2991">
        <v>125</v>
      </c>
      <c r="B126" s="2991" t="s">
        <v>3182</v>
      </c>
      <c r="C126" s="2991" t="s">
        <v>3200</v>
      </c>
      <c r="D126" s="2992" t="s">
        <v>3347</v>
      </c>
      <c r="E126" s="2991" t="s">
        <v>3214</v>
      </c>
      <c r="F126" s="2991" t="s">
        <v>3185</v>
      </c>
      <c r="G126" s="2992" t="s">
        <v>3342</v>
      </c>
      <c r="H126" s="2991" t="s">
        <v>3343</v>
      </c>
      <c r="I126" s="2991">
        <v>21.25</v>
      </c>
    </row>
    <row r="127" spans="1:9">
      <c r="A127" s="2991">
        <v>126</v>
      </c>
      <c r="B127" s="2991" t="s">
        <v>3182</v>
      </c>
      <c r="C127" s="2991" t="s">
        <v>3200</v>
      </c>
      <c r="D127" s="2992" t="s">
        <v>3348</v>
      </c>
      <c r="E127" s="2991" t="s">
        <v>3214</v>
      </c>
      <c r="F127" s="2991" t="s">
        <v>3185</v>
      </c>
      <c r="G127" s="2992" t="s">
        <v>3342</v>
      </c>
      <c r="H127" s="2991" t="s">
        <v>3343</v>
      </c>
      <c r="I127" s="2991">
        <v>57.48</v>
      </c>
    </row>
    <row r="128" spans="1:9">
      <c r="A128" s="2991">
        <v>127</v>
      </c>
      <c r="B128" s="2991" t="s">
        <v>3182</v>
      </c>
      <c r="C128" s="2991" t="s">
        <v>3200</v>
      </c>
      <c r="D128" s="2992" t="s">
        <v>3349</v>
      </c>
      <c r="E128" s="2991" t="s">
        <v>3214</v>
      </c>
      <c r="F128" s="2991" t="s">
        <v>3185</v>
      </c>
      <c r="G128" s="2992" t="s">
        <v>3342</v>
      </c>
      <c r="H128" s="2991" t="s">
        <v>3343</v>
      </c>
      <c r="I128" s="2991">
        <v>50.19</v>
      </c>
    </row>
    <row r="129" spans="1:9">
      <c r="A129" s="2991">
        <v>128</v>
      </c>
      <c r="B129" s="2991" t="s">
        <v>3182</v>
      </c>
      <c r="C129" s="2991" t="s">
        <v>3200</v>
      </c>
      <c r="D129" s="2992" t="s">
        <v>3350</v>
      </c>
      <c r="E129" s="2991" t="s">
        <v>3214</v>
      </c>
      <c r="F129" s="2991" t="s">
        <v>3185</v>
      </c>
      <c r="G129" s="2992" t="s">
        <v>3342</v>
      </c>
      <c r="H129" s="2991" t="s">
        <v>3343</v>
      </c>
      <c r="I129" s="2991">
        <v>6828.51</v>
      </c>
    </row>
    <row r="130" spans="1:9">
      <c r="A130" s="2991">
        <v>129</v>
      </c>
      <c r="B130" s="2991" t="s">
        <v>3182</v>
      </c>
      <c r="C130" s="2991" t="s">
        <v>3200</v>
      </c>
      <c r="D130" s="2992" t="s">
        <v>3351</v>
      </c>
      <c r="E130" s="2991" t="s">
        <v>3214</v>
      </c>
      <c r="F130" s="2991" t="s">
        <v>3185</v>
      </c>
      <c r="G130" s="2992" t="s">
        <v>3342</v>
      </c>
      <c r="H130" s="2991" t="s">
        <v>3352</v>
      </c>
      <c r="I130" s="2991">
        <v>1940.16</v>
      </c>
    </row>
    <row r="131" spans="1:9">
      <c r="A131" s="2991">
        <v>130</v>
      </c>
      <c r="B131" s="2991" t="s">
        <v>3182</v>
      </c>
      <c r="C131" s="2991" t="s">
        <v>3200</v>
      </c>
      <c r="D131" s="2992" t="s">
        <v>3353</v>
      </c>
      <c r="E131" s="2991" t="s">
        <v>3214</v>
      </c>
      <c r="F131" s="2991" t="s">
        <v>3185</v>
      </c>
      <c r="G131" s="2992" t="s">
        <v>3342</v>
      </c>
      <c r="H131" s="2991" t="s">
        <v>3343</v>
      </c>
      <c r="I131" s="2991">
        <v>69.25</v>
      </c>
    </row>
    <row r="132" spans="1:9">
      <c r="A132" s="2991">
        <v>131</v>
      </c>
      <c r="B132" s="2991" t="s">
        <v>3182</v>
      </c>
      <c r="C132" s="2991" t="s">
        <v>3200</v>
      </c>
      <c r="D132" s="2992" t="s">
        <v>3354</v>
      </c>
      <c r="E132" s="2991" t="s">
        <v>3214</v>
      </c>
      <c r="F132" s="2991" t="s">
        <v>3185</v>
      </c>
      <c r="G132" s="2992" t="s">
        <v>3342</v>
      </c>
      <c r="H132" s="2991" t="s">
        <v>3343</v>
      </c>
      <c r="I132" s="2991">
        <v>48.56</v>
      </c>
    </row>
    <row r="133" spans="1:9">
      <c r="A133" s="2991">
        <v>132</v>
      </c>
      <c r="B133" s="2991" t="s">
        <v>3182</v>
      </c>
      <c r="C133" s="2991" t="s">
        <v>3200</v>
      </c>
      <c r="D133" s="2992" t="s">
        <v>3355</v>
      </c>
      <c r="E133" s="2991" t="s">
        <v>3214</v>
      </c>
      <c r="F133" s="2991" t="s">
        <v>3185</v>
      </c>
      <c r="G133" s="2992" t="s">
        <v>3342</v>
      </c>
      <c r="H133" s="2991" t="s">
        <v>3343</v>
      </c>
      <c r="I133" s="2991">
        <v>48.56</v>
      </c>
    </row>
    <row r="134" spans="1:9">
      <c r="A134" s="2991">
        <v>133</v>
      </c>
      <c r="B134" s="2991" t="s">
        <v>3182</v>
      </c>
      <c r="C134" s="2991" t="s">
        <v>3200</v>
      </c>
      <c r="D134" s="2992" t="s">
        <v>3356</v>
      </c>
      <c r="E134" s="2991" t="s">
        <v>3214</v>
      </c>
      <c r="F134" s="2991" t="s">
        <v>3185</v>
      </c>
      <c r="G134" s="2992" t="s">
        <v>3342</v>
      </c>
      <c r="H134" s="2991" t="s">
        <v>3343</v>
      </c>
      <c r="I134" s="2991">
        <v>47.76</v>
      </c>
    </row>
    <row r="135" spans="1:9">
      <c r="A135" s="2991">
        <v>134</v>
      </c>
      <c r="B135" s="2991" t="s">
        <v>3182</v>
      </c>
      <c r="C135" s="2991" t="s">
        <v>3200</v>
      </c>
      <c r="D135" s="2992" t="s">
        <v>3357</v>
      </c>
      <c r="E135" s="2991" t="s">
        <v>3214</v>
      </c>
      <c r="F135" s="2991" t="s">
        <v>3185</v>
      </c>
      <c r="G135" s="2992" t="s">
        <v>3342</v>
      </c>
      <c r="H135" s="2991" t="s">
        <v>3343</v>
      </c>
      <c r="I135" s="2991">
        <v>53.68</v>
      </c>
    </row>
    <row r="136" spans="1:9">
      <c r="A136" s="2991">
        <v>135</v>
      </c>
      <c r="B136" s="2991" t="s">
        <v>3182</v>
      </c>
      <c r="C136" s="2991" t="s">
        <v>3200</v>
      </c>
      <c r="D136" s="2992" t="s">
        <v>3358</v>
      </c>
      <c r="E136" s="2991" t="s">
        <v>3214</v>
      </c>
      <c r="F136" s="2991" t="s">
        <v>3185</v>
      </c>
      <c r="G136" s="2992" t="s">
        <v>3342</v>
      </c>
      <c r="H136" s="2991" t="s">
        <v>3343</v>
      </c>
      <c r="I136" s="2991">
        <v>53.68</v>
      </c>
    </row>
    <row r="137" spans="1:9">
      <c r="A137" s="2991">
        <v>136</v>
      </c>
      <c r="B137" s="2991" t="s">
        <v>3182</v>
      </c>
      <c r="C137" s="2991" t="s">
        <v>3200</v>
      </c>
      <c r="D137" s="2992" t="s">
        <v>3359</v>
      </c>
      <c r="E137" s="2991" t="s">
        <v>3214</v>
      </c>
      <c r="F137" s="2991" t="s">
        <v>3185</v>
      </c>
      <c r="G137" s="2992" t="s">
        <v>3342</v>
      </c>
      <c r="H137" s="2991" t="s">
        <v>3343</v>
      </c>
      <c r="I137" s="2991">
        <v>53.68</v>
      </c>
    </row>
    <row r="138" spans="1:9">
      <c r="A138" s="2991">
        <v>137</v>
      </c>
      <c r="B138" s="2991" t="s">
        <v>3182</v>
      </c>
      <c r="C138" s="2991" t="s">
        <v>3200</v>
      </c>
      <c r="D138" s="2992" t="s">
        <v>3360</v>
      </c>
      <c r="E138" s="2991" t="s">
        <v>3214</v>
      </c>
      <c r="F138" s="2991" t="s">
        <v>3185</v>
      </c>
      <c r="G138" s="2992" t="s">
        <v>3342</v>
      </c>
      <c r="H138" s="2991" t="s">
        <v>3343</v>
      </c>
      <c r="I138" s="2991">
        <v>53.68</v>
      </c>
    </row>
    <row r="139" spans="1:9">
      <c r="A139" s="2991">
        <v>138</v>
      </c>
      <c r="B139" s="2991" t="s">
        <v>3182</v>
      </c>
      <c r="C139" s="2991" t="s">
        <v>3200</v>
      </c>
      <c r="D139" s="2992" t="s">
        <v>3361</v>
      </c>
      <c r="E139" s="2991" t="s">
        <v>3214</v>
      </c>
      <c r="F139" s="2991" t="s">
        <v>3185</v>
      </c>
      <c r="G139" s="2992" t="s">
        <v>3342</v>
      </c>
      <c r="H139" s="2991" t="s">
        <v>3343</v>
      </c>
      <c r="I139" s="2991">
        <v>47.55</v>
      </c>
    </row>
    <row r="140" spans="1:9">
      <c r="A140" s="2991">
        <v>139</v>
      </c>
      <c r="B140" s="2991" t="s">
        <v>3182</v>
      </c>
      <c r="C140" s="2991" t="s">
        <v>3200</v>
      </c>
      <c r="D140" s="2992" t="s">
        <v>3362</v>
      </c>
      <c r="E140" s="2991" t="s">
        <v>3214</v>
      </c>
      <c r="F140" s="2991" t="s">
        <v>3185</v>
      </c>
      <c r="G140" s="2992" t="s">
        <v>3342</v>
      </c>
      <c r="H140" s="2991" t="s">
        <v>3343</v>
      </c>
      <c r="I140" s="2991">
        <v>54.7</v>
      </c>
    </row>
    <row r="141" spans="1:9">
      <c r="A141" s="2991">
        <v>140</v>
      </c>
      <c r="B141" s="2991" t="s">
        <v>3182</v>
      </c>
      <c r="C141" s="2991" t="s">
        <v>3200</v>
      </c>
      <c r="D141" s="2992" t="s">
        <v>3363</v>
      </c>
      <c r="E141" s="2991" t="s">
        <v>3214</v>
      </c>
      <c r="F141" s="2991" t="s">
        <v>3185</v>
      </c>
      <c r="G141" s="2992" t="s">
        <v>3364</v>
      </c>
      <c r="H141" s="2991" t="s">
        <v>3343</v>
      </c>
      <c r="I141" s="2991">
        <v>21.21</v>
      </c>
    </row>
    <row r="142" spans="1:9">
      <c r="A142" s="2991">
        <v>141</v>
      </c>
      <c r="B142" s="2991" t="s">
        <v>3182</v>
      </c>
      <c r="C142" s="2991" t="s">
        <v>3200</v>
      </c>
      <c r="D142" s="2992" t="s">
        <v>3365</v>
      </c>
      <c r="E142" s="2991" t="s">
        <v>3214</v>
      </c>
      <c r="F142" s="2991" t="s">
        <v>3185</v>
      </c>
      <c r="G142" s="2992" t="s">
        <v>3364</v>
      </c>
      <c r="H142" s="2991" t="s">
        <v>3343</v>
      </c>
      <c r="I142" s="2991">
        <v>46.3</v>
      </c>
    </row>
    <row r="143" spans="1:9">
      <c r="A143" s="2991">
        <v>142</v>
      </c>
      <c r="B143" s="2991" t="s">
        <v>3182</v>
      </c>
      <c r="C143" s="2991" t="s">
        <v>3200</v>
      </c>
      <c r="D143" s="2992" t="s">
        <v>3366</v>
      </c>
      <c r="E143" s="2991" t="s">
        <v>3214</v>
      </c>
      <c r="F143" s="2991" t="s">
        <v>3185</v>
      </c>
      <c r="G143" s="2992" t="s">
        <v>3364</v>
      </c>
      <c r="H143" s="2991" t="s">
        <v>3343</v>
      </c>
      <c r="I143" s="2991">
        <v>37.840000000000003</v>
      </c>
    </row>
    <row r="144" spans="1:9">
      <c r="A144" s="2991">
        <v>143</v>
      </c>
      <c r="B144" s="2991" t="s">
        <v>3182</v>
      </c>
      <c r="C144" s="2991" t="s">
        <v>3200</v>
      </c>
      <c r="D144" s="2992" t="s">
        <v>3367</v>
      </c>
      <c r="E144" s="2991" t="s">
        <v>3214</v>
      </c>
      <c r="F144" s="2991" t="s">
        <v>3185</v>
      </c>
      <c r="G144" s="2992" t="s">
        <v>3364</v>
      </c>
      <c r="H144" s="2991" t="s">
        <v>3343</v>
      </c>
      <c r="I144" s="2991">
        <v>50.82</v>
      </c>
    </row>
    <row r="145" spans="1:9">
      <c r="A145" s="2991">
        <v>144</v>
      </c>
      <c r="B145" s="2991" t="s">
        <v>3182</v>
      </c>
      <c r="C145" s="2991" t="s">
        <v>3200</v>
      </c>
      <c r="D145" s="2992" t="s">
        <v>3368</v>
      </c>
      <c r="E145" s="2991" t="s">
        <v>3214</v>
      </c>
      <c r="F145" s="2991" t="s">
        <v>3185</v>
      </c>
      <c r="G145" s="2992" t="s">
        <v>3364</v>
      </c>
      <c r="H145" s="2991" t="s">
        <v>3343</v>
      </c>
      <c r="I145" s="2991">
        <v>1951.24</v>
      </c>
    </row>
    <row r="146" spans="1:9">
      <c r="A146" s="2991">
        <v>145</v>
      </c>
      <c r="B146" s="2991" t="s">
        <v>3182</v>
      </c>
      <c r="C146" s="2991" t="s">
        <v>3200</v>
      </c>
      <c r="D146" s="2992" t="s">
        <v>3369</v>
      </c>
      <c r="E146" s="2991" t="s">
        <v>3214</v>
      </c>
      <c r="F146" s="2991" t="s">
        <v>3185</v>
      </c>
      <c r="G146" s="2992" t="s">
        <v>3370</v>
      </c>
      <c r="H146" s="2991" t="s">
        <v>3343</v>
      </c>
      <c r="I146" s="2991">
        <v>179.13</v>
      </c>
    </row>
    <row r="147" spans="1:9">
      <c r="A147" s="2991">
        <v>146</v>
      </c>
      <c r="B147" s="2991" t="s">
        <v>3182</v>
      </c>
      <c r="C147" s="2991" t="s">
        <v>3200</v>
      </c>
      <c r="D147" s="2992" t="s">
        <v>3371</v>
      </c>
      <c r="E147" s="2991" t="s">
        <v>3214</v>
      </c>
      <c r="F147" s="2991" t="s">
        <v>3185</v>
      </c>
      <c r="G147" s="2992" t="s">
        <v>3370</v>
      </c>
      <c r="H147" s="2991" t="s">
        <v>3343</v>
      </c>
      <c r="I147" s="2991">
        <v>21.21</v>
      </c>
    </row>
    <row r="148" spans="1:9">
      <c r="A148" s="2991">
        <v>147</v>
      </c>
      <c r="B148" s="2991" t="s">
        <v>3182</v>
      </c>
      <c r="C148" s="2991" t="s">
        <v>3200</v>
      </c>
      <c r="D148" s="2992" t="s">
        <v>3372</v>
      </c>
      <c r="E148" s="2991" t="s">
        <v>3214</v>
      </c>
      <c r="F148" s="2991" t="s">
        <v>3185</v>
      </c>
      <c r="G148" s="2992" t="s">
        <v>3370</v>
      </c>
      <c r="H148" s="2991" t="s">
        <v>3343</v>
      </c>
      <c r="I148" s="2991">
        <v>49.91</v>
      </c>
    </row>
    <row r="149" spans="1:9">
      <c r="A149" s="2991">
        <v>148</v>
      </c>
      <c r="B149" s="2991" t="s">
        <v>3182</v>
      </c>
      <c r="C149" s="2991" t="s">
        <v>3200</v>
      </c>
      <c r="D149" s="2992" t="s">
        <v>3373</v>
      </c>
      <c r="E149" s="2991" t="s">
        <v>3214</v>
      </c>
      <c r="F149" s="2991" t="s">
        <v>3185</v>
      </c>
      <c r="G149" s="2992" t="s">
        <v>3370</v>
      </c>
      <c r="H149" s="2991" t="s">
        <v>3343</v>
      </c>
      <c r="I149" s="2991">
        <v>2544.79</v>
      </c>
    </row>
    <row r="150" spans="1:9">
      <c r="A150" s="2991"/>
      <c r="B150" s="2991" t="s">
        <v>3374</v>
      </c>
      <c r="C150" s="2991"/>
      <c r="D150" s="2992"/>
      <c r="E150" s="2991"/>
      <c r="F150" s="2991"/>
      <c r="G150" s="2992"/>
      <c r="H150" s="2991"/>
      <c r="I150" s="2991">
        <f>SUM(I2:I149)</f>
        <v>89988.24000000002</v>
      </c>
    </row>
    <row r="152" spans="1:9">
      <c r="D152" s="2993"/>
      <c r="G152" s="2993"/>
    </row>
    <row r="153" spans="1:9">
      <c r="A153" s="2991" t="s">
        <v>3383</v>
      </c>
      <c r="B153" s="2991">
        <f>SUM(I115,I116,I117,I15)</f>
        <v>9797.0999999999985</v>
      </c>
      <c r="D153" s="2993"/>
      <c r="G153" s="2993"/>
    </row>
    <row r="154" spans="1:9">
      <c r="A154" s="2991" t="s">
        <v>3384</v>
      </c>
      <c r="B154" s="2991">
        <f>SUM(I118:I119)</f>
        <v>10925.03</v>
      </c>
      <c r="D154" s="2993"/>
      <c r="G154" s="2993"/>
    </row>
    <row r="155" spans="1:9">
      <c r="A155" s="2991" t="s">
        <v>3385</v>
      </c>
      <c r="B155" s="2991">
        <f>SUM(I120:I121)</f>
        <v>10957.28</v>
      </c>
      <c r="D155" s="2993"/>
      <c r="G155" s="2993"/>
    </row>
    <row r="156" spans="1:9">
      <c r="A156" s="2991" t="s">
        <v>3386</v>
      </c>
      <c r="B156" s="2991">
        <f>SUM(I122,I2)</f>
        <v>11174.07</v>
      </c>
      <c r="D156" s="2993"/>
      <c r="G156" s="2993"/>
    </row>
    <row r="157" spans="1:9">
      <c r="A157" s="2991" t="s">
        <v>3398</v>
      </c>
      <c r="B157" s="2991">
        <f>SUM(I16:I114)</f>
        <v>16157.019999999999</v>
      </c>
      <c r="D157" s="2993"/>
      <c r="G157" s="2993"/>
    </row>
    <row r="158" spans="1:9">
      <c r="A158" s="2991" t="s">
        <v>3599</v>
      </c>
      <c r="B158" s="2991">
        <f>SUM(I3:I13)</f>
        <v>15880.590000000004</v>
      </c>
      <c r="D158" s="2993"/>
      <c r="G158" s="2993"/>
    </row>
    <row r="159" spans="1:9">
      <c r="A159" s="2991" t="s">
        <v>3399</v>
      </c>
      <c r="B159" s="2991">
        <f>SUM(I123:I149,I14)-B160</f>
        <v>13156.989999999996</v>
      </c>
      <c r="D159" s="2993"/>
      <c r="G159" s="2993"/>
    </row>
    <row r="160" spans="1:9">
      <c r="A160" s="2991" t="s">
        <v>3403</v>
      </c>
      <c r="B160" s="2991">
        <f>I130</f>
        <v>1940.16</v>
      </c>
      <c r="D160" s="2993"/>
      <c r="G160" s="2993"/>
    </row>
    <row r="161" spans="1:9">
      <c r="A161" s="2991" t="s">
        <v>3404</v>
      </c>
      <c r="B161" s="2991">
        <f>SUM(B153:B160)</f>
        <v>89988.239999999991</v>
      </c>
      <c r="C161" s="2998"/>
      <c r="D161" s="2998"/>
      <c r="E161" s="2998"/>
      <c r="F161" s="2998"/>
      <c r="G161" s="2998"/>
      <c r="H161" s="2998"/>
      <c r="I161" s="2998"/>
    </row>
    <row r="162" spans="1:9">
      <c r="A162" s="2998"/>
      <c r="B162" s="2998"/>
      <c r="C162" s="2998"/>
      <c r="D162" s="2998"/>
      <c r="E162" s="2998"/>
      <c r="F162" s="2998"/>
      <c r="G162" s="2998"/>
      <c r="H162" s="2998"/>
      <c r="I162" s="2998"/>
    </row>
    <row r="163" spans="1:9">
      <c r="A163" s="2998"/>
      <c r="B163" s="2998"/>
      <c r="C163" s="2998"/>
      <c r="D163" s="2998"/>
      <c r="E163" s="2998"/>
      <c r="F163" s="2998"/>
      <c r="G163" s="2998"/>
      <c r="H163" s="2998"/>
      <c r="I163" s="2998"/>
    </row>
    <row r="164" spans="1:9">
      <c r="A164" s="2994"/>
      <c r="B164" s="2994" t="s">
        <v>3390</v>
      </c>
      <c r="C164" s="2994" t="s">
        <v>3391</v>
      </c>
      <c r="D164" s="2994" t="s">
        <v>3392</v>
      </c>
      <c r="E164" s="2994" t="s">
        <v>3396</v>
      </c>
      <c r="F164" s="2994" t="s">
        <v>3393</v>
      </c>
      <c r="G164" s="2994" t="s">
        <v>3394</v>
      </c>
      <c r="H164" s="2994" t="s">
        <v>3400</v>
      </c>
      <c r="I164" s="2994" t="s">
        <v>3402</v>
      </c>
    </row>
    <row r="165" spans="1:9">
      <c r="A165" s="2994" t="s">
        <v>3395</v>
      </c>
      <c r="B165" s="2994">
        <v>1</v>
      </c>
      <c r="C165" s="2994">
        <f>B153</f>
        <v>9797.0999999999985</v>
      </c>
      <c r="D165" s="2995">
        <v>3903.57</v>
      </c>
      <c r="E165" s="2995">
        <f>C165-D165</f>
        <v>5893.5299999999988</v>
      </c>
      <c r="F165" s="2996">
        <v>1713899.0261666665</v>
      </c>
      <c r="G165" s="2997">
        <v>14.635312685282674</v>
      </c>
      <c r="H165" s="2997">
        <v>8.02</v>
      </c>
      <c r="I165" s="2997">
        <v>14</v>
      </c>
    </row>
    <row r="166" spans="1:9">
      <c r="A166" s="2994" t="s">
        <v>3387</v>
      </c>
      <c r="B166" s="2994">
        <v>0.6</v>
      </c>
      <c r="C166" s="2994">
        <f>B154</f>
        <v>10925.03</v>
      </c>
      <c r="D166" s="2995">
        <v>11050</v>
      </c>
      <c r="E166" s="2995">
        <v>0</v>
      </c>
      <c r="F166" s="2997">
        <v>731009.43125000002</v>
      </c>
      <c r="G166" s="2997">
        <v>2.2051566553544495</v>
      </c>
      <c r="H166" s="2997"/>
      <c r="I166" s="2997">
        <f>$I$165*B166</f>
        <v>8.4</v>
      </c>
    </row>
    <row r="167" spans="1:9">
      <c r="A167" s="2994" t="s">
        <v>3388</v>
      </c>
      <c r="B167" s="2994">
        <v>0.5</v>
      </c>
      <c r="C167" s="2994">
        <f>B155</f>
        <v>10957.28</v>
      </c>
      <c r="D167" s="2995">
        <v>10989.5</v>
      </c>
      <c r="E167" s="2995">
        <v>0</v>
      </c>
      <c r="F167" s="2997">
        <v>663600.43124999991</v>
      </c>
      <c r="G167" s="2997">
        <v>2.0128317371126982</v>
      </c>
      <c r="H167" s="2997"/>
      <c r="I167" s="2997">
        <f>$I$165*B167</f>
        <v>7</v>
      </c>
    </row>
    <row r="168" spans="1:9">
      <c r="A168" s="2994" t="s">
        <v>3389</v>
      </c>
      <c r="B168" s="2994">
        <v>0.45</v>
      </c>
      <c r="C168" s="2994">
        <f>B156</f>
        <v>11174.07</v>
      </c>
      <c r="D168" s="2995">
        <v>4255.2</v>
      </c>
      <c r="E168" s="2995">
        <f>C168-D168</f>
        <v>6918.87</v>
      </c>
      <c r="F168" s="2996">
        <v>860742.125</v>
      </c>
      <c r="G168" s="2997">
        <v>6.7426687738923361</v>
      </c>
      <c r="H168" s="2997"/>
      <c r="I168" s="2997">
        <f>$I$165*B168</f>
        <v>6.3</v>
      </c>
    </row>
    <row r="169" spans="1:9">
      <c r="C169" s="2994">
        <f>SUM(C165:C168)</f>
        <v>42853.479999999996</v>
      </c>
      <c r="D169" s="2994">
        <f>SUM(D165:D168)</f>
        <v>30198.27</v>
      </c>
      <c r="E169" s="2995">
        <f>SUM(E165:E168)</f>
        <v>12812.399999999998</v>
      </c>
      <c r="F169" s="2996"/>
      <c r="G169" s="2997">
        <f>ROUND(SUMPRODUCT(D165:D168,G165:G168)/SUM(D165:D168),2)</f>
        <v>4.38</v>
      </c>
      <c r="H169" s="2997"/>
      <c r="I169" s="2997">
        <f>ROUND(SUMPRODUCT(C165:C168,I165:I168)/SUM(C165:C168),2)</f>
        <v>8.77</v>
      </c>
    </row>
    <row r="170" spans="1:9">
      <c r="B170" s="2993">
        <f>ROUND(SUMPRODUCT(C165:C168,B165:B168)/SUM(C165:C168),2)</f>
        <v>0.63</v>
      </c>
      <c r="C170" s="2993">
        <f ca="1">结果表!G20</f>
        <v>16868</v>
      </c>
      <c r="D170" s="2993"/>
      <c r="G170" s="2993"/>
    </row>
    <row r="171" spans="1:9">
      <c r="C171" s="2993">
        <f ca="1">C170/B170</f>
        <v>26774.603174603173</v>
      </c>
      <c r="D171" s="2993"/>
      <c r="G171" s="2993"/>
    </row>
    <row r="172" spans="1:9">
      <c r="D172" s="2993"/>
      <c r="G172" s="2993"/>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3" customWidth="1"/>
    <col min="10" max="10" width="10" style="2011" customWidth="1"/>
    <col min="11" max="11" width="10" style="2134" customWidth="1"/>
    <col min="12" max="13" width="10" style="2135" customWidth="1"/>
    <col min="14" max="14" width="10" style="2011" customWidth="1"/>
    <col min="15" max="15" width="10" style="2133" customWidth="1"/>
    <col min="16" max="17" width="10" style="2011"/>
    <col min="18" max="18" width="10" style="2011" customWidth="1"/>
    <col min="19" max="16384" width="10" style="2011"/>
  </cols>
  <sheetData>
    <row r="1" spans="1:19" ht="38.25" customHeight="1" thickBot="1">
      <c r="A1" s="2004" t="s">
        <v>1763</v>
      </c>
      <c r="B1" s="3474" t="str">
        <f>IF(B10="北京市","北京市",C10)&amp;F10&amp;IF(结果表!G1="在建","出让国有建设用地使用权及在建建筑物",IF(结果表!G1="土地","出让国有建设用地使用权",))&amp;B9&amp;"预评估"</f>
        <v>山东省聊城万达欢乐小镇（万达广场）二层房地产抵押价值预评估</v>
      </c>
      <c r="C1" s="3475"/>
      <c r="D1" s="3475"/>
      <c r="E1" s="3475"/>
      <c r="F1" s="3475"/>
      <c r="G1" s="3475"/>
      <c r="H1" s="3475"/>
      <c r="I1" s="3476"/>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山东省聊城万达欢乐小镇（万达广场）二层房地产抵押价值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山东省聊城万达欢乐小镇（万达广场）二层房地产</v>
      </c>
    </row>
    <row r="3" spans="1:19" ht="18" customHeight="1">
      <c r="A3" s="2014" t="s">
        <v>1765</v>
      </c>
      <c r="B3" s="2015">
        <v>43840</v>
      </c>
      <c r="C3" s="2016" t="s">
        <v>1766</v>
      </c>
      <c r="D3" s="2015">
        <f>B3</f>
        <v>43840</v>
      </c>
      <c r="E3" s="2005"/>
      <c r="F3" s="2005"/>
      <c r="G3" s="2005"/>
      <c r="H3" s="2005"/>
      <c r="I3" s="2005"/>
      <c r="J3" s="2005"/>
      <c r="K3" s="2006"/>
      <c r="L3" s="2007"/>
      <c r="M3" s="2007"/>
      <c r="N3" s="2008"/>
      <c r="O3" s="2009"/>
      <c r="P3" s="2008"/>
      <c r="Q3" s="2008"/>
      <c r="R3" s="2008"/>
      <c r="S3" s="2010"/>
    </row>
    <row r="4" spans="1:19" ht="18" customHeight="1" thickBot="1">
      <c r="A4" s="2017" t="s">
        <v>1767</v>
      </c>
      <c r="B4" s="2018" t="s">
        <v>3375</v>
      </c>
      <c r="C4" s="1027">
        <f ca="1">SUMIF(注册房地产估价师,B4,估价师及机构信息!B3:B24)</f>
        <v>1120100036</v>
      </c>
      <c r="D4" s="2018" t="s">
        <v>3376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2"/>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3"/>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2">
        <f>B5</f>
        <v>0</v>
      </c>
      <c r="C7" s="2027"/>
      <c r="D7" s="2028"/>
      <c r="E7" s="2013"/>
      <c r="F7" s="2021"/>
      <c r="G7" s="2021"/>
      <c r="H7" s="2021"/>
      <c r="I7" s="2021"/>
      <c r="J7" s="2021"/>
      <c r="K7" s="2030"/>
      <c r="L7" s="2007"/>
      <c r="M7" s="2007"/>
      <c r="N7" s="2008"/>
      <c r="O7" s="2009"/>
      <c r="P7" s="2008"/>
      <c r="Q7" s="2008"/>
      <c r="R7" s="2008"/>
    </row>
    <row r="8" spans="1:19" ht="18" customHeight="1">
      <c r="A8" s="2026" t="s">
        <v>1771</v>
      </c>
      <c r="B8" s="2944" t="s">
        <v>3031</v>
      </c>
      <c r="C8" s="2031"/>
      <c r="D8" s="3477" t="s">
        <v>1772</v>
      </c>
      <c r="E8" s="2032" t="s">
        <v>3032</v>
      </c>
      <c r="F8" s="2033"/>
      <c r="G8" s="2005"/>
      <c r="H8" s="2005"/>
      <c r="I8" s="2005"/>
      <c r="J8" s="2021"/>
      <c r="K8" s="2022"/>
      <c r="L8" s="2007"/>
      <c r="M8" s="2007"/>
      <c r="N8" s="2008"/>
      <c r="O8" s="2009"/>
      <c r="P8" s="2008"/>
      <c r="Q8" s="2008"/>
      <c r="R8" s="2008"/>
    </row>
    <row r="9" spans="1:19" ht="18" customHeight="1" thickBot="1">
      <c r="A9" s="2019" t="s">
        <v>1773</v>
      </c>
      <c r="B9" s="2945" t="s">
        <v>3032</v>
      </c>
      <c r="C9" s="2035"/>
      <c r="D9" s="3478"/>
      <c r="E9" s="2034"/>
      <c r="F9" s="2036"/>
      <c r="G9" s="2037"/>
      <c r="H9" s="2037"/>
      <c r="I9" s="2037"/>
      <c r="J9" s="2021"/>
      <c r="K9" s="2030"/>
      <c r="L9" s="2007"/>
      <c r="M9" s="2007"/>
      <c r="N9" s="2008"/>
      <c r="O9" s="2009"/>
      <c r="P9" s="2008"/>
      <c r="Q9" s="2008"/>
      <c r="R9" s="2008"/>
    </row>
    <row r="10" spans="1:19" ht="18" customHeight="1" thickTop="1">
      <c r="A10" s="2038" t="s">
        <v>1774</v>
      </c>
      <c r="B10" s="2039" t="s">
        <v>3660</v>
      </c>
      <c r="C10" s="3422" t="s">
        <v>3661</v>
      </c>
      <c r="D10" s="2025"/>
      <c r="E10" s="2040" t="s">
        <v>1775</v>
      </c>
      <c r="F10" s="2990" t="s">
        <v>3668</v>
      </c>
      <c r="G10" s="2041"/>
      <c r="H10" s="2042"/>
      <c r="I10" s="2025"/>
      <c r="J10" s="2021"/>
      <c r="K10" s="2030"/>
      <c r="L10" s="2007"/>
      <c r="M10" s="2007"/>
      <c r="N10" s="2008"/>
      <c r="O10" s="2009"/>
      <c r="P10" s="2008"/>
      <c r="Q10" s="2008"/>
      <c r="R10" s="2008"/>
    </row>
    <row r="11" spans="1:19" ht="18" customHeight="1">
      <c r="A11" s="2043" t="s">
        <v>1776</v>
      </c>
      <c r="B11" s="2044" t="s">
        <v>3034</v>
      </c>
      <c r="C11" s="2045"/>
      <c r="D11" s="2046"/>
      <c r="E11" s="2021"/>
      <c r="F11" s="2021"/>
      <c r="G11" s="2021"/>
      <c r="H11" s="2021"/>
      <c r="I11" s="2021"/>
      <c r="J11" s="2021"/>
      <c r="K11" s="2030"/>
      <c r="L11" s="2007"/>
      <c r="M11" s="2007"/>
      <c r="N11" s="2008"/>
      <c r="O11" s="2009"/>
      <c r="P11" s="2008"/>
      <c r="Q11" s="2008"/>
      <c r="R11" s="2008"/>
    </row>
    <row r="12" spans="1:19" ht="18" customHeight="1">
      <c r="A12" s="2047" t="s">
        <v>1777</v>
      </c>
      <c r="B12" s="2044" t="s">
        <v>3035</v>
      </c>
      <c r="C12" s="2048" t="s">
        <v>1778</v>
      </c>
      <c r="D12" s="2049" t="s">
        <v>1779</v>
      </c>
      <c r="E12" s="2049" t="s">
        <v>1780</v>
      </c>
      <c r="F12" s="2049" t="s">
        <v>1781</v>
      </c>
      <c r="G12" s="2049" t="s">
        <v>1782</v>
      </c>
      <c r="H12" s="2049" t="s">
        <v>1783</v>
      </c>
      <c r="I12" s="2049" t="s">
        <v>1784</v>
      </c>
      <c r="J12" s="2021"/>
      <c r="K12" s="2030"/>
      <c r="L12" s="2007"/>
      <c r="M12" s="2007"/>
      <c r="N12" s="2008"/>
      <c r="O12" s="2009"/>
      <c r="P12" s="2008"/>
      <c r="Q12" s="2008"/>
      <c r="R12" s="2008"/>
    </row>
    <row r="13" spans="1:19" ht="18" customHeight="1">
      <c r="A13" s="2050"/>
      <c r="B13" s="2051"/>
      <c r="C13" s="2052" t="s">
        <v>1785</v>
      </c>
      <c r="D13" s="2053"/>
      <c r="E13" s="2946">
        <v>57662</v>
      </c>
      <c r="F13" s="2946"/>
      <c r="G13" s="2946"/>
      <c r="H13" s="2946"/>
      <c r="I13" s="1037"/>
      <c r="J13" s="2021"/>
      <c r="K13" s="2030"/>
      <c r="L13" s="2007"/>
      <c r="M13" s="2007"/>
      <c r="N13" s="2008"/>
      <c r="O13" s="2009"/>
      <c r="P13" s="2008"/>
      <c r="Q13" s="2008"/>
      <c r="R13" s="2008"/>
    </row>
    <row r="14" spans="1:19" ht="18" customHeight="1">
      <c r="A14" s="2050"/>
      <c r="B14" s="2051"/>
      <c r="C14" s="2052" t="s">
        <v>1786</v>
      </c>
      <c r="D14" s="1040"/>
      <c r="E14" s="1040">
        <v>40</v>
      </c>
      <c r="F14" s="1040">
        <v>50</v>
      </c>
      <c r="G14" s="1040">
        <v>50</v>
      </c>
      <c r="H14" s="1040">
        <v>50</v>
      </c>
      <c r="I14" s="1040"/>
      <c r="J14" s="2021"/>
      <c r="K14" s="2054"/>
      <c r="L14" s="2007"/>
      <c r="M14" s="2007"/>
      <c r="N14" s="2008"/>
      <c r="O14" s="2009"/>
      <c r="P14" s="2008"/>
      <c r="Q14" s="2008"/>
      <c r="R14" s="2008"/>
    </row>
    <row r="15" spans="1:19" ht="18" customHeight="1">
      <c r="A15" s="2038"/>
      <c r="B15" s="2055"/>
      <c r="C15" s="2052" t="s">
        <v>1787</v>
      </c>
      <c r="D15" s="1039" t="str">
        <f>IF(B12="出让",IF(D13="","",ROUNDDOWN(MIN((D13-$D$3)/365,D14),2)),D14)</f>
        <v/>
      </c>
      <c r="E15" s="1039">
        <f>IF(B12="出让",IF(E13="","",ROUNDDOWN(MIN((E13-$D$3)/365,E14),2)),E14)</f>
        <v>37.86</v>
      </c>
      <c r="F15" s="1039" t="str">
        <f>IF(B12="出让",IF(F13="","",ROUNDDOWN(MIN((F13-$D$3)/365,F14),2)),F14)</f>
        <v/>
      </c>
      <c r="G15" s="1039" t="str">
        <f>IF(B12="出让",IF(G13="","",ROUNDDOWN(MIN((G13-$D$3)/365,G14),2)),G14)</f>
        <v/>
      </c>
      <c r="H15" s="1039" t="str">
        <f>IF(B12="出让",IF(H13="","",ROUNDDOWN(MIN((H13-$D$3)/365,H14),2)),H14)</f>
        <v/>
      </c>
      <c r="I15" s="1039" t="str">
        <f>IF(B12="出让",IF(I13="","",ROUNDDOWN(MIN((I13-$D$3)/365,I14),2)),I14)</f>
        <v/>
      </c>
      <c r="J15" s="2021"/>
      <c r="K15" s="2056"/>
      <c r="L15" s="2057"/>
      <c r="M15" s="2057"/>
      <c r="N15" s="2058"/>
      <c r="O15" s="2057"/>
      <c r="P15" s="2058"/>
      <c r="Q15" s="2008"/>
      <c r="R15" s="2008"/>
    </row>
    <row r="16" spans="1:19" ht="30.75" customHeight="1">
      <c r="A16" s="2040" t="s">
        <v>1788</v>
      </c>
      <c r="B16" s="3484" t="s">
        <v>3036</v>
      </c>
      <c r="C16" s="3485"/>
      <c r="D16" s="3486"/>
      <c r="E16" s="2059" t="s">
        <v>1789</v>
      </c>
      <c r="F16" s="3487" t="s">
        <v>3037</v>
      </c>
      <c r="G16" s="3488"/>
      <c r="H16" s="3488"/>
      <c r="I16" s="3489"/>
      <c r="J16" s="2008"/>
      <c r="K16" s="2056"/>
      <c r="L16" s="2057"/>
      <c r="M16" s="2057"/>
      <c r="N16" s="2058"/>
      <c r="O16" s="2057"/>
      <c r="P16" s="2058"/>
      <c r="Q16" s="2008"/>
      <c r="R16" s="2008"/>
    </row>
    <row r="17" spans="1:22" ht="18" customHeight="1">
      <c r="A17" s="2060" t="s">
        <v>1790</v>
      </c>
      <c r="B17" s="2014" t="s">
        <v>1791</v>
      </c>
      <c r="C17" s="1044">
        <f>'数据-汇总表'!E3</f>
        <v>24348.570000000003</v>
      </c>
      <c r="D17" s="2061" t="s">
        <v>1792</v>
      </c>
      <c r="E17" s="3490" t="s">
        <v>1793</v>
      </c>
      <c r="F17" s="3491"/>
      <c r="G17" s="3491"/>
      <c r="H17" s="3491"/>
      <c r="I17" s="3492"/>
      <c r="J17" s="2008"/>
      <c r="K17" s="2062"/>
      <c r="L17" s="2057"/>
      <c r="M17" s="2057"/>
      <c r="N17" s="2058"/>
      <c r="O17" s="2057"/>
      <c r="P17" s="2058"/>
      <c r="Q17" s="2008"/>
      <c r="R17" s="2008"/>
      <c r="S17" s="2008"/>
      <c r="T17" s="2008"/>
      <c r="U17" s="2008"/>
      <c r="V17" s="2008"/>
    </row>
    <row r="18" spans="1:22" ht="36" customHeight="1" thickBot="1">
      <c r="A18" s="2063" t="s">
        <v>1794</v>
      </c>
      <c r="B18" s="2017" t="s">
        <v>1795</v>
      </c>
      <c r="C18" s="1425">
        <f>'数据-汇总表'!D3</f>
        <v>15134.65</v>
      </c>
      <c r="D18" s="2064" t="s">
        <v>1792</v>
      </c>
      <c r="E18" s="3493" t="s">
        <v>1796</v>
      </c>
      <c r="F18" s="3494"/>
      <c r="G18" s="3494"/>
      <c r="H18" s="3494"/>
      <c r="I18" s="3495"/>
      <c r="J18" s="2008"/>
      <c r="K18" s="2062"/>
      <c r="L18" s="2057"/>
      <c r="M18" s="2057"/>
      <c r="N18" s="2058"/>
      <c r="O18" s="2057"/>
      <c r="P18" s="2058"/>
      <c r="Q18" s="2008"/>
      <c r="R18" s="2008"/>
      <c r="S18" s="2008"/>
      <c r="T18" s="2008"/>
      <c r="U18" s="2008"/>
      <c r="V18" s="2008"/>
    </row>
    <row r="19" spans="1:22" ht="37.5" customHeight="1" thickTop="1" thickBot="1">
      <c r="A19" s="373" t="s">
        <v>1797</v>
      </c>
      <c r="B19" s="352" t="s">
        <v>1798</v>
      </c>
      <c r="C19" s="2065"/>
      <c r="D19" s="2066" t="s">
        <v>1799</v>
      </c>
      <c r="E19" s="2067"/>
      <c r="F19" s="2068" t="str">
        <f>IF(AND(C19="是",E19="否"),"是否提供他项权证或相关说明","")</f>
        <v/>
      </c>
      <c r="G19" s="2069"/>
      <c r="H19" s="2021"/>
      <c r="I19" s="2021"/>
      <c r="J19" s="2021"/>
      <c r="K19" s="2030"/>
      <c r="L19" s="2007"/>
      <c r="M19" s="2007"/>
      <c r="N19" s="2058"/>
      <c r="O19" s="2057"/>
      <c r="P19" s="2058"/>
      <c r="Q19" s="2008"/>
      <c r="R19" s="2008"/>
      <c r="S19" s="2008"/>
      <c r="T19" s="2008"/>
      <c r="U19" s="2008"/>
      <c r="V19" s="2008"/>
    </row>
    <row r="20" spans="1:22" ht="18" customHeight="1">
      <c r="A20" s="2070" t="s">
        <v>1800</v>
      </c>
      <c r="B20" s="3480" t="s">
        <v>1801</v>
      </c>
      <c r="C20" s="3481"/>
      <c r="D20" s="3482" t="s">
        <v>1802</v>
      </c>
      <c r="E20" s="3483"/>
      <c r="F20" s="2071" t="s">
        <v>1803</v>
      </c>
      <c r="G20" s="2021"/>
      <c r="H20" s="2021"/>
      <c r="I20" s="2021"/>
      <c r="J20" s="2021"/>
      <c r="K20" s="3479"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8"/>
      <c r="O20" s="2057"/>
      <c r="P20" s="2058"/>
      <c r="Q20" s="2008"/>
      <c r="R20" s="2008"/>
      <c r="S20" s="2008"/>
      <c r="T20" s="2008"/>
      <c r="U20" s="2008"/>
      <c r="V20" s="2008"/>
    </row>
    <row r="21" spans="1:22" ht="24.75" customHeight="1">
      <c r="A21" s="2070"/>
      <c r="B21" s="2072" t="s">
        <v>1805</v>
      </c>
      <c r="C21" s="2073" t="s">
        <v>1806</v>
      </c>
      <c r="D21" s="2074" t="s">
        <v>1807</v>
      </c>
      <c r="E21" s="2075" t="s">
        <v>1806</v>
      </c>
      <c r="F21" s="2076"/>
      <c r="G21" s="2021"/>
      <c r="H21" s="2021"/>
      <c r="I21" s="2021"/>
      <c r="J21" s="2021"/>
      <c r="K21" s="347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8"/>
      <c r="O21" s="2057"/>
      <c r="P21" s="2058"/>
      <c r="Q21" s="2008"/>
      <c r="R21" s="2008"/>
      <c r="S21" s="2008"/>
      <c r="T21" s="2008"/>
      <c r="U21" s="2008"/>
      <c r="V21" s="2008"/>
    </row>
    <row r="22" spans="1:22" ht="24.75" customHeight="1" thickBot="1">
      <c r="A22" s="2070"/>
      <c r="B22" s="2077" t="s">
        <v>1808</v>
      </c>
      <c r="C22" s="2073" t="s">
        <v>1809</v>
      </c>
      <c r="D22" s="2005"/>
      <c r="E22" s="2005"/>
      <c r="F22" s="2078"/>
      <c r="G22" s="2021"/>
      <c r="H22" s="2021"/>
      <c r="I22" s="2021"/>
      <c r="J22" s="2021"/>
      <c r="K22" s="347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8"/>
      <c r="O22" s="2057"/>
      <c r="P22" s="2058"/>
      <c r="Q22" s="2008"/>
      <c r="R22" s="2008"/>
      <c r="S22" s="2008"/>
      <c r="T22" s="2008"/>
      <c r="U22" s="2008"/>
      <c r="V22" s="2008"/>
    </row>
    <row r="23" spans="1:22" ht="18" customHeight="1">
      <c r="A23" s="2079" t="s">
        <v>1810</v>
      </c>
      <c r="B23" s="183" t="s">
        <v>1811</v>
      </c>
      <c r="C23" s="2080"/>
      <c r="D23" s="2081" t="s">
        <v>1811</v>
      </c>
      <c r="E23" s="2082"/>
      <c r="F23" s="2078"/>
      <c r="G23" s="2021"/>
      <c r="H23" s="2021"/>
      <c r="I23" s="2021"/>
      <c r="J23" s="2021"/>
      <c r="K23" s="2083"/>
      <c r="L23" s="744"/>
      <c r="M23" s="2007"/>
      <c r="N23" s="2058"/>
      <c r="O23" s="2057"/>
      <c r="P23" s="2058"/>
      <c r="Q23" s="2008"/>
      <c r="R23" s="2008"/>
      <c r="S23" s="2008"/>
      <c r="T23" s="2008"/>
      <c r="U23" s="2008"/>
      <c r="V23" s="2008"/>
    </row>
    <row r="24" spans="1:22" ht="18" customHeight="1">
      <c r="A24" s="2084"/>
      <c r="B24" s="183" t="s">
        <v>1812</v>
      </c>
      <c r="C24" s="2085"/>
      <c r="D24" s="2079" t="s">
        <v>1812</v>
      </c>
      <c r="E24" s="2086"/>
      <c r="F24" s="2078"/>
      <c r="G24" s="2021"/>
      <c r="H24" s="2021"/>
      <c r="I24" s="2021"/>
      <c r="J24" s="2021"/>
      <c r="K24" s="2083"/>
      <c r="L24" s="744"/>
      <c r="M24" s="2007"/>
      <c r="N24" s="2058"/>
      <c r="O24" s="2057"/>
      <c r="P24" s="2058"/>
      <c r="Q24" s="2008"/>
      <c r="R24" s="2008"/>
      <c r="S24" s="2008"/>
      <c r="T24" s="2008"/>
      <c r="U24" s="2008"/>
      <c r="V24" s="2008"/>
    </row>
    <row r="25" spans="1:22" ht="18" customHeight="1">
      <c r="A25" s="2084"/>
      <c r="B25" s="183" t="s">
        <v>1813</v>
      </c>
      <c r="C25" s="2085"/>
      <c r="D25" s="2079" t="s">
        <v>1813</v>
      </c>
      <c r="E25" s="2086"/>
      <c r="F25" s="2078"/>
      <c r="G25" s="2021"/>
      <c r="H25" s="2021"/>
      <c r="I25" s="2021"/>
      <c r="J25" s="2021"/>
      <c r="K25" s="2030"/>
      <c r="L25" s="2007"/>
      <c r="M25" s="2007"/>
      <c r="N25" s="2058"/>
      <c r="O25" s="2057"/>
      <c r="P25" s="2058"/>
      <c r="Q25" s="2008"/>
      <c r="R25" s="2008"/>
      <c r="S25" s="2008"/>
      <c r="T25" s="2008"/>
      <c r="U25" s="2008"/>
      <c r="V25" s="2008"/>
    </row>
    <row r="26" spans="1:22" ht="18" customHeight="1" thickBot="1">
      <c r="A26" s="2087"/>
      <c r="B26" s="2088" t="s">
        <v>1814</v>
      </c>
      <c r="C26" s="2089"/>
      <c r="D26" s="2090" t="s">
        <v>1815</v>
      </c>
      <c r="E26" s="2091"/>
      <c r="F26" s="2092"/>
      <c r="G26" s="2037"/>
      <c r="H26" s="2037"/>
      <c r="I26" s="2037"/>
      <c r="J26" s="2021"/>
      <c r="K26" s="2030"/>
      <c r="L26" s="2007"/>
      <c r="M26" s="2007"/>
      <c r="N26" s="2058"/>
      <c r="O26" s="2057"/>
      <c r="P26" s="2058"/>
      <c r="Q26" s="2008"/>
      <c r="R26" s="2008"/>
      <c r="S26" s="2008"/>
      <c r="T26" s="2008"/>
      <c r="U26" s="2008"/>
      <c r="V26" s="2008"/>
    </row>
    <row r="27" spans="1:22" ht="18" customHeight="1" thickTop="1">
      <c r="A27" s="3467" t="s">
        <v>1816</v>
      </c>
      <c r="B27" s="2038" t="s">
        <v>1817</v>
      </c>
      <c r="C27" s="2093"/>
      <c r="D27" s="2094"/>
      <c r="E27" s="2021"/>
      <c r="F27" s="2021"/>
      <c r="G27" s="2021"/>
      <c r="H27" s="2021"/>
      <c r="I27" s="2021"/>
      <c r="J27" s="2008"/>
      <c r="K27" s="2056"/>
      <c r="L27" s="2057"/>
      <c r="M27" s="2057"/>
      <c r="N27" s="2058"/>
      <c r="O27" s="2057"/>
      <c r="P27" s="2058"/>
      <c r="Q27" s="2008"/>
      <c r="R27" s="2008"/>
      <c r="S27" s="2008"/>
      <c r="T27" s="2008"/>
      <c r="U27" s="2008"/>
      <c r="V27" s="2008"/>
    </row>
    <row r="28" spans="1:22" ht="18" customHeight="1">
      <c r="A28" s="3467"/>
      <c r="B28" s="2014" t="s">
        <v>1818</v>
      </c>
      <c r="C28" s="2095"/>
      <c r="D28" s="2096"/>
      <c r="E28" s="2021"/>
      <c r="F28" s="2021"/>
      <c r="G28" s="2021"/>
      <c r="H28" s="2021"/>
      <c r="I28" s="2021"/>
      <c r="J28" s="2008"/>
      <c r="K28" s="2097"/>
      <c r="L28" s="2007"/>
      <c r="M28" s="2007"/>
      <c r="N28" s="2008"/>
      <c r="O28" s="2009"/>
      <c r="P28" s="2008"/>
      <c r="Q28" s="2008"/>
      <c r="R28" s="2008"/>
      <c r="S28" s="2008"/>
      <c r="T28" s="2008"/>
      <c r="U28" s="2008"/>
      <c r="V28" s="2008"/>
    </row>
    <row r="29" spans="1:22" ht="18" customHeight="1">
      <c r="A29" s="3467"/>
      <c r="B29" s="2014" t="s">
        <v>1819</v>
      </c>
      <c r="C29" s="2098"/>
      <c r="D29" s="2099"/>
      <c r="E29" s="2021"/>
      <c r="F29" s="2021"/>
      <c r="G29" s="2021"/>
      <c r="H29" s="2021"/>
      <c r="I29" s="2021"/>
      <c r="J29" s="2008"/>
      <c r="K29" s="2097"/>
      <c r="L29" s="2007"/>
      <c r="M29" s="2007"/>
      <c r="N29" s="2008"/>
      <c r="O29" s="2009"/>
      <c r="P29" s="2008"/>
      <c r="Q29" s="2008"/>
      <c r="R29" s="2008"/>
      <c r="S29" s="2008"/>
      <c r="T29" s="2008"/>
      <c r="U29" s="2008"/>
      <c r="V29" s="2008"/>
    </row>
    <row r="30" spans="1:22" ht="18" customHeight="1">
      <c r="A30" s="3468"/>
      <c r="B30" s="2014" t="s">
        <v>1820</v>
      </c>
      <c r="C30" s="3469"/>
      <c r="D30" s="3470"/>
      <c r="E30" s="2021"/>
      <c r="F30" s="2021"/>
      <c r="G30" s="2021"/>
      <c r="H30" s="2021"/>
      <c r="I30" s="2021"/>
      <c r="J30" s="2008"/>
      <c r="K30" s="2097"/>
      <c r="L30" s="2007"/>
      <c r="M30" s="2007"/>
      <c r="N30" s="2008"/>
      <c r="O30" s="2009"/>
      <c r="P30" s="2008"/>
      <c r="Q30" s="2008"/>
      <c r="R30" s="2008"/>
      <c r="S30" s="2008"/>
      <c r="T30" s="2008"/>
      <c r="U30" s="2008"/>
      <c r="V30" s="2008"/>
    </row>
    <row r="31" spans="1:22" ht="18" customHeight="1">
      <c r="A31" s="3471" t="s">
        <v>1821</v>
      </c>
      <c r="B31" s="2100"/>
      <c r="C31" s="2101" t="str">
        <f>IF(B31="现房","成新及维护状况正常否",IF(B31="在建","工程状态是否正常",IF(B31="土地","是否闲置","-")))</f>
        <v>-</v>
      </c>
      <c r="D31" s="2102"/>
      <c r="E31" s="2103"/>
      <c r="F31" s="2021"/>
      <c r="G31" s="2021"/>
      <c r="H31" s="2021"/>
      <c r="I31" s="2021"/>
      <c r="J31" s="2021"/>
      <c r="K31" s="2029"/>
      <c r="L31" s="2007"/>
      <c r="M31" s="2007"/>
      <c r="N31" s="2008"/>
      <c r="O31" s="2009"/>
      <c r="P31" s="2008"/>
      <c r="Q31" s="2008"/>
      <c r="R31" s="2008"/>
      <c r="S31" s="2008"/>
      <c r="T31" s="2008"/>
      <c r="U31" s="2008"/>
      <c r="V31" s="2008"/>
    </row>
    <row r="32" spans="1:22" ht="18" customHeight="1">
      <c r="A32" s="3472"/>
      <c r="B32" s="2100"/>
      <c r="C32" s="2101" t="str">
        <f>IF(B32="现房","成新及维护状况是否正常",IF(B32="在建","工程状态是否正常",IF(B32="土地","是否闲置","-")))</f>
        <v>-</v>
      </c>
      <c r="D32" s="2102"/>
      <c r="E32" s="2103"/>
      <c r="F32" s="2021"/>
      <c r="G32" s="2021"/>
      <c r="H32" s="2021"/>
      <c r="I32" s="2021"/>
      <c r="J32" s="2021"/>
      <c r="K32" s="2030"/>
      <c r="L32" s="2007"/>
      <c r="M32" s="2007"/>
      <c r="N32" s="2008"/>
      <c r="O32" s="2009"/>
      <c r="P32" s="2008"/>
      <c r="Q32" s="2008"/>
      <c r="R32" s="2008"/>
      <c r="S32" s="2008"/>
      <c r="T32" s="2008"/>
      <c r="U32" s="2008"/>
      <c r="V32" s="2008"/>
    </row>
    <row r="33" spans="1:22" ht="18" customHeight="1">
      <c r="A33" s="3472"/>
      <c r="B33" s="2104"/>
      <c r="C33" s="2043" t="str">
        <f>IF(B33="现房","成新及维护状况是否正常",IF(B33="在建","工程状态是否正常",IF(B33="土地","是否闲置","-")))</f>
        <v>-</v>
      </c>
      <c r="D33" s="2105"/>
      <c r="E33" s="2106"/>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7" t="s">
        <v>3377</v>
      </c>
      <c r="C34" s="2107" t="s">
        <v>3378</v>
      </c>
      <c r="D34" s="2107" t="s">
        <v>3379</v>
      </c>
      <c r="E34" s="2107" t="s">
        <v>3380</v>
      </c>
      <c r="F34" s="2107" t="s">
        <v>3381</v>
      </c>
      <c r="G34" s="2107" t="s">
        <v>3382</v>
      </c>
      <c r="H34" s="2107"/>
      <c r="I34" s="2021"/>
      <c r="J34" s="2021"/>
      <c r="K34" s="1775">
        <f>COUNTIF(B34:H34,"——")</f>
        <v>0</v>
      </c>
      <c r="L34" s="2048" t="s">
        <v>1823</v>
      </c>
      <c r="M34" s="2048" t="s">
        <v>1824</v>
      </c>
      <c r="N34" s="2048" t="s">
        <v>1825</v>
      </c>
      <c r="O34" s="2048" t="s">
        <v>1826</v>
      </c>
      <c r="P34" s="2048" t="s">
        <v>1827</v>
      </c>
      <c r="Q34" s="2048" t="s">
        <v>1828</v>
      </c>
      <c r="R34" s="2048" t="s">
        <v>1829</v>
      </c>
      <c r="S34" s="3466" t="s">
        <v>1830</v>
      </c>
      <c r="T34" s="2108" t="str">
        <f>NUMBERSTRING(7-K34,1)&amp;"通"</f>
        <v>七通</v>
      </c>
      <c r="U34" s="2008"/>
      <c r="V34" s="2008"/>
    </row>
    <row r="35" spans="1:22" ht="18" customHeight="1">
      <c r="A35" s="2109"/>
      <c r="B35" s="3473" t="s">
        <v>1831</v>
      </c>
      <c r="C35" s="3473"/>
      <c r="D35" s="3473"/>
      <c r="E35" s="3473"/>
      <c r="F35" s="2110" t="str">
        <f>C10</f>
        <v>山东省</v>
      </c>
      <c r="G35" s="2021"/>
      <c r="H35" s="2021"/>
      <c r="I35" s="2021"/>
      <c r="J35" s="2021"/>
      <c r="K35" s="2048"/>
      <c r="L35" s="204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66"/>
      <c r="T35" s="48" t="str">
        <f>IF(T34="一通",L35,IF(T34="二通",M35,IF(T34="三通",N35,IF(T34="四通",O35,IF(T34="五通",P35,IF(T34="六通",Q35,R35))))))</f>
        <v>通路、通电、通讯、通上水、通下水、燃气、</v>
      </c>
      <c r="U35" s="2008"/>
      <c r="V35" s="2008"/>
    </row>
    <row r="36" spans="1:22" ht="18" customHeight="1">
      <c r="A36" s="2111"/>
      <c r="B36" s="2110" t="s">
        <v>1832</v>
      </c>
      <c r="C36" s="2110" t="s">
        <v>1833</v>
      </c>
      <c r="D36" s="2110" t="s">
        <v>1834</v>
      </c>
      <c r="E36" s="2110" t="s">
        <v>1835</v>
      </c>
      <c r="F36" s="2112"/>
      <c r="G36" s="2021"/>
      <c r="H36" s="2021"/>
      <c r="I36" s="2021"/>
      <c r="J36" s="2021"/>
      <c r="K36" s="2030"/>
      <c r="L36" s="2007"/>
      <c r="M36" s="2007"/>
      <c r="N36" s="2008"/>
      <c r="O36" s="2009"/>
      <c r="P36" s="2008"/>
      <c r="Q36" s="2008"/>
      <c r="R36" s="2008"/>
      <c r="S36" s="2008"/>
      <c r="T36" s="2008"/>
      <c r="U36" s="2008"/>
      <c r="V36" s="2008"/>
    </row>
    <row r="37" spans="1:22" ht="18" customHeight="1">
      <c r="A37" s="2113" t="s">
        <v>1836</v>
      </c>
      <c r="B37" s="2947" t="s">
        <v>137</v>
      </c>
      <c r="C37" s="2947" t="s">
        <v>137</v>
      </c>
      <c r="D37" s="2114"/>
      <c r="E37" s="2114"/>
      <c r="F37" s="2112"/>
      <c r="G37" s="2021"/>
      <c r="H37" s="2021"/>
      <c r="I37" s="2021"/>
      <c r="J37" s="2021"/>
      <c r="K37" s="2030"/>
      <c r="L37" s="2007"/>
      <c r="M37" s="2007"/>
      <c r="N37" s="2008"/>
      <c r="O37" s="2009"/>
      <c r="P37" s="2008"/>
      <c r="Q37" s="2008"/>
      <c r="R37" s="2008"/>
      <c r="S37" s="2008"/>
      <c r="T37" s="2008"/>
      <c r="U37" s="2008"/>
      <c r="V37" s="2008"/>
    </row>
    <row r="38" spans="1:22" ht="18" customHeight="1" thickBot="1">
      <c r="A38" s="2115" t="s">
        <v>1837</v>
      </c>
      <c r="B38" s="2948" t="s">
        <v>384</v>
      </c>
      <c r="C38" s="2948" t="s">
        <v>384</v>
      </c>
      <c r="D38" s="2116"/>
      <c r="E38" s="2116"/>
      <c r="F38" s="2117"/>
      <c r="G38" s="2037"/>
      <c r="H38" s="2037"/>
      <c r="I38" s="2037"/>
      <c r="J38" s="2021"/>
      <c r="K38" s="2030"/>
      <c r="L38" s="2007"/>
      <c r="M38" s="2007"/>
      <c r="N38" s="2008"/>
      <c r="O38" s="2009"/>
      <c r="P38" s="2008"/>
      <c r="Q38" s="2008"/>
      <c r="R38" s="2008"/>
      <c r="S38" s="2008"/>
      <c r="T38" s="2008"/>
      <c r="U38" s="2008"/>
      <c r="V38" s="2008"/>
    </row>
    <row r="39" spans="1:22" s="2122" customFormat="1" ht="18" customHeight="1" thickTop="1" thickBot="1">
      <c r="A39" s="2118" t="s">
        <v>1838</v>
      </c>
      <c r="B39" s="2119"/>
      <c r="C39" s="2119"/>
      <c r="D39" s="2119"/>
      <c r="E39" s="2119"/>
      <c r="F39" s="2119"/>
      <c r="G39" s="2119"/>
      <c r="H39" s="2119"/>
      <c r="I39" s="2119"/>
      <c r="J39" s="2119"/>
      <c r="K39" s="2120"/>
      <c r="L39" s="2119"/>
      <c r="M39" s="2119"/>
      <c r="N39" s="2119"/>
      <c r="O39" s="2121"/>
      <c r="P39" s="2119"/>
      <c r="Q39" s="2119"/>
      <c r="R39" s="2119"/>
      <c r="S39" s="2119"/>
      <c r="T39" s="2119"/>
      <c r="U39" s="2119"/>
      <c r="V39" s="2119"/>
    </row>
    <row r="40" spans="1:22" ht="18" customHeight="1">
      <c r="A40" s="2008"/>
      <c r="B40" s="2008"/>
      <c r="C40" s="2008"/>
      <c r="D40" s="2008"/>
      <c r="E40" s="2008"/>
      <c r="F40" s="2008"/>
      <c r="G40" s="2008"/>
      <c r="H40" s="2008"/>
      <c r="I40" s="2123"/>
      <c r="J40" s="2058"/>
      <c r="K40" s="665"/>
      <c r="L40" s="2057"/>
      <c r="M40" s="2057"/>
      <c r="N40" s="2058"/>
      <c r="O40" s="2057"/>
      <c r="P40" s="2008"/>
      <c r="Q40" s="2008"/>
      <c r="R40" s="2008"/>
      <c r="S40" s="2008"/>
      <c r="T40" s="2008"/>
      <c r="U40" s="2008"/>
      <c r="V40" s="2008"/>
    </row>
    <row r="41" spans="1:22" ht="18" customHeight="1">
      <c r="A41" s="8" t="s">
        <v>1839</v>
      </c>
      <c r="B41" s="2124"/>
      <c r="C41" s="2125"/>
      <c r="D41" s="2008"/>
      <c r="E41" s="2008"/>
      <c r="F41" s="2008"/>
      <c r="G41" s="2008"/>
      <c r="H41" s="2008"/>
      <c r="I41" s="2009"/>
      <c r="J41" s="2008"/>
      <c r="K41" s="2097"/>
      <c r="L41" s="2007"/>
      <c r="M41" s="2007"/>
      <c r="N41" s="2008"/>
      <c r="O41" s="2009"/>
      <c r="P41" s="2008"/>
      <c r="Q41" s="2008"/>
      <c r="R41" s="2008"/>
      <c r="S41" s="2008"/>
      <c r="T41" s="2008"/>
      <c r="U41" s="2008"/>
      <c r="V41" s="2008"/>
    </row>
    <row r="42" spans="1:22" ht="18" customHeight="1">
      <c r="A42" s="2048" t="s">
        <v>1840</v>
      </c>
      <c r="B42" s="1775" t="s">
        <v>1841</v>
      </c>
      <c r="C42" s="1775" t="s">
        <v>1842</v>
      </c>
      <c r="D42" s="1775" t="s">
        <v>1843</v>
      </c>
      <c r="E42" s="1775" t="s">
        <v>1844</v>
      </c>
      <c r="F42" s="1775" t="s">
        <v>1845</v>
      </c>
      <c r="G42" s="1775" t="s">
        <v>1846</v>
      </c>
      <c r="H42" s="1775" t="s">
        <v>1847</v>
      </c>
      <c r="I42" s="1775" t="s">
        <v>1848</v>
      </c>
      <c r="J42" s="2126" t="s">
        <v>1849</v>
      </c>
      <c r="K42" s="2049" t="s">
        <v>1850</v>
      </c>
      <c r="L42" s="2049" t="s">
        <v>1851</v>
      </c>
      <c r="M42" s="2049" t="s">
        <v>1852</v>
      </c>
      <c r="N42" s="1775" t="s">
        <v>1853</v>
      </c>
      <c r="O42" s="1775" t="s">
        <v>1854</v>
      </c>
      <c r="P42" s="1775" t="s">
        <v>1855</v>
      </c>
      <c r="Q42" s="2048" t="s">
        <v>1856</v>
      </c>
      <c r="R42" s="2048" t="s">
        <v>1857</v>
      </c>
      <c r="S42" s="2008"/>
      <c r="T42" s="2008"/>
      <c r="U42" s="2008"/>
      <c r="V42" s="2008"/>
    </row>
    <row r="43" spans="1:22" s="2131" customFormat="1" ht="18" customHeight="1">
      <c r="A43" s="2127"/>
      <c r="B43" s="1254"/>
      <c r="C43" s="1254"/>
      <c r="D43" s="1254"/>
      <c r="E43" s="1254"/>
      <c r="F43" s="1254"/>
      <c r="G43" s="1254"/>
      <c r="H43" s="9"/>
      <c r="I43" s="9"/>
      <c r="J43" s="2128"/>
      <c r="K43" s="2129"/>
      <c r="L43" s="2129"/>
      <c r="M43" s="9"/>
      <c r="N43" s="1254"/>
      <c r="O43" s="9"/>
      <c r="P43" s="1254"/>
      <c r="Q43" s="1254"/>
      <c r="R43" s="1254"/>
      <c r="S43" s="2130"/>
      <c r="T43" s="2130"/>
      <c r="U43" s="2130"/>
      <c r="V43" s="2130"/>
    </row>
    <row r="44" spans="1:22" s="2131" customFormat="1" ht="18" customHeight="1">
      <c r="A44" s="2127"/>
      <c r="B44" s="2127"/>
      <c r="C44" s="1254"/>
      <c r="D44" s="1254"/>
      <c r="E44" s="1254"/>
      <c r="F44" s="1254"/>
      <c r="G44" s="1254"/>
      <c r="H44" s="9"/>
      <c r="I44" s="9"/>
      <c r="J44" s="2128"/>
      <c r="K44" s="2129"/>
      <c r="L44" s="2129"/>
      <c r="M44" s="9"/>
      <c r="N44" s="1254"/>
      <c r="O44" s="9"/>
      <c r="P44" s="1254"/>
      <c r="Q44" s="1254"/>
      <c r="R44" s="1254"/>
      <c r="S44" s="2130"/>
      <c r="T44" s="2130"/>
      <c r="U44" s="2130"/>
      <c r="V44" s="2130"/>
    </row>
    <row r="45" spans="1:22" s="2131" customFormat="1" ht="18" customHeight="1">
      <c r="A45" s="2127"/>
      <c r="B45" s="2127"/>
      <c r="C45" s="1254"/>
      <c r="D45" s="1254"/>
      <c r="E45" s="1254"/>
      <c r="F45" s="1254"/>
      <c r="G45" s="1254"/>
      <c r="H45" s="9"/>
      <c r="I45" s="9"/>
      <c r="J45" s="2128"/>
      <c r="K45" s="2129"/>
      <c r="L45" s="2129"/>
      <c r="M45" s="9"/>
      <c r="N45" s="1254"/>
      <c r="O45" s="9"/>
      <c r="P45" s="1254"/>
      <c r="Q45" s="1254"/>
      <c r="R45" s="1254"/>
      <c r="S45" s="2130"/>
      <c r="T45" s="2130"/>
      <c r="U45" s="2130"/>
      <c r="V45" s="2130"/>
    </row>
    <row r="46" spans="1:22" s="2131" customFormat="1" ht="18" customHeight="1">
      <c r="A46" s="2127"/>
      <c r="B46" s="2127"/>
      <c r="C46" s="1254"/>
      <c r="D46" s="1254"/>
      <c r="E46" s="1254"/>
      <c r="F46" s="1254"/>
      <c r="G46" s="1254"/>
      <c r="H46" s="9"/>
      <c r="I46" s="9"/>
      <c r="J46" s="2128"/>
      <c r="K46" s="2129"/>
      <c r="L46" s="2129"/>
      <c r="M46" s="9"/>
      <c r="N46" s="1254"/>
      <c r="O46" s="9"/>
      <c r="P46" s="1254"/>
      <c r="Q46" s="1254"/>
      <c r="R46" s="1254"/>
      <c r="S46" s="2130"/>
      <c r="T46" s="2130"/>
      <c r="U46" s="2130"/>
      <c r="V46" s="2130"/>
    </row>
    <row r="47" spans="1:22" s="2131" customFormat="1" ht="18" customHeight="1">
      <c r="A47" s="2127"/>
      <c r="B47" s="2127"/>
      <c r="C47" s="1254"/>
      <c r="D47" s="1254"/>
      <c r="E47" s="1254"/>
      <c r="F47" s="1254"/>
      <c r="G47" s="1254"/>
      <c r="H47" s="9"/>
      <c r="I47" s="9"/>
      <c r="J47" s="2128"/>
      <c r="K47" s="2129"/>
      <c r="L47" s="2129"/>
      <c r="M47" s="9"/>
      <c r="N47" s="1254"/>
      <c r="O47" s="9"/>
      <c r="P47" s="1254"/>
      <c r="Q47" s="1254"/>
      <c r="R47" s="1254"/>
      <c r="S47" s="2130"/>
      <c r="T47" s="2130"/>
      <c r="U47" s="2130"/>
      <c r="V47" s="2130"/>
    </row>
    <row r="48" spans="1:22" s="2131" customFormat="1" ht="18" customHeight="1">
      <c r="A48" s="2127"/>
      <c r="B48" s="2127"/>
      <c r="C48" s="1254"/>
      <c r="D48" s="1254"/>
      <c r="E48" s="1254"/>
      <c r="F48" s="1254"/>
      <c r="G48" s="1254"/>
      <c r="H48" s="9"/>
      <c r="I48" s="9"/>
      <c r="J48" s="2128"/>
      <c r="K48" s="2129"/>
      <c r="L48" s="2129"/>
      <c r="M48" s="9"/>
      <c r="N48" s="1254"/>
      <c r="O48" s="9"/>
      <c r="P48" s="1254"/>
      <c r="Q48" s="1254"/>
      <c r="R48" s="1254"/>
      <c r="S48" s="2130"/>
      <c r="T48" s="2130"/>
      <c r="U48" s="2130"/>
      <c r="V48" s="2130"/>
    </row>
    <row r="49" spans="1:22" s="2131" customFormat="1" ht="18" customHeight="1">
      <c r="A49" s="2127"/>
      <c r="B49" s="2127"/>
      <c r="C49" s="1254"/>
      <c r="D49" s="1254"/>
      <c r="E49" s="1254"/>
      <c r="F49" s="1254"/>
      <c r="G49" s="1254"/>
      <c r="H49" s="9"/>
      <c r="I49" s="9"/>
      <c r="J49" s="2128"/>
      <c r="K49" s="2129"/>
      <c r="L49" s="2129"/>
      <c r="M49" s="9"/>
      <c r="N49" s="1254"/>
      <c r="O49" s="9"/>
      <c r="P49" s="1254"/>
      <c r="Q49" s="1254"/>
      <c r="R49" s="1254"/>
      <c r="S49" s="2130"/>
      <c r="T49" s="2130"/>
      <c r="U49" s="2130"/>
      <c r="V49" s="2130"/>
    </row>
    <row r="50" spans="1:22" s="2131" customFormat="1" ht="18" customHeight="1">
      <c r="A50" s="2127"/>
      <c r="B50" s="2127"/>
      <c r="C50" s="1254"/>
      <c r="D50" s="1254"/>
      <c r="E50" s="1254"/>
      <c r="F50" s="1254"/>
      <c r="G50" s="1254"/>
      <c r="H50" s="9"/>
      <c r="I50" s="9"/>
      <c r="J50" s="2128"/>
      <c r="K50" s="2129"/>
      <c r="L50" s="2129"/>
      <c r="M50" s="9"/>
      <c r="N50" s="1254"/>
      <c r="O50" s="9"/>
      <c r="P50" s="1254"/>
      <c r="Q50" s="1254"/>
      <c r="R50" s="1254"/>
      <c r="S50" s="2130"/>
      <c r="T50" s="2130"/>
      <c r="U50" s="2130"/>
      <c r="V50" s="2130"/>
    </row>
    <row r="51" spans="1:22" s="2131" customFormat="1" ht="18" customHeight="1">
      <c r="A51" s="2127"/>
      <c r="B51" s="2127"/>
      <c r="C51" s="1254"/>
      <c r="D51" s="1254"/>
      <c r="E51" s="1254"/>
      <c r="F51" s="1254"/>
      <c r="G51" s="1254"/>
      <c r="H51" s="9"/>
      <c r="I51" s="9"/>
      <c r="J51" s="2128"/>
      <c r="K51" s="2129"/>
      <c r="L51" s="2129"/>
      <c r="M51" s="9"/>
      <c r="N51" s="1254"/>
      <c r="O51" s="9"/>
      <c r="P51" s="1254"/>
      <c r="Q51" s="1254"/>
      <c r="R51" s="1254"/>
    </row>
    <row r="52" spans="1:22" s="2131" customFormat="1" ht="18" customHeight="1">
      <c r="A52" s="10"/>
      <c r="B52" s="10"/>
      <c r="C52" s="10"/>
      <c r="D52" s="10"/>
      <c r="E52" s="10"/>
      <c r="F52" s="9"/>
      <c r="G52" s="10"/>
      <c r="H52" s="10"/>
      <c r="I52" s="10"/>
      <c r="J52" s="2132"/>
      <c r="K52" s="2129"/>
      <c r="L52" s="2129"/>
      <c r="M52" s="2129"/>
      <c r="N52" s="10"/>
      <c r="O52" s="10"/>
      <c r="P52" s="10"/>
      <c r="Q52" s="10"/>
      <c r="R52" s="10"/>
    </row>
    <row r="53" spans="1:22" s="2131" customFormat="1" ht="18" customHeight="1">
      <c r="A53" s="10"/>
      <c r="B53" s="10"/>
      <c r="C53" s="10"/>
      <c r="D53" s="10"/>
      <c r="E53" s="10"/>
      <c r="F53" s="9"/>
      <c r="G53" s="10"/>
      <c r="H53" s="10"/>
      <c r="I53" s="10"/>
      <c r="J53" s="2132"/>
      <c r="K53" s="2129"/>
      <c r="L53" s="2129"/>
      <c r="M53" s="2129"/>
      <c r="N53" s="10"/>
      <c r="O53" s="10"/>
      <c r="P53" s="10"/>
      <c r="Q53" s="10"/>
      <c r="R53" s="10"/>
    </row>
    <row r="54" spans="1:22" s="2131" customFormat="1" ht="18" customHeight="1">
      <c r="A54" s="10"/>
      <c r="B54" s="10"/>
      <c r="C54" s="10"/>
      <c r="D54" s="10"/>
      <c r="E54" s="10"/>
      <c r="F54" s="9"/>
      <c r="G54" s="10"/>
      <c r="H54" s="10"/>
      <c r="I54" s="10"/>
      <c r="J54" s="2132"/>
      <c r="K54" s="2129"/>
      <c r="L54" s="2129"/>
      <c r="M54" s="2129"/>
      <c r="N54" s="10"/>
      <c r="O54" s="10"/>
      <c r="P54" s="10"/>
      <c r="Q54" s="10"/>
      <c r="R54" s="10"/>
    </row>
    <row r="55" spans="1:22" s="2131" customFormat="1" ht="18" customHeight="1">
      <c r="A55" s="10"/>
      <c r="B55" s="10"/>
      <c r="C55" s="10"/>
      <c r="D55" s="10"/>
      <c r="E55" s="10"/>
      <c r="F55" s="9"/>
      <c r="G55" s="10"/>
      <c r="H55" s="10"/>
      <c r="I55" s="10"/>
      <c r="J55" s="2132"/>
      <c r="K55" s="2129"/>
      <c r="L55" s="2129"/>
      <c r="M55" s="2129"/>
      <c r="N55" s="10"/>
      <c r="O55" s="10"/>
      <c r="P55" s="10"/>
      <c r="Q55" s="10"/>
      <c r="R55" s="10"/>
    </row>
    <row r="56" spans="1:22" s="2131" customFormat="1" ht="18" customHeight="1">
      <c r="A56" s="10"/>
      <c r="B56" s="10"/>
      <c r="C56" s="10"/>
      <c r="D56" s="10"/>
      <c r="E56" s="10"/>
      <c r="F56" s="9"/>
      <c r="G56" s="10"/>
      <c r="H56" s="10"/>
      <c r="I56" s="10"/>
      <c r="J56" s="2132"/>
      <c r="K56" s="2129"/>
      <c r="L56" s="2129"/>
      <c r="M56" s="212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3654</v>
      </c>
      <c r="C15" s="1994"/>
    </row>
    <row r="16" spans="1:23">
      <c r="A16" s="1993" t="s">
        <v>1752</v>
      </c>
      <c r="B16" s="1993" t="s">
        <v>756</v>
      </c>
      <c r="C16" s="1994"/>
    </row>
    <row r="17" spans="1:3">
      <c r="A17" s="1993" t="s">
        <v>1753</v>
      </c>
      <c r="B17" s="1996" t="s">
        <v>3648</v>
      </c>
      <c r="C17" s="1994"/>
    </row>
    <row r="18" spans="1:3">
      <c r="A18" s="1993" t="s">
        <v>1754</v>
      </c>
      <c r="B18" s="1993" t="s">
        <v>3646</v>
      </c>
      <c r="C18" s="1994"/>
    </row>
    <row r="19" spans="1:3">
      <c r="A19" s="1993" t="s">
        <v>1755</v>
      </c>
      <c r="B19" s="1993" t="s">
        <v>3613</v>
      </c>
      <c r="C19" s="1994"/>
    </row>
    <row r="20" spans="1:3">
      <c r="A20" s="1993" t="s">
        <v>1756</v>
      </c>
      <c r="B20" s="1993" t="s">
        <v>3597</v>
      </c>
      <c r="C20" s="1994"/>
    </row>
    <row r="21" spans="1:3">
      <c r="A21" s="1993" t="s">
        <v>1757</v>
      </c>
      <c r="B21" s="1993" t="s">
        <v>3598</v>
      </c>
      <c r="C21" s="1994"/>
    </row>
    <row r="22" spans="1:3">
      <c r="A22" s="1993" t="s">
        <v>1758</v>
      </c>
      <c r="B22" s="1993" t="s">
        <v>3615</v>
      </c>
      <c r="C22" s="1994"/>
    </row>
    <row r="23" spans="1:3">
      <c r="A23" s="1993" t="s">
        <v>1759</v>
      </c>
      <c r="B23" s="1993" t="s">
        <v>3647</v>
      </c>
      <c r="C23" s="1994"/>
    </row>
    <row r="24" spans="1:3">
      <c r="A24" s="1993" t="s">
        <v>1760</v>
      </c>
      <c r="B24" s="1996" t="s">
        <v>3649</v>
      </c>
      <c r="C24" s="1994"/>
    </row>
    <row r="25" spans="1:3">
      <c r="A25" s="1993" t="s">
        <v>1761</v>
      </c>
      <c r="B25" s="1993" t="s">
        <v>3651</v>
      </c>
      <c r="C25" s="1994"/>
    </row>
    <row r="26" spans="1:3">
      <c r="A26" s="1993" t="s">
        <v>1762</v>
      </c>
      <c r="B26" s="1993" t="s">
        <v>3652</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496"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10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96"/>
      <c r="B54" s="2001" t="s">
        <v>861</v>
      </c>
      <c r="C54" s="1998" t="s">
        <v>1270</v>
      </c>
    </row>
    <row r="55" spans="1:4">
      <c r="A55" s="3496"/>
      <c r="B55" s="2001" t="s">
        <v>862</v>
      </c>
      <c r="C55" s="1998" t="s">
        <v>1271</v>
      </c>
    </row>
    <row r="56" spans="1:4">
      <c r="A56" s="3496"/>
      <c r="B56" s="2001" t="s">
        <v>863</v>
      </c>
      <c r="C56" s="1998" t="s">
        <v>1275</v>
      </c>
    </row>
    <row r="57" spans="1:4">
      <c r="A57" s="3496"/>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AL22" sqref="AL22"/>
    </sheetView>
  </sheetViews>
  <sheetFormatPr defaultColWidth="8.875" defaultRowHeight="14.25"/>
  <cols>
    <col min="1" max="1" width="10.625" style="2133" customWidth="1"/>
    <col min="2" max="2" width="11" style="2133" customWidth="1"/>
    <col min="3" max="3" width="10.375" style="2133" customWidth="1"/>
    <col min="4" max="4" width="9.125" style="2133" customWidth="1"/>
    <col min="5" max="6" width="10" style="2196" customWidth="1"/>
    <col min="7" max="8" width="10" style="2133" customWidth="1"/>
    <col min="9" max="9" width="10.625" style="2133" customWidth="1"/>
    <col min="10" max="10" width="9.5" style="2133" customWidth="1"/>
    <col min="11" max="11" width="11" style="2133" customWidth="1"/>
    <col min="12" max="14" width="9.5" style="2133" customWidth="1"/>
    <col min="15" max="15" width="9.875" style="2133" customWidth="1"/>
    <col min="16" max="16" width="9.75" style="2133" customWidth="1"/>
    <col min="17" max="17" width="9.375" style="2133" customWidth="1"/>
    <col min="18" max="18" width="9.25" style="2133" customWidth="1"/>
    <col min="19" max="19" width="10.875" style="2133" customWidth="1"/>
    <col min="20" max="21" width="10.75" style="2133" customWidth="1"/>
    <col min="22" max="22" width="10.875" style="2133" customWidth="1"/>
    <col min="23" max="27" width="10.75" style="2133" customWidth="1"/>
    <col min="28" max="28" width="10.875" style="2133" customWidth="1"/>
    <col min="29" max="29" width="11" style="2133" bestFit="1" customWidth="1"/>
    <col min="30" max="30" width="10" style="2133" bestFit="1" customWidth="1"/>
    <col min="31" max="31" width="9.75" style="2133" customWidth="1"/>
    <col min="32" max="46" width="9.5" style="2133" customWidth="1"/>
    <col min="47" max="47" width="18.125" style="2133" customWidth="1"/>
    <col min="48" max="50" width="9.75" style="2133" customWidth="1"/>
    <col min="51" max="55" width="10.5" style="2133" bestFit="1" customWidth="1"/>
    <col min="56" max="56" width="9.5" style="2133" bestFit="1" customWidth="1"/>
    <col min="57" max="63" width="9.125" style="2133" bestFit="1" customWidth="1"/>
    <col min="64" max="64" width="9.5" style="2133" bestFit="1" customWidth="1"/>
    <col min="65" max="65" width="9.125" style="2133" bestFit="1" customWidth="1"/>
    <col min="66" max="66" width="9.5" style="2133" bestFit="1" customWidth="1"/>
    <col min="67" max="69" width="9.125" style="2133" bestFit="1" customWidth="1"/>
    <col min="70" max="70" width="9.5" style="2133" bestFit="1" customWidth="1"/>
    <col min="71" max="71" width="9" style="2133" customWidth="1"/>
    <col min="72" max="72" width="9.125" style="2133" bestFit="1" customWidth="1"/>
    <col min="73" max="16384" width="8.875" style="2133"/>
  </cols>
  <sheetData>
    <row r="1" spans="1:72" ht="20.25">
      <c r="A1" s="2136"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7"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1" customFormat="1" ht="24">
      <c r="A2" s="11" t="s">
        <v>1860</v>
      </c>
      <c r="B2" s="11" t="s">
        <v>1861</v>
      </c>
      <c r="C2" s="11" t="s">
        <v>1862</v>
      </c>
      <c r="D2" s="2138"/>
      <c r="E2" s="2139"/>
      <c r="F2" s="2140"/>
      <c r="G2" s="2138"/>
      <c r="H2" s="2138"/>
      <c r="I2" s="2138"/>
      <c r="J2" s="2138"/>
      <c r="K2" s="2138"/>
      <c r="L2" s="2138"/>
      <c r="M2" s="2138"/>
      <c r="N2" s="2138"/>
      <c r="O2" s="2138"/>
      <c r="P2" s="2138"/>
      <c r="Q2" s="2138"/>
      <c r="R2" s="2138"/>
      <c r="S2" s="2138"/>
      <c r="T2" s="2138"/>
      <c r="U2" s="2138"/>
      <c r="V2" s="2138"/>
      <c r="W2" s="2138"/>
      <c r="X2" s="2138"/>
      <c r="Y2" s="2138"/>
      <c r="Z2" s="2138"/>
      <c r="AA2" s="2138"/>
      <c r="AB2" s="2138"/>
      <c r="AC2" s="2138"/>
      <c r="AD2" s="2138"/>
      <c r="AE2" s="2138"/>
      <c r="AF2" s="2138"/>
      <c r="AG2" s="2138"/>
      <c r="AH2" s="2138"/>
      <c r="AI2" s="2138"/>
      <c r="AJ2" s="2138"/>
      <c r="AK2" s="2138"/>
      <c r="AL2" s="2138"/>
      <c r="AM2" s="2138"/>
      <c r="AN2" s="2138"/>
      <c r="AO2" s="2138"/>
      <c r="AP2" s="2138"/>
      <c r="AQ2" s="2138"/>
      <c r="AR2" s="2138"/>
      <c r="AS2" s="2138"/>
      <c r="AT2" s="2138"/>
      <c r="AU2" s="2138"/>
      <c r="AV2" s="2138"/>
      <c r="AW2" s="2138"/>
      <c r="AX2" s="2138"/>
      <c r="AY2" s="1251" t="s">
        <v>1863</v>
      </c>
      <c r="AZ2" s="1252" t="s">
        <v>1864</v>
      </c>
      <c r="BA2" s="11" t="s">
        <v>1865</v>
      </c>
      <c r="BB2" s="2138"/>
      <c r="BC2" s="2138"/>
      <c r="BD2" s="2138"/>
      <c r="BE2" s="2138"/>
      <c r="BF2" s="2138"/>
      <c r="BG2" s="2138"/>
      <c r="BH2" s="2138"/>
      <c r="BI2" s="2138"/>
      <c r="BJ2" s="2138"/>
      <c r="BK2" s="2138"/>
      <c r="BL2" s="2138"/>
      <c r="BM2" s="2138"/>
      <c r="BN2" s="2138"/>
      <c r="BO2" s="2138"/>
      <c r="BP2" s="2138"/>
      <c r="BQ2" s="2138"/>
      <c r="BR2" s="2138"/>
      <c r="BS2" s="2138"/>
      <c r="BT2" s="2138"/>
    </row>
    <row r="3" spans="1:72" s="2141" customFormat="1" ht="12.75">
      <c r="A3" s="13">
        <v>90600</v>
      </c>
      <c r="B3" s="14">
        <f>IF(C3="否",G5-AT5,G5)</f>
        <v>145756.98000000001</v>
      </c>
      <c r="C3" s="2142" t="s">
        <v>1866</v>
      </c>
      <c r="D3" s="2138"/>
      <c r="E3" s="2138"/>
      <c r="F3" s="2138"/>
      <c r="G3" s="2138"/>
      <c r="H3" s="2138"/>
      <c r="I3" s="2138"/>
      <c r="J3" s="2138"/>
      <c r="K3" s="2138"/>
      <c r="L3" s="2138"/>
      <c r="M3" s="2138"/>
      <c r="N3" s="2138"/>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1253"/>
      <c r="AZ3" s="1254"/>
      <c r="BA3" s="1255"/>
      <c r="BB3" s="2138"/>
      <c r="BC3" s="2138"/>
      <c r="BD3" s="2138"/>
      <c r="BE3" s="2138"/>
      <c r="BF3" s="2138"/>
      <c r="BG3" s="2138"/>
      <c r="BH3" s="2138"/>
      <c r="BI3" s="2138"/>
      <c r="BJ3" s="2138"/>
      <c r="BK3" s="2138"/>
      <c r="BL3" s="2138"/>
      <c r="BM3" s="2138"/>
      <c r="BN3" s="2138"/>
      <c r="BO3" s="2138"/>
      <c r="BP3" s="2138"/>
      <c r="BQ3" s="2138"/>
      <c r="BR3" s="2138"/>
      <c r="BS3" s="2138"/>
      <c r="BT3" s="2138"/>
    </row>
    <row r="4" spans="1:72" s="2147" customFormat="1" ht="13.5" thickBot="1">
      <c r="A4" s="2143"/>
      <c r="B4" s="2144"/>
      <c r="C4" s="2145"/>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46"/>
      <c r="BB4" s="2138"/>
      <c r="BC4" s="2138"/>
      <c r="BD4" s="2138"/>
      <c r="BE4" s="2138"/>
      <c r="BF4" s="2138"/>
      <c r="BG4" s="2138"/>
      <c r="BH4" s="2138"/>
      <c r="BI4" s="2138"/>
      <c r="BJ4" s="2138"/>
      <c r="BK4" s="2138"/>
      <c r="BL4" s="2138"/>
      <c r="BM4" s="2138"/>
      <c r="BN4" s="2138"/>
      <c r="BO4" s="2138"/>
      <c r="BP4" s="2138"/>
      <c r="BQ4" s="2138"/>
      <c r="BR4" s="2138"/>
      <c r="BS4" s="2138"/>
      <c r="BT4" s="2138"/>
    </row>
    <row r="5" spans="1:72" s="2141" customFormat="1" ht="12.75">
      <c r="A5" s="15" t="s">
        <v>1867</v>
      </c>
      <c r="B5" s="1783"/>
      <c r="C5" s="1783"/>
      <c r="D5" s="1786"/>
      <c r="E5" s="16" t="s">
        <v>1</v>
      </c>
      <c r="F5" s="16">
        <f>SUM(F13:F587)</f>
        <v>0</v>
      </c>
      <c r="G5" s="16">
        <f>SUM(G13:G587)</f>
        <v>145756.98000000001</v>
      </c>
      <c r="H5" s="16">
        <f t="shared" ref="H5:AT5" si="0">SUM(H13:H656)</f>
        <v>145756.98000000001</v>
      </c>
      <c r="I5" s="16">
        <f t="shared" si="0"/>
        <v>145756.98000000001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24348.570000000003</v>
      </c>
      <c r="BA5" s="18">
        <f t="shared" si="1"/>
        <v>24348.570000000003</v>
      </c>
      <c r="BB5" s="18">
        <f t="shared" si="1"/>
        <v>24348.570000000003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1" customFormat="1" ht="12.75">
      <c r="A6" s="15" t="s">
        <v>1868</v>
      </c>
      <c r="B6" s="2148"/>
      <c r="C6" s="2148"/>
      <c r="D6" s="2149"/>
      <c r="E6" s="16">
        <f>H6+AC6+AT6</f>
        <v>90600</v>
      </c>
      <c r="F6" s="16" t="s">
        <v>1</v>
      </c>
      <c r="G6" s="16" t="s">
        <v>2</v>
      </c>
      <c r="H6" s="20">
        <f>SUMIF(I$12:AB$12,"总值",I6:AB6)</f>
        <v>90600</v>
      </c>
      <c r="I6" s="16">
        <f t="shared" ref="I6:AB6" si="2">ROUND($A$3*I5/$B$3,2)</f>
        <v>90600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0"/>
      <c r="AV6" s="15" t="s">
        <v>1868</v>
      </c>
      <c r="AW6" s="2148"/>
      <c r="AX6" s="2148"/>
      <c r="AY6" s="21">
        <f>IF(AY3&gt;0,AY3,ROUND($A$3*AZ5/$B$3,2))</f>
        <v>15134.65</v>
      </c>
      <c r="AZ6" s="16" t="s">
        <v>3</v>
      </c>
      <c r="BA6" s="16">
        <f>ROUND($AY$6*BA5/$AZ$5,2)</f>
        <v>15134.65</v>
      </c>
      <c r="BB6" s="16">
        <f>ROUND($AY$6*BB5/$AZ$5,2)</f>
        <v>15134.65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1" customFormat="1" ht="24.75">
      <c r="A7" s="2083" t="s">
        <v>1869</v>
      </c>
      <c r="B7" s="2083" t="s">
        <v>1870</v>
      </c>
      <c r="C7" s="2083" t="s">
        <v>1871</v>
      </c>
      <c r="D7" s="2083" t="s">
        <v>1872</v>
      </c>
      <c r="E7" s="2083" t="s">
        <v>1873</v>
      </c>
      <c r="F7" s="2083" t="s">
        <v>1874</v>
      </c>
      <c r="G7" s="2152" t="s">
        <v>1875</v>
      </c>
      <c r="H7" s="2153"/>
      <c r="I7" s="2153"/>
      <c r="J7" s="2153"/>
      <c r="K7" s="2153"/>
      <c r="L7" s="2153"/>
      <c r="M7" s="2153"/>
      <c r="N7" s="2153"/>
      <c r="O7" s="2153"/>
      <c r="P7" s="2153"/>
      <c r="Q7" s="2153"/>
      <c r="R7" s="2153"/>
      <c r="S7" s="2153"/>
      <c r="T7" s="2153"/>
      <c r="U7" s="2153"/>
      <c r="V7" s="2153"/>
      <c r="W7" s="2153"/>
      <c r="X7" s="2153"/>
      <c r="Y7" s="2153"/>
      <c r="Z7" s="2153"/>
      <c r="AA7" s="2153"/>
      <c r="AB7" s="2153"/>
      <c r="AC7" s="2153"/>
      <c r="AD7" s="2153"/>
      <c r="AE7" s="2153"/>
      <c r="AF7" s="2153"/>
      <c r="AG7" s="2153"/>
      <c r="AH7" s="2153"/>
      <c r="AI7" s="2153"/>
      <c r="AJ7" s="2153"/>
      <c r="AK7" s="2153"/>
      <c r="AL7" s="2153"/>
      <c r="AM7" s="2153"/>
      <c r="AN7" s="2153"/>
      <c r="AO7" s="2153"/>
      <c r="AP7" s="2153"/>
      <c r="AQ7" s="2153"/>
      <c r="AR7" s="2153"/>
      <c r="AS7" s="2153"/>
      <c r="AT7" s="1786"/>
      <c r="AU7" s="2153" t="s">
        <v>1876</v>
      </c>
      <c r="AV7" s="23" t="s">
        <v>1877</v>
      </c>
      <c r="AW7" s="2140" t="s">
        <v>1878</v>
      </c>
      <c r="AX7" s="23" t="s">
        <v>1871</v>
      </c>
      <c r="AY7" s="1783" t="s">
        <v>1879</v>
      </c>
      <c r="AZ7" s="2154"/>
      <c r="BA7" s="2153"/>
      <c r="BB7" s="2153"/>
      <c r="BC7" s="2153"/>
      <c r="BD7" s="2153"/>
      <c r="BE7" s="2153"/>
      <c r="BF7" s="2153"/>
      <c r="BG7" s="2153"/>
      <c r="BH7" s="2153"/>
      <c r="BI7" s="2153"/>
      <c r="BJ7" s="2153"/>
      <c r="BK7" s="2153"/>
      <c r="BL7" s="2153"/>
      <c r="BM7" s="2153"/>
      <c r="BN7" s="2153"/>
      <c r="BO7" s="2153"/>
      <c r="BP7" s="2153"/>
      <c r="BQ7" s="2153"/>
      <c r="BR7" s="2153"/>
      <c r="BS7" s="2153"/>
      <c r="BT7" s="2155"/>
    </row>
    <row r="8" spans="1:72" s="2163" customFormat="1" ht="24">
      <c r="A8" s="2156"/>
      <c r="B8" s="2156"/>
      <c r="C8" s="2156"/>
      <c r="D8" s="2156"/>
      <c r="E8" s="2156"/>
      <c r="F8" s="2156"/>
      <c r="G8" s="2157" t="s">
        <v>1880</v>
      </c>
      <c r="H8" s="2158" t="s">
        <v>1881</v>
      </c>
      <c r="I8" s="2159"/>
      <c r="J8" s="1798"/>
      <c r="K8" s="1798"/>
      <c r="L8" s="1798"/>
      <c r="M8" s="1798"/>
      <c r="N8" s="1798"/>
      <c r="O8" s="1798"/>
      <c r="P8" s="1798"/>
      <c r="Q8" s="1798"/>
      <c r="R8" s="1798"/>
      <c r="S8" s="1798"/>
      <c r="T8" s="1798"/>
      <c r="U8" s="1798"/>
      <c r="V8" s="2160"/>
      <c r="W8" s="1798"/>
      <c r="X8" s="1798"/>
      <c r="Y8" s="1798"/>
      <c r="Z8" s="1798"/>
      <c r="AA8" s="2160"/>
      <c r="AB8" s="2161"/>
      <c r="AC8" s="971" t="s">
        <v>1882</v>
      </c>
      <c r="AD8" s="2162"/>
      <c r="AE8" s="2154"/>
      <c r="AF8" s="1798"/>
      <c r="AG8" s="1798"/>
      <c r="AH8" s="1798"/>
      <c r="AI8" s="1798"/>
      <c r="AJ8" s="1798"/>
      <c r="AK8" s="1798"/>
      <c r="AL8" s="1798"/>
      <c r="AM8" s="1798"/>
      <c r="AN8" s="1798"/>
      <c r="AO8" s="1798"/>
      <c r="AP8" s="1798"/>
      <c r="AQ8" s="1798"/>
      <c r="AR8" s="1798"/>
      <c r="AS8" s="1798"/>
      <c r="AT8" s="1274" t="s">
        <v>1883</v>
      </c>
      <c r="AU8" s="2156" t="s">
        <v>1884</v>
      </c>
      <c r="AV8" s="1274"/>
      <c r="AW8" s="2139"/>
      <c r="AX8" s="1274"/>
      <c r="AY8" s="2140"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3" customFormat="1" ht="12.75">
      <c r="A9" s="2156"/>
      <c r="B9" s="2156"/>
      <c r="C9" s="2156"/>
      <c r="D9" s="2156"/>
      <c r="E9" s="2156"/>
      <c r="F9" s="2156"/>
      <c r="G9" s="1274"/>
      <c r="H9" s="2164" t="s">
        <v>1887</v>
      </c>
      <c r="I9" s="2949" t="s">
        <v>3038</v>
      </c>
      <c r="J9" s="971"/>
      <c r="K9" s="2949" t="s">
        <v>3038</v>
      </c>
      <c r="L9" s="971"/>
      <c r="M9" s="2949" t="s">
        <v>3041</v>
      </c>
      <c r="N9" s="971"/>
      <c r="O9" s="2165" t="s">
        <v>3038</v>
      </c>
      <c r="P9" s="971"/>
      <c r="Q9" s="2165"/>
      <c r="R9" s="971"/>
      <c r="S9" s="2165"/>
      <c r="T9" s="971"/>
      <c r="U9" s="2165"/>
      <c r="V9" s="971"/>
      <c r="W9" s="2165"/>
      <c r="X9" s="2166"/>
      <c r="Y9" s="2165"/>
      <c r="Z9" s="971"/>
      <c r="AA9" s="2165"/>
      <c r="AB9" s="971"/>
      <c r="AC9" s="2157"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7"/>
      <c r="AT9" s="2156"/>
      <c r="AU9" s="2156" t="s">
        <v>1890</v>
      </c>
      <c r="AV9" s="1274"/>
      <c r="AW9" s="2139"/>
      <c r="AX9" s="1274"/>
      <c r="AY9" s="28"/>
      <c r="AZ9" s="28" t="s">
        <v>1880</v>
      </c>
      <c r="BA9" s="2168" t="s">
        <v>1891</v>
      </c>
      <c r="BB9" s="2169"/>
      <c r="BC9" s="1320"/>
      <c r="BD9" s="1320"/>
      <c r="BE9" s="1320"/>
      <c r="BF9" s="1320"/>
      <c r="BG9" s="1320"/>
      <c r="BH9" s="1320"/>
      <c r="BI9" s="1320"/>
      <c r="BJ9" s="1320"/>
      <c r="BK9" s="2170"/>
      <c r="BL9" s="15" t="s">
        <v>1892</v>
      </c>
      <c r="BM9" s="1798"/>
      <c r="BN9" s="2159"/>
      <c r="BO9" s="1798"/>
      <c r="BP9" s="1798"/>
      <c r="BQ9" s="1798"/>
      <c r="BR9" s="1798"/>
      <c r="BS9" s="1798"/>
      <c r="BT9" s="26"/>
    </row>
    <row r="10" spans="1:72" s="2163" customFormat="1" ht="12.75">
      <c r="A10" s="2156"/>
      <c r="B10" s="2156"/>
      <c r="C10" s="2156"/>
      <c r="D10" s="2156"/>
      <c r="E10" s="2156"/>
      <c r="F10" s="2156"/>
      <c r="G10" s="1274"/>
      <c r="H10" s="28"/>
      <c r="I10" s="2949" t="s">
        <v>1366</v>
      </c>
      <c r="J10" s="971"/>
      <c r="K10" s="2951" t="s">
        <v>1366</v>
      </c>
      <c r="L10" s="971"/>
      <c r="M10" s="2951" t="s">
        <v>3397</v>
      </c>
      <c r="N10" s="971"/>
      <c r="O10" s="2171" t="s">
        <v>1366</v>
      </c>
      <c r="P10" s="971"/>
      <c r="Q10" s="2171"/>
      <c r="R10" s="971"/>
      <c r="S10" s="2171"/>
      <c r="T10" s="971"/>
      <c r="U10" s="2171"/>
      <c r="V10" s="971"/>
      <c r="W10" s="2171"/>
      <c r="X10" s="971"/>
      <c r="Y10" s="2171"/>
      <c r="Z10" s="971"/>
      <c r="AA10" s="2171"/>
      <c r="AB10" s="971"/>
      <c r="AC10" s="1274"/>
      <c r="AD10" s="15" t="s">
        <v>1893</v>
      </c>
      <c r="AE10" s="2172"/>
      <c r="AF10" s="15" t="s">
        <v>1893</v>
      </c>
      <c r="AG10" s="2172"/>
      <c r="AH10" s="15" t="s">
        <v>1894</v>
      </c>
      <c r="AI10" s="2172"/>
      <c r="AJ10" s="15" t="s">
        <v>1894</v>
      </c>
      <c r="AK10" s="2172"/>
      <c r="AL10" s="15" t="s">
        <v>1895</v>
      </c>
      <c r="AM10" s="1280"/>
      <c r="AN10" s="15" t="s">
        <v>1895</v>
      </c>
      <c r="AO10" s="1280"/>
      <c r="AP10" s="15" t="s">
        <v>1896</v>
      </c>
      <c r="AQ10" s="1280"/>
      <c r="AR10" s="15" t="s">
        <v>1896</v>
      </c>
      <c r="AS10" s="1280"/>
      <c r="AT10" s="2156"/>
      <c r="AU10" s="2156"/>
      <c r="AV10" s="1274"/>
      <c r="AW10" s="2139"/>
      <c r="AX10" s="1274"/>
      <c r="AY10" s="28"/>
      <c r="AZ10" s="28"/>
      <c r="BA10" s="2173" t="s">
        <v>1887</v>
      </c>
      <c r="BB10" s="2174"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5" t="str">
        <f>AR9</f>
        <v>地下</v>
      </c>
    </row>
    <row r="11" spans="1:72" s="2163" customFormat="1" ht="12.75">
      <c r="A11" s="2156"/>
      <c r="B11" s="2156"/>
      <c r="C11" s="2156"/>
      <c r="D11" s="2156"/>
      <c r="E11" s="2156"/>
      <c r="F11" s="2156"/>
      <c r="G11" s="1274"/>
      <c r="H11" s="2173"/>
      <c r="I11" s="2950" t="s">
        <v>3039</v>
      </c>
      <c r="J11" s="2177"/>
      <c r="K11" s="2950" t="s">
        <v>3040</v>
      </c>
      <c r="L11" s="2177"/>
      <c r="M11" s="2950" t="s">
        <v>3397</v>
      </c>
      <c r="N11" s="2177"/>
      <c r="O11" s="2176" t="s">
        <v>3600</v>
      </c>
      <c r="P11" s="2177"/>
      <c r="Q11" s="2176"/>
      <c r="R11" s="2177"/>
      <c r="S11" s="2176"/>
      <c r="T11" s="2177"/>
      <c r="U11" s="2176"/>
      <c r="V11" s="2177"/>
      <c r="W11" s="2176"/>
      <c r="X11" s="2177"/>
      <c r="Y11" s="2176"/>
      <c r="Z11" s="2177"/>
      <c r="AA11" s="2176"/>
      <c r="AB11" s="2177"/>
      <c r="AC11" s="1274"/>
      <c r="AD11" s="2178" t="s">
        <v>1897</v>
      </c>
      <c r="AE11" s="1799"/>
      <c r="AF11" s="2178" t="s">
        <v>1897</v>
      </c>
      <c r="AG11" s="1799"/>
      <c r="AH11" s="2178" t="s">
        <v>1898</v>
      </c>
      <c r="AI11" s="2179"/>
      <c r="AJ11" s="2178" t="s">
        <v>1898</v>
      </c>
      <c r="AK11" s="1799"/>
      <c r="AL11" s="1797"/>
      <c r="AM11" s="1799"/>
      <c r="AN11" s="1797"/>
      <c r="AO11" s="1799"/>
      <c r="AP11" s="1797"/>
      <c r="AQ11" s="1799"/>
      <c r="AR11" s="1797"/>
      <c r="AS11" s="1799"/>
      <c r="AT11" s="2139"/>
      <c r="AU11" s="2156"/>
      <c r="AV11" s="1274"/>
      <c r="AW11" s="2139"/>
      <c r="AX11" s="1274"/>
      <c r="AY11" s="28"/>
      <c r="AZ11" s="28"/>
      <c r="BA11" s="28"/>
      <c r="BB11" s="2161" t="str">
        <f>I10</f>
        <v>商业</v>
      </c>
      <c r="BC11" s="2161" t="str">
        <f>K10</f>
        <v>商业</v>
      </c>
      <c r="BD11" s="2161" t="str">
        <f>M10</f>
        <v>车库</v>
      </c>
      <c r="BE11" s="2161" t="str">
        <f>O10</f>
        <v>商业</v>
      </c>
      <c r="BF11" s="2161">
        <f>Q10</f>
        <v>0</v>
      </c>
      <c r="BG11" s="2161">
        <f>S10</f>
        <v>0</v>
      </c>
      <c r="BH11" s="2161">
        <f>U10</f>
        <v>0</v>
      </c>
      <c r="BI11" s="2161">
        <f>W10</f>
        <v>0</v>
      </c>
      <c r="BJ11" s="2161">
        <f>Y10</f>
        <v>0</v>
      </c>
      <c r="BK11" s="2161">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0" t="str">
        <f>AR10</f>
        <v>未注明</v>
      </c>
    </row>
    <row r="12" spans="1:72" s="2141" customFormat="1" ht="12.75">
      <c r="A12" s="2181"/>
      <c r="B12" s="2181"/>
      <c r="C12" s="2181"/>
      <c r="D12" s="2181"/>
      <c r="E12" s="2181"/>
      <c r="F12" s="2181"/>
      <c r="G12" s="30"/>
      <c r="H12" s="2182"/>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3"/>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1" t="s">
        <v>1900</v>
      </c>
      <c r="AT12" s="2184"/>
      <c r="AU12" s="2181"/>
      <c r="AV12" s="31"/>
      <c r="AW12" s="2140"/>
      <c r="AX12" s="31"/>
      <c r="AY12" s="2185"/>
      <c r="AZ12" s="28"/>
      <c r="BA12" s="2173"/>
      <c r="BB12" s="24" t="str">
        <f>I11</f>
        <v>底商</v>
      </c>
      <c r="BC12" s="2186" t="str">
        <f>K11</f>
        <v>办公楼</v>
      </c>
      <c r="BD12" s="2186" t="str">
        <f>M11</f>
        <v>车库</v>
      </c>
      <c r="BE12" s="2161" t="str">
        <f>O11</f>
        <v>酒店</v>
      </c>
      <c r="BF12" s="2161">
        <f>Q11</f>
        <v>0</v>
      </c>
      <c r="BG12" s="2161">
        <f>S11</f>
        <v>0</v>
      </c>
      <c r="BH12" s="2161">
        <f>U11</f>
        <v>0</v>
      </c>
      <c r="BI12" s="2161">
        <f>W11</f>
        <v>0</v>
      </c>
      <c r="BJ12" s="2161">
        <f>Y11</f>
        <v>0</v>
      </c>
      <c r="BK12" s="2161">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0">
        <f>AR11</f>
        <v>0</v>
      </c>
    </row>
    <row r="13" spans="1:72" s="2141" customFormat="1" ht="12.75">
      <c r="A13" s="1254"/>
      <c r="B13" s="1254"/>
      <c r="C13" s="3000" t="s">
        <v>3664</v>
      </c>
      <c r="D13" s="2187" t="s">
        <v>3042</v>
      </c>
      <c r="E13" s="16">
        <f>IF($C$3="是",ROUND($A$3*G13/$B$3,2),ROUND($A$3*(G13-AT13)/$B$3,2))</f>
        <v>15134.65</v>
      </c>
      <c r="F13" s="32"/>
      <c r="G13" s="33">
        <f>H13+AC13+AT13</f>
        <v>24348.570000000003</v>
      </c>
      <c r="H13" s="20">
        <f>SUMIF(I$12:AB$12,"总值",I13:AB13)</f>
        <v>24348.570000000003</v>
      </c>
      <c r="I13" s="2952">
        <v>24348.570000000003</v>
      </c>
      <c r="J13" s="2952"/>
      <c r="K13" s="2952"/>
      <c r="L13" s="2952"/>
      <c r="M13" s="2952"/>
      <c r="N13" s="2952"/>
      <c r="O13" s="2188"/>
      <c r="P13" s="2188"/>
      <c r="Q13" s="2188"/>
      <c r="R13" s="2188"/>
      <c r="S13" s="2188"/>
      <c r="T13" s="2188"/>
      <c r="U13" s="2188"/>
      <c r="V13" s="2188"/>
      <c r="W13" s="2188"/>
      <c r="X13" s="2188"/>
      <c r="Y13" s="2188"/>
      <c r="Z13" s="2188"/>
      <c r="AA13" s="2188"/>
      <c r="AB13" s="2188"/>
      <c r="AC13" s="16">
        <f>SUMIF(AD$12:AS$12,"总值",AD13:AS13)</f>
        <v>0</v>
      </c>
      <c r="AD13" s="2189"/>
      <c r="AE13" s="2189"/>
      <c r="AF13" s="2189"/>
      <c r="AG13" s="2189"/>
      <c r="AH13" s="2189"/>
      <c r="AI13" s="2189"/>
      <c r="AJ13" s="2189"/>
      <c r="AK13" s="2189"/>
      <c r="AL13" s="2189"/>
      <c r="AM13" s="2189"/>
      <c r="AN13" s="2189"/>
      <c r="AO13" s="2189"/>
      <c r="AP13" s="2189"/>
      <c r="AQ13" s="2189"/>
      <c r="AR13" s="2189"/>
      <c r="AS13" s="2189"/>
      <c r="AT13" s="2190"/>
      <c r="AU13" s="2191"/>
      <c r="AV13" s="11">
        <f t="shared" ref="AV13:AX17" si="6">A13</f>
        <v>0</v>
      </c>
      <c r="AW13" s="11">
        <f t="shared" si="6"/>
        <v>0</v>
      </c>
      <c r="AX13" s="11" t="str">
        <f t="shared" si="6"/>
        <v>商业二层</v>
      </c>
      <c r="AY13" s="1786">
        <f>ROUND($AY$6*AZ13/$AZ$5,2)</f>
        <v>15134.65</v>
      </c>
      <c r="AZ13" s="16">
        <f>BA13+BL13</f>
        <v>24348.570000000003</v>
      </c>
      <c r="BA13" s="16">
        <f>SUM(BB13:BK13)</f>
        <v>24348.570000000003</v>
      </c>
      <c r="BB13" s="16">
        <f>IF($D13="是",I13-J13,0)</f>
        <v>24348.570000000003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1" customFormat="1" ht="12.75">
      <c r="A14" s="1254"/>
      <c r="B14" s="1254"/>
      <c r="C14" s="3000" t="s">
        <v>3662</v>
      </c>
      <c r="D14" s="2187" t="s">
        <v>3095</v>
      </c>
      <c r="E14" s="16">
        <f>IF($C$3="是",ROUND($A$3*G14/$B$3,2),ROUND($A$3*(G14-AT14)/$B$3,2))</f>
        <v>75465.350000000006</v>
      </c>
      <c r="F14" s="32"/>
      <c r="G14" s="33">
        <f>H14+AC14+AT14</f>
        <v>121408.41</v>
      </c>
      <c r="H14" s="20">
        <f>SUMIF(I$12:AB$12,"总值",I14:AB14)</f>
        <v>121408.41</v>
      </c>
      <c r="I14" s="2952">
        <f>145756.98-I13</f>
        <v>121408.41</v>
      </c>
      <c r="J14" s="2952"/>
      <c r="K14" s="2952"/>
      <c r="L14" s="2952"/>
      <c r="M14" s="2952"/>
      <c r="N14" s="2952"/>
      <c r="O14" s="2188"/>
      <c r="P14" s="2188"/>
      <c r="Q14" s="2188"/>
      <c r="R14" s="2188"/>
      <c r="S14" s="2188"/>
      <c r="T14" s="2188"/>
      <c r="U14" s="2188"/>
      <c r="V14" s="2188"/>
      <c r="W14" s="2188"/>
      <c r="X14" s="2188"/>
      <c r="Y14" s="2188"/>
      <c r="Z14" s="2188"/>
      <c r="AA14" s="2188"/>
      <c r="AB14" s="2188"/>
      <c r="AC14" s="16">
        <f>SUMIF(AD$12:AS$12,"总值",AD14:AS14)</f>
        <v>0</v>
      </c>
      <c r="AD14" s="2189"/>
      <c r="AE14" s="2189"/>
      <c r="AF14" s="2189"/>
      <c r="AG14" s="2189"/>
      <c r="AH14" s="2189"/>
      <c r="AI14" s="2189"/>
      <c r="AJ14" s="2189"/>
      <c r="AK14" s="2189"/>
      <c r="AL14" s="2189"/>
      <c r="AM14" s="2189"/>
      <c r="AN14" s="2189"/>
      <c r="AO14" s="2189"/>
      <c r="AP14" s="2189"/>
      <c r="AQ14" s="2189"/>
      <c r="AR14" s="2189"/>
      <c r="AS14" s="2189"/>
      <c r="AT14" s="2190"/>
      <c r="AU14" s="2191"/>
      <c r="AV14" s="11">
        <f t="shared" si="6"/>
        <v>0</v>
      </c>
      <c r="AW14" s="11">
        <f t="shared" si="6"/>
        <v>0</v>
      </c>
      <c r="AX14" s="11" t="str">
        <f t="shared" si="6"/>
        <v>其他</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1" customFormat="1" ht="12.75">
      <c r="A15" s="1254"/>
      <c r="B15" s="1254"/>
      <c r="C15" s="3000"/>
      <c r="D15" s="2187" t="s">
        <v>3095</v>
      </c>
      <c r="E15" s="16">
        <f>IF($C$3="是",ROUND($A$3*G15/$B$3,2),ROUND($A$3*(G15-AT15)/$B$3,2))</f>
        <v>0</v>
      </c>
      <c r="F15" s="32"/>
      <c r="G15" s="33">
        <f>H15+AC15+AT15</f>
        <v>0</v>
      </c>
      <c r="H15" s="20">
        <f>SUMIF(I$12:AB$12,"总值",I15:AB15)</f>
        <v>0</v>
      </c>
      <c r="I15" s="2952"/>
      <c r="J15" s="2952"/>
      <c r="K15" s="2952"/>
      <c r="L15" s="2952"/>
      <c r="M15" s="2952"/>
      <c r="N15" s="2952"/>
      <c r="O15" s="2188"/>
      <c r="P15" s="2188"/>
      <c r="Q15" s="2188"/>
      <c r="R15" s="2188"/>
      <c r="S15" s="2188"/>
      <c r="T15" s="2188"/>
      <c r="U15" s="2188"/>
      <c r="V15" s="2188"/>
      <c r="W15" s="2188"/>
      <c r="X15" s="2188"/>
      <c r="Y15" s="2188"/>
      <c r="Z15" s="2188"/>
      <c r="AA15" s="2188"/>
      <c r="AB15" s="2188"/>
      <c r="AC15" s="16">
        <f>SUMIF(AD$12:AS$12,"总值",AD15:AS15)</f>
        <v>0</v>
      </c>
      <c r="AD15" s="2189"/>
      <c r="AE15" s="2189"/>
      <c r="AF15" s="2189"/>
      <c r="AG15" s="2189"/>
      <c r="AH15" s="2189"/>
      <c r="AI15" s="2189"/>
      <c r="AJ15" s="2189"/>
      <c r="AK15" s="2189"/>
      <c r="AL15" s="2189"/>
      <c r="AM15" s="2189"/>
      <c r="AN15" s="2189"/>
      <c r="AO15" s="2189"/>
      <c r="AP15" s="2189"/>
      <c r="AQ15" s="2189"/>
      <c r="AR15" s="2189"/>
      <c r="AS15" s="2189"/>
      <c r="AT15" s="2190"/>
      <c r="AU15" s="2191"/>
      <c r="AV15" s="11">
        <f t="shared" si="6"/>
        <v>0</v>
      </c>
      <c r="AW15" s="11">
        <f t="shared" si="6"/>
        <v>0</v>
      </c>
      <c r="AX15" s="11">
        <f t="shared" si="6"/>
        <v>0</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1" customFormat="1" ht="12.75">
      <c r="A16" s="1254"/>
      <c r="B16" s="1254"/>
      <c r="C16" s="3000"/>
      <c r="D16" s="2187" t="s">
        <v>3095</v>
      </c>
      <c r="E16" s="16">
        <f>IF($C$3="是",ROUND($A$3*G16/$B$3,2),ROUND($A$3*(G16-AT16)/$B$3,2))</f>
        <v>0</v>
      </c>
      <c r="F16" s="32"/>
      <c r="G16" s="33">
        <f>H16+AC16+AT16</f>
        <v>0</v>
      </c>
      <c r="H16" s="20">
        <f>SUMIF(I$12:AB$12,"总值",I16:AB16)</f>
        <v>0</v>
      </c>
      <c r="I16" s="2952"/>
      <c r="J16" s="2952"/>
      <c r="K16" s="2952"/>
      <c r="L16" s="2952"/>
      <c r="M16" s="2952"/>
      <c r="N16" s="2952"/>
      <c r="O16" s="2188"/>
      <c r="P16" s="2188"/>
      <c r="Q16" s="2188"/>
      <c r="R16" s="2188"/>
      <c r="S16" s="2188"/>
      <c r="T16" s="2188"/>
      <c r="U16" s="2188"/>
      <c r="V16" s="2188"/>
      <c r="W16" s="2188"/>
      <c r="X16" s="2188"/>
      <c r="Y16" s="2188"/>
      <c r="Z16" s="2188"/>
      <c r="AA16" s="2188"/>
      <c r="AB16" s="2188"/>
      <c r="AC16" s="16">
        <f>SUMIF(AD$12:AS$12,"总值",AD16:AS16)</f>
        <v>0</v>
      </c>
      <c r="AD16" s="2189"/>
      <c r="AE16" s="2189"/>
      <c r="AF16" s="2189"/>
      <c r="AG16" s="2189"/>
      <c r="AH16" s="2189"/>
      <c r="AI16" s="2189"/>
      <c r="AJ16" s="2189"/>
      <c r="AK16" s="2189"/>
      <c r="AL16" s="2189"/>
      <c r="AM16" s="2189"/>
      <c r="AN16" s="2189"/>
      <c r="AO16" s="2189"/>
      <c r="AP16" s="2189"/>
      <c r="AQ16" s="2189"/>
      <c r="AR16" s="2189"/>
      <c r="AS16" s="2189"/>
      <c r="AT16" s="2190"/>
      <c r="AU16" s="2191"/>
      <c r="AV16" s="11">
        <f t="shared" si="6"/>
        <v>0</v>
      </c>
      <c r="AW16" s="11">
        <f t="shared" si="6"/>
        <v>0</v>
      </c>
      <c r="AX16" s="11">
        <f t="shared" si="6"/>
        <v>0</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1" customFormat="1" ht="12.75">
      <c r="A17" s="1254"/>
      <c r="B17" s="1254"/>
      <c r="C17" s="3000"/>
      <c r="D17" s="2187" t="s">
        <v>3095</v>
      </c>
      <c r="E17" s="16">
        <f>IF($C$3="是",ROUND($A$3*G17/$B$3,2),ROUND($A$3*(G17-AT17)/$B$3,2))</f>
        <v>0</v>
      </c>
      <c r="F17" s="32"/>
      <c r="G17" s="33">
        <f>H17+AC17+AT17</f>
        <v>0</v>
      </c>
      <c r="H17" s="20">
        <f>SUMIF(I$12:AB$12,"总值",I17:AB17)</f>
        <v>0</v>
      </c>
      <c r="I17" s="2952"/>
      <c r="J17" s="2952"/>
      <c r="K17" s="2952"/>
      <c r="L17" s="2952"/>
      <c r="M17" s="2952"/>
      <c r="N17" s="2952"/>
      <c r="O17" s="2188"/>
      <c r="P17" s="2188"/>
      <c r="Q17" s="2188"/>
      <c r="R17" s="2188"/>
      <c r="S17" s="2188"/>
      <c r="T17" s="2188"/>
      <c r="U17" s="2188"/>
      <c r="V17" s="2188"/>
      <c r="W17" s="2188"/>
      <c r="X17" s="2188"/>
      <c r="Y17" s="2188"/>
      <c r="Z17" s="2188"/>
      <c r="AA17" s="2188"/>
      <c r="AB17" s="2188"/>
      <c r="AC17" s="16">
        <f>SUMIF(AD$12:AS$12,"总值",AD17:AS17)</f>
        <v>0</v>
      </c>
      <c r="AD17" s="2189"/>
      <c r="AE17" s="2189"/>
      <c r="AF17" s="2189"/>
      <c r="AG17" s="2189"/>
      <c r="AH17" s="2189"/>
      <c r="AI17" s="2189"/>
      <c r="AJ17" s="2189"/>
      <c r="AK17" s="2189"/>
      <c r="AL17" s="2189"/>
      <c r="AM17" s="2189"/>
      <c r="AN17" s="2189"/>
      <c r="AO17" s="2189"/>
      <c r="AP17" s="2189"/>
      <c r="AQ17" s="2189"/>
      <c r="AR17" s="2189"/>
      <c r="AS17" s="2189"/>
      <c r="AT17" s="2190"/>
      <c r="AU17" s="2191"/>
      <c r="AV17" s="11">
        <f t="shared" si="6"/>
        <v>0</v>
      </c>
      <c r="AW17" s="11">
        <f t="shared" si="6"/>
        <v>0</v>
      </c>
      <c r="AX17" s="11">
        <f t="shared" si="6"/>
        <v>0</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7" t="s">
        <v>3095</v>
      </c>
      <c r="E18" s="35">
        <f t="shared" ref="E18:E112" si="7">IF($C$3="是",ROUND($A$3*G18/$B$3,2),ROUND($A$3*(G18-AT18)/$B$3,2))</f>
        <v>0</v>
      </c>
      <c r="F18" s="36"/>
      <c r="G18" s="37">
        <f t="shared" ref="G18:G109" si="8">H18+AC18+AT18</f>
        <v>0</v>
      </c>
      <c r="H18" s="38">
        <f t="shared" ref="H18:H109" si="9">SUMIF(I$12:AB$12,"总值",I18:AB18)</f>
        <v>0</v>
      </c>
      <c r="I18" s="2952"/>
      <c r="J18" s="2952"/>
      <c r="K18" s="2952"/>
      <c r="L18" s="2952"/>
      <c r="M18" s="2952"/>
      <c r="N18" s="2952"/>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3"/>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7" t="s">
        <v>3095</v>
      </c>
      <c r="E19" s="35">
        <f t="shared" si="7"/>
        <v>0</v>
      </c>
      <c r="F19" s="36"/>
      <c r="G19" s="37">
        <f t="shared" si="8"/>
        <v>0</v>
      </c>
      <c r="H19" s="38">
        <f t="shared" si="9"/>
        <v>0</v>
      </c>
      <c r="I19" s="2952"/>
      <c r="J19" s="2952"/>
      <c r="K19" s="2952"/>
      <c r="L19" s="2952"/>
      <c r="M19" s="2952"/>
      <c r="N19" s="2952"/>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3"/>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7" t="s">
        <v>3095</v>
      </c>
      <c r="E20" s="35">
        <f t="shared" si="7"/>
        <v>0</v>
      </c>
      <c r="F20" s="36"/>
      <c r="G20" s="37">
        <f t="shared" si="8"/>
        <v>0</v>
      </c>
      <c r="H20" s="38">
        <f t="shared" si="9"/>
        <v>0</v>
      </c>
      <c r="I20" s="2952"/>
      <c r="J20" s="2952"/>
      <c r="K20" s="2952"/>
      <c r="L20" s="2952"/>
      <c r="M20" s="2952"/>
      <c r="N20" s="2952"/>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3"/>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7" t="s">
        <v>3095</v>
      </c>
      <c r="E21" s="35">
        <f t="shared" si="7"/>
        <v>0</v>
      </c>
      <c r="F21" s="36"/>
      <c r="G21" s="37">
        <f t="shared" si="8"/>
        <v>0</v>
      </c>
      <c r="H21" s="38">
        <f t="shared" si="9"/>
        <v>0</v>
      </c>
      <c r="I21" s="2952"/>
      <c r="J21" s="2952"/>
      <c r="K21" s="2952"/>
      <c r="L21" s="2952"/>
      <c r="M21" s="2952"/>
      <c r="N21" s="2952"/>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3"/>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7" t="s">
        <v>3095</v>
      </c>
      <c r="E22" s="35">
        <f t="shared" si="7"/>
        <v>0</v>
      </c>
      <c r="F22" s="36"/>
      <c r="G22" s="37">
        <f t="shared" si="8"/>
        <v>0</v>
      </c>
      <c r="H22" s="38">
        <f t="shared" si="9"/>
        <v>0</v>
      </c>
      <c r="I22" s="2952"/>
      <c r="J22" s="2952"/>
      <c r="K22" s="2952"/>
      <c r="L22" s="2952"/>
      <c r="M22" s="2952"/>
      <c r="N22" s="2952"/>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3"/>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7" t="s">
        <v>3095</v>
      </c>
      <c r="E23" s="35">
        <f t="shared" si="7"/>
        <v>0</v>
      </c>
      <c r="F23" s="36"/>
      <c r="G23" s="37">
        <f t="shared" si="8"/>
        <v>0</v>
      </c>
      <c r="H23" s="38">
        <f t="shared" si="9"/>
        <v>0</v>
      </c>
      <c r="I23" s="2952"/>
      <c r="J23" s="2952"/>
      <c r="K23" s="2952"/>
      <c r="L23" s="2952"/>
      <c r="M23" s="2952"/>
      <c r="N23" s="2952"/>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3"/>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7" t="s">
        <v>3095</v>
      </c>
      <c r="E24" s="35">
        <f t="shared" si="7"/>
        <v>0</v>
      </c>
      <c r="F24" s="36"/>
      <c r="G24" s="37">
        <f t="shared" si="8"/>
        <v>0</v>
      </c>
      <c r="H24" s="38">
        <f t="shared" si="9"/>
        <v>0</v>
      </c>
      <c r="I24" s="2952"/>
      <c r="J24" s="2952"/>
      <c r="K24" s="2952"/>
      <c r="L24" s="2952"/>
      <c r="M24" s="2952"/>
      <c r="N24" s="2952"/>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3"/>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7" t="s">
        <v>3095</v>
      </c>
      <c r="E25" s="35">
        <f t="shared" si="7"/>
        <v>0</v>
      </c>
      <c r="F25" s="36"/>
      <c r="G25" s="37">
        <f t="shared" si="8"/>
        <v>0</v>
      </c>
      <c r="H25" s="38">
        <f t="shared" si="9"/>
        <v>0</v>
      </c>
      <c r="I25" s="39"/>
      <c r="J25" s="2952"/>
      <c r="K25" s="2952"/>
      <c r="L25" s="2952"/>
      <c r="M25" s="2952"/>
      <c r="N25" s="2952"/>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3"/>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7" t="s">
        <v>3095</v>
      </c>
      <c r="E26" s="35">
        <f t="shared" si="7"/>
        <v>0</v>
      </c>
      <c r="F26" s="36"/>
      <c r="G26" s="37">
        <f t="shared" si="8"/>
        <v>0</v>
      </c>
      <c r="H26" s="38">
        <f t="shared" si="9"/>
        <v>0</v>
      </c>
      <c r="I26" s="39"/>
      <c r="J26" s="2952"/>
      <c r="K26" s="2952"/>
      <c r="L26" s="2952"/>
      <c r="M26" s="2952"/>
      <c r="N26" s="2952"/>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3"/>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7" t="s">
        <v>3095</v>
      </c>
      <c r="E27" s="35">
        <f t="shared" si="7"/>
        <v>0</v>
      </c>
      <c r="F27" s="36"/>
      <c r="G27" s="37">
        <f t="shared" si="8"/>
        <v>0</v>
      </c>
      <c r="H27" s="38">
        <f t="shared" si="9"/>
        <v>0</v>
      </c>
      <c r="I27" s="39"/>
      <c r="J27" s="2952"/>
      <c r="K27" s="2952"/>
      <c r="L27" s="2952"/>
      <c r="M27" s="2952"/>
      <c r="N27" s="2952"/>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3"/>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7" t="s">
        <v>3095</v>
      </c>
      <c r="E28" s="35">
        <f t="shared" si="7"/>
        <v>0</v>
      </c>
      <c r="F28" s="36"/>
      <c r="G28" s="37">
        <f t="shared" si="8"/>
        <v>0</v>
      </c>
      <c r="H28" s="38">
        <f t="shared" si="9"/>
        <v>0</v>
      </c>
      <c r="I28" s="39"/>
      <c r="J28" s="2952"/>
      <c r="K28" s="2952"/>
      <c r="L28" s="2952"/>
      <c r="M28" s="2952"/>
      <c r="N28" s="2952"/>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3"/>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7" t="s">
        <v>3095</v>
      </c>
      <c r="E29" s="35">
        <f t="shared" si="7"/>
        <v>0</v>
      </c>
      <c r="F29" s="36"/>
      <c r="G29" s="37">
        <f t="shared" si="8"/>
        <v>0</v>
      </c>
      <c r="H29" s="38">
        <f t="shared" si="9"/>
        <v>0</v>
      </c>
      <c r="I29" s="39"/>
      <c r="J29" s="2952"/>
      <c r="K29" s="2952"/>
      <c r="L29" s="2952"/>
      <c r="M29" s="2952"/>
      <c r="N29" s="2952"/>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3"/>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7" t="s">
        <v>3095</v>
      </c>
      <c r="E30" s="35">
        <f t="shared" si="7"/>
        <v>0</v>
      </c>
      <c r="F30" s="36"/>
      <c r="G30" s="37">
        <f t="shared" si="8"/>
        <v>0</v>
      </c>
      <c r="H30" s="38">
        <f t="shared" si="9"/>
        <v>0</v>
      </c>
      <c r="I30" s="39"/>
      <c r="J30" s="2952"/>
      <c r="K30" s="2952"/>
      <c r="L30" s="2952"/>
      <c r="M30" s="2952"/>
      <c r="N30" s="2952"/>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3"/>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7" t="s">
        <v>3095</v>
      </c>
      <c r="E31" s="35">
        <f t="shared" si="7"/>
        <v>0</v>
      </c>
      <c r="F31" s="36"/>
      <c r="G31" s="37">
        <f t="shared" si="8"/>
        <v>0</v>
      </c>
      <c r="H31" s="38">
        <f t="shared" si="9"/>
        <v>0</v>
      </c>
      <c r="I31" s="39"/>
      <c r="J31" s="2952"/>
      <c r="K31" s="2952"/>
      <c r="L31" s="2952"/>
      <c r="M31" s="2952"/>
      <c r="N31" s="2952"/>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3"/>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7" t="s">
        <v>3095</v>
      </c>
      <c r="E32" s="35">
        <f t="shared" si="7"/>
        <v>0</v>
      </c>
      <c r="F32" s="36"/>
      <c r="G32" s="37">
        <f t="shared" si="8"/>
        <v>0</v>
      </c>
      <c r="H32" s="38">
        <f t="shared" si="9"/>
        <v>0</v>
      </c>
      <c r="I32" s="39"/>
      <c r="J32" s="2952"/>
      <c r="K32" s="2952"/>
      <c r="L32" s="2952"/>
      <c r="M32" s="2952"/>
      <c r="N32" s="2952"/>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3"/>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7" t="s">
        <v>3095</v>
      </c>
      <c r="E33" s="35">
        <f t="shared" si="7"/>
        <v>0</v>
      </c>
      <c r="F33" s="36"/>
      <c r="G33" s="37">
        <f t="shared" si="8"/>
        <v>0</v>
      </c>
      <c r="H33" s="38">
        <f t="shared" si="9"/>
        <v>0</v>
      </c>
      <c r="I33" s="39"/>
      <c r="J33" s="2952"/>
      <c r="K33" s="2952"/>
      <c r="L33" s="2952"/>
      <c r="M33" s="2952"/>
      <c r="N33" s="2952"/>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3"/>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7" t="s">
        <v>3095</v>
      </c>
      <c r="E34" s="35">
        <f t="shared" si="7"/>
        <v>0</v>
      </c>
      <c r="F34" s="36"/>
      <c r="G34" s="37">
        <f t="shared" si="8"/>
        <v>0</v>
      </c>
      <c r="H34" s="38">
        <f t="shared" si="9"/>
        <v>0</v>
      </c>
      <c r="I34" s="39"/>
      <c r="J34" s="2952"/>
      <c r="K34" s="2952"/>
      <c r="L34" s="2952"/>
      <c r="M34" s="2952"/>
      <c r="N34" s="2952"/>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3"/>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t="s">
        <v>3095</v>
      </c>
      <c r="E35" s="35">
        <f t="shared" si="7"/>
        <v>0</v>
      </c>
      <c r="F35" s="36"/>
      <c r="G35" s="37">
        <f t="shared" si="8"/>
        <v>0</v>
      </c>
      <c r="H35" s="38">
        <f t="shared" si="9"/>
        <v>0</v>
      </c>
      <c r="I35" s="39"/>
      <c r="J35" s="2952"/>
      <c r="K35" s="2952"/>
      <c r="L35" s="2952"/>
      <c r="M35" s="2952"/>
      <c r="N35" s="2952"/>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3"/>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t="s">
        <v>3095</v>
      </c>
      <c r="E36" s="35">
        <f t="shared" si="7"/>
        <v>0</v>
      </c>
      <c r="F36" s="36"/>
      <c r="G36" s="37">
        <f t="shared" si="8"/>
        <v>0</v>
      </c>
      <c r="H36" s="38">
        <f t="shared" si="9"/>
        <v>0</v>
      </c>
      <c r="I36" s="39"/>
      <c r="J36" s="2952"/>
      <c r="K36" s="2952"/>
      <c r="L36" s="2952"/>
      <c r="M36" s="2952"/>
      <c r="N36" s="2952"/>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3"/>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t="s">
        <v>3095</v>
      </c>
      <c r="E37" s="35">
        <f t="shared" si="7"/>
        <v>0</v>
      </c>
      <c r="F37" s="36"/>
      <c r="G37" s="37">
        <f t="shared" si="8"/>
        <v>0</v>
      </c>
      <c r="H37" s="38">
        <f t="shared" si="9"/>
        <v>0</v>
      </c>
      <c r="I37" s="39"/>
      <c r="J37" s="2952"/>
      <c r="K37" s="2952"/>
      <c r="L37" s="2952"/>
      <c r="M37" s="2952"/>
      <c r="N37" s="2952"/>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3"/>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t="s">
        <v>3095</v>
      </c>
      <c r="E38" s="35">
        <f t="shared" si="7"/>
        <v>0</v>
      </c>
      <c r="F38" s="36"/>
      <c r="G38" s="37">
        <f t="shared" si="8"/>
        <v>0</v>
      </c>
      <c r="H38" s="38">
        <f t="shared" si="9"/>
        <v>0</v>
      </c>
      <c r="I38" s="39"/>
      <c r="J38" s="2952"/>
      <c r="K38" s="2952"/>
      <c r="L38" s="2952"/>
      <c r="M38" s="2952"/>
      <c r="N38" s="2952"/>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3"/>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t="s">
        <v>3095</v>
      </c>
      <c r="E39" s="35">
        <f t="shared" si="7"/>
        <v>0</v>
      </c>
      <c r="F39" s="36"/>
      <c r="G39" s="37">
        <f t="shared" si="8"/>
        <v>0</v>
      </c>
      <c r="H39" s="38">
        <f t="shared" si="9"/>
        <v>0</v>
      </c>
      <c r="I39" s="39"/>
      <c r="J39" s="2952"/>
      <c r="K39" s="2952"/>
      <c r="L39" s="2952"/>
      <c r="M39" s="2952"/>
      <c r="N39" s="2952"/>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3"/>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t="s">
        <v>3095</v>
      </c>
      <c r="E40" s="35">
        <f t="shared" si="7"/>
        <v>0</v>
      </c>
      <c r="F40" s="36"/>
      <c r="G40" s="37">
        <f t="shared" si="8"/>
        <v>0</v>
      </c>
      <c r="H40" s="38">
        <f t="shared" si="9"/>
        <v>0</v>
      </c>
      <c r="I40" s="39"/>
      <c r="J40" s="2952"/>
      <c r="K40" s="2952"/>
      <c r="L40" s="2952"/>
      <c r="M40" s="2952"/>
      <c r="N40" s="2952"/>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3"/>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t="s">
        <v>3095</v>
      </c>
      <c r="E41" s="35">
        <f t="shared" si="7"/>
        <v>0</v>
      </c>
      <c r="F41" s="36"/>
      <c r="G41" s="37">
        <f t="shared" si="8"/>
        <v>0</v>
      </c>
      <c r="H41" s="38">
        <f t="shared" si="9"/>
        <v>0</v>
      </c>
      <c r="I41" s="39"/>
      <c r="J41" s="2952"/>
      <c r="K41" s="2952"/>
      <c r="L41" s="2952"/>
      <c r="M41" s="2952"/>
      <c r="N41" s="2952"/>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3"/>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t="s">
        <v>3095</v>
      </c>
      <c r="E42" s="35">
        <f t="shared" si="7"/>
        <v>0</v>
      </c>
      <c r="F42" s="36"/>
      <c r="G42" s="37">
        <f t="shared" si="8"/>
        <v>0</v>
      </c>
      <c r="H42" s="38">
        <f t="shared" si="9"/>
        <v>0</v>
      </c>
      <c r="I42" s="39"/>
      <c r="J42" s="2952"/>
      <c r="K42" s="2952"/>
      <c r="L42" s="2952"/>
      <c r="M42" s="2952"/>
      <c r="N42" s="2952"/>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3"/>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t="s">
        <v>3095</v>
      </c>
      <c r="E43" s="35">
        <f t="shared" si="7"/>
        <v>0</v>
      </c>
      <c r="F43" s="36"/>
      <c r="G43" s="37">
        <f t="shared" si="8"/>
        <v>0</v>
      </c>
      <c r="H43" s="38">
        <f t="shared" si="9"/>
        <v>0</v>
      </c>
      <c r="I43" s="39"/>
      <c r="J43" s="2952"/>
      <c r="K43" s="2952"/>
      <c r="L43" s="2952"/>
      <c r="M43" s="2952"/>
      <c r="N43" s="2952"/>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3"/>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t="s">
        <v>3095</v>
      </c>
      <c r="E44" s="35">
        <f t="shared" si="7"/>
        <v>0</v>
      </c>
      <c r="F44" s="36"/>
      <c r="G44" s="37">
        <f t="shared" si="8"/>
        <v>0</v>
      </c>
      <c r="H44" s="38">
        <f t="shared" si="9"/>
        <v>0</v>
      </c>
      <c r="I44" s="39"/>
      <c r="J44" s="2952"/>
      <c r="K44" s="2952"/>
      <c r="L44" s="2952"/>
      <c r="M44" s="2952"/>
      <c r="N44" s="2952"/>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3"/>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t="s">
        <v>3095</v>
      </c>
      <c r="E45" s="35">
        <f t="shared" si="7"/>
        <v>0</v>
      </c>
      <c r="F45" s="36"/>
      <c r="G45" s="37">
        <f t="shared" si="8"/>
        <v>0</v>
      </c>
      <c r="H45" s="38">
        <f t="shared" si="9"/>
        <v>0</v>
      </c>
      <c r="I45" s="39"/>
      <c r="J45" s="2952"/>
      <c r="K45" s="2952"/>
      <c r="L45" s="2952"/>
      <c r="M45" s="2952"/>
      <c r="N45" s="2952"/>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3"/>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t="s">
        <v>3095</v>
      </c>
      <c r="E46" s="35">
        <f t="shared" si="7"/>
        <v>0</v>
      </c>
      <c r="F46" s="36"/>
      <c r="G46" s="37">
        <f t="shared" si="8"/>
        <v>0</v>
      </c>
      <c r="H46" s="38">
        <f t="shared" si="9"/>
        <v>0</v>
      </c>
      <c r="I46" s="39"/>
      <c r="J46" s="2952"/>
      <c r="K46" s="2952"/>
      <c r="L46" s="2952"/>
      <c r="M46" s="2952"/>
      <c r="N46" s="2952"/>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3"/>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t="s">
        <v>3095</v>
      </c>
      <c r="E47" s="35">
        <f t="shared" si="7"/>
        <v>0</v>
      </c>
      <c r="F47" s="36"/>
      <c r="G47" s="37">
        <f t="shared" si="8"/>
        <v>0</v>
      </c>
      <c r="H47" s="38">
        <f t="shared" si="9"/>
        <v>0</v>
      </c>
      <c r="I47" s="39"/>
      <c r="J47" s="2952"/>
      <c r="K47" s="2952"/>
      <c r="L47" s="2952"/>
      <c r="M47" s="2952"/>
      <c r="N47" s="2952"/>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3"/>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t="s">
        <v>3095</v>
      </c>
      <c r="E48" s="35">
        <f t="shared" si="7"/>
        <v>0</v>
      </c>
      <c r="F48" s="36"/>
      <c r="G48" s="37">
        <f t="shared" si="8"/>
        <v>0</v>
      </c>
      <c r="H48" s="38">
        <f t="shared" si="9"/>
        <v>0</v>
      </c>
      <c r="I48" s="39"/>
      <c r="J48" s="2952"/>
      <c r="K48" s="2952"/>
      <c r="L48" s="2952"/>
      <c r="M48" s="2952"/>
      <c r="N48" s="2952"/>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3"/>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t="s">
        <v>3095</v>
      </c>
      <c r="E49" s="35">
        <f t="shared" si="7"/>
        <v>0</v>
      </c>
      <c r="F49" s="36"/>
      <c r="G49" s="37">
        <f t="shared" si="8"/>
        <v>0</v>
      </c>
      <c r="H49" s="38">
        <f t="shared" si="9"/>
        <v>0</v>
      </c>
      <c r="I49" s="39"/>
      <c r="J49" s="2952"/>
      <c r="K49" s="2952"/>
      <c r="L49" s="2952"/>
      <c r="M49" s="2952"/>
      <c r="N49" s="2952"/>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3"/>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t="s">
        <v>3095</v>
      </c>
      <c r="E50" s="35">
        <f t="shared" si="7"/>
        <v>0</v>
      </c>
      <c r="F50" s="36"/>
      <c r="G50" s="37">
        <f t="shared" si="8"/>
        <v>0</v>
      </c>
      <c r="H50" s="38">
        <f t="shared" si="9"/>
        <v>0</v>
      </c>
      <c r="I50" s="39"/>
      <c r="J50" s="2952"/>
      <c r="K50" s="2952"/>
      <c r="L50" s="2952"/>
      <c r="M50" s="2952"/>
      <c r="N50" s="2952"/>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3"/>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t="s">
        <v>3095</v>
      </c>
      <c r="E51" s="35">
        <f t="shared" si="7"/>
        <v>0</v>
      </c>
      <c r="F51" s="36"/>
      <c r="G51" s="37">
        <f t="shared" si="8"/>
        <v>0</v>
      </c>
      <c r="H51" s="38">
        <f t="shared" si="9"/>
        <v>0</v>
      </c>
      <c r="I51" s="39"/>
      <c r="J51" s="2952"/>
      <c r="K51" s="2952"/>
      <c r="L51" s="2952"/>
      <c r="M51" s="2952"/>
      <c r="N51" s="2952"/>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3"/>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t="s">
        <v>3095</v>
      </c>
      <c r="E52" s="35">
        <f t="shared" si="7"/>
        <v>0</v>
      </c>
      <c r="F52" s="36"/>
      <c r="G52" s="37">
        <f t="shared" si="8"/>
        <v>0</v>
      </c>
      <c r="H52" s="38">
        <f t="shared" si="9"/>
        <v>0</v>
      </c>
      <c r="I52" s="39"/>
      <c r="J52" s="2952"/>
      <c r="K52" s="2952"/>
      <c r="L52" s="2952"/>
      <c r="M52" s="2952"/>
      <c r="N52" s="2952"/>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3"/>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t="s">
        <v>3095</v>
      </c>
      <c r="E53" s="35">
        <f t="shared" si="7"/>
        <v>0</v>
      </c>
      <c r="F53" s="36"/>
      <c r="G53" s="37">
        <f t="shared" si="8"/>
        <v>0</v>
      </c>
      <c r="H53" s="38">
        <f t="shared" si="9"/>
        <v>0</v>
      </c>
      <c r="I53" s="39"/>
      <c r="J53" s="2952"/>
      <c r="K53" s="2952"/>
      <c r="L53" s="2952"/>
      <c r="M53" s="2952"/>
      <c r="N53" s="2952"/>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3"/>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t="s">
        <v>3095</v>
      </c>
      <c r="E54" s="35">
        <f t="shared" si="7"/>
        <v>0</v>
      </c>
      <c r="F54" s="36"/>
      <c r="G54" s="37">
        <f t="shared" si="8"/>
        <v>0</v>
      </c>
      <c r="H54" s="38">
        <f t="shared" si="9"/>
        <v>0</v>
      </c>
      <c r="I54" s="39"/>
      <c r="J54" s="2952"/>
      <c r="K54" s="2952"/>
      <c r="L54" s="2952"/>
      <c r="M54" s="2952"/>
      <c r="N54" s="2952"/>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3"/>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t="s">
        <v>3095</v>
      </c>
      <c r="E55" s="35">
        <f t="shared" si="7"/>
        <v>0</v>
      </c>
      <c r="F55" s="36"/>
      <c r="G55" s="37">
        <f t="shared" si="8"/>
        <v>0</v>
      </c>
      <c r="H55" s="38">
        <f t="shared" si="9"/>
        <v>0</v>
      </c>
      <c r="I55" s="39"/>
      <c r="J55" s="2952"/>
      <c r="K55" s="2952"/>
      <c r="L55" s="2952"/>
      <c r="M55" s="2952"/>
      <c r="N55" s="2952"/>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3"/>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t="s">
        <v>3095</v>
      </c>
      <c r="E56" s="35">
        <f t="shared" si="7"/>
        <v>0</v>
      </c>
      <c r="F56" s="36"/>
      <c r="G56" s="37">
        <f t="shared" si="8"/>
        <v>0</v>
      </c>
      <c r="H56" s="38">
        <f t="shared" si="9"/>
        <v>0</v>
      </c>
      <c r="I56" s="39"/>
      <c r="J56" s="2952"/>
      <c r="K56" s="2952"/>
      <c r="L56" s="2952"/>
      <c r="M56" s="2952"/>
      <c r="N56" s="2952"/>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3"/>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t="s">
        <v>3095</v>
      </c>
      <c r="E57" s="35">
        <f t="shared" si="7"/>
        <v>0</v>
      </c>
      <c r="F57" s="36"/>
      <c r="G57" s="37">
        <f t="shared" si="8"/>
        <v>0</v>
      </c>
      <c r="H57" s="38">
        <f t="shared" si="9"/>
        <v>0</v>
      </c>
      <c r="I57" s="39"/>
      <c r="J57" s="2952"/>
      <c r="K57" s="2952"/>
      <c r="L57" s="2952"/>
      <c r="M57" s="2952"/>
      <c r="N57" s="2952"/>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3"/>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t="s">
        <v>3095</v>
      </c>
      <c r="E58" s="35">
        <f t="shared" si="7"/>
        <v>0</v>
      </c>
      <c r="F58" s="36"/>
      <c r="G58" s="37">
        <f t="shared" si="8"/>
        <v>0</v>
      </c>
      <c r="H58" s="38">
        <f t="shared" si="9"/>
        <v>0</v>
      </c>
      <c r="I58" s="39"/>
      <c r="J58" s="2952"/>
      <c r="K58" s="2952"/>
      <c r="L58" s="2952"/>
      <c r="M58" s="2952"/>
      <c r="N58" s="2952"/>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3"/>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2"/>
      <c r="E59" s="35">
        <f t="shared" si="7"/>
        <v>0</v>
      </c>
      <c r="F59" s="36"/>
      <c r="G59" s="37">
        <f t="shared" si="8"/>
        <v>0</v>
      </c>
      <c r="H59" s="38">
        <f t="shared" si="9"/>
        <v>0</v>
      </c>
      <c r="I59" s="39"/>
      <c r="J59" s="2952"/>
      <c r="K59" s="2952"/>
      <c r="L59" s="2952"/>
      <c r="M59" s="2952"/>
      <c r="N59" s="2952"/>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3"/>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2"/>
      <c r="E60" s="35">
        <f t="shared" si="7"/>
        <v>0</v>
      </c>
      <c r="F60" s="36"/>
      <c r="G60" s="37">
        <f t="shared" si="8"/>
        <v>0</v>
      </c>
      <c r="H60" s="38">
        <f t="shared" si="9"/>
        <v>0</v>
      </c>
      <c r="I60" s="39"/>
      <c r="J60" s="2952"/>
      <c r="K60" s="2952"/>
      <c r="L60" s="2952"/>
      <c r="M60" s="2952"/>
      <c r="N60" s="2952"/>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3"/>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2"/>
      <c r="E61" s="35">
        <f t="shared" si="7"/>
        <v>0</v>
      </c>
      <c r="F61" s="36"/>
      <c r="G61" s="37">
        <f t="shared" si="8"/>
        <v>0</v>
      </c>
      <c r="H61" s="38">
        <f t="shared" si="9"/>
        <v>0</v>
      </c>
      <c r="I61" s="39"/>
      <c r="J61" s="2952"/>
      <c r="K61" s="2952"/>
      <c r="L61" s="2952"/>
      <c r="M61" s="2952"/>
      <c r="N61" s="2952"/>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3"/>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2"/>
      <c r="E62" s="35">
        <f t="shared" si="7"/>
        <v>0</v>
      </c>
      <c r="F62" s="36"/>
      <c r="G62" s="37">
        <f t="shared" si="8"/>
        <v>0</v>
      </c>
      <c r="H62" s="38">
        <f t="shared" si="9"/>
        <v>0</v>
      </c>
      <c r="I62" s="39"/>
      <c r="J62" s="2952"/>
      <c r="K62" s="2952"/>
      <c r="L62" s="2952"/>
      <c r="M62" s="2952"/>
      <c r="N62" s="2952"/>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3"/>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2"/>
      <c r="E63" s="35">
        <f t="shared" si="7"/>
        <v>0</v>
      </c>
      <c r="F63" s="36"/>
      <c r="G63" s="37">
        <f t="shared" si="8"/>
        <v>0</v>
      </c>
      <c r="H63" s="38">
        <f t="shared" si="9"/>
        <v>0</v>
      </c>
      <c r="I63" s="39"/>
      <c r="J63" s="2952"/>
      <c r="K63" s="2952"/>
      <c r="L63" s="2952"/>
      <c r="M63" s="2952"/>
      <c r="N63" s="2952"/>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3"/>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2"/>
      <c r="E64" s="35">
        <f t="shared" si="7"/>
        <v>0</v>
      </c>
      <c r="F64" s="36"/>
      <c r="G64" s="37">
        <f t="shared" si="8"/>
        <v>0</v>
      </c>
      <c r="H64" s="38">
        <f t="shared" si="9"/>
        <v>0</v>
      </c>
      <c r="I64" s="39"/>
      <c r="J64" s="2952"/>
      <c r="K64" s="2952"/>
      <c r="L64" s="2952"/>
      <c r="M64" s="2952"/>
      <c r="N64" s="2952"/>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3"/>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2"/>
      <c r="E65" s="35">
        <f t="shared" si="7"/>
        <v>0</v>
      </c>
      <c r="F65" s="36"/>
      <c r="G65" s="37">
        <f t="shared" si="8"/>
        <v>0</v>
      </c>
      <c r="H65" s="38">
        <f t="shared" si="9"/>
        <v>0</v>
      </c>
      <c r="I65" s="39"/>
      <c r="J65" s="2952"/>
      <c r="K65" s="2952"/>
      <c r="L65" s="2952"/>
      <c r="M65" s="2952"/>
      <c r="N65" s="2952"/>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3"/>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2"/>
      <c r="E66" s="35">
        <f t="shared" si="7"/>
        <v>0</v>
      </c>
      <c r="F66" s="36"/>
      <c r="G66" s="37">
        <f t="shared" si="8"/>
        <v>0</v>
      </c>
      <c r="H66" s="38">
        <f t="shared" si="9"/>
        <v>0</v>
      </c>
      <c r="I66" s="39"/>
      <c r="J66" s="2952"/>
      <c r="K66" s="2952"/>
      <c r="L66" s="2952"/>
      <c r="M66" s="2952"/>
      <c r="N66" s="2952"/>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3"/>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2"/>
      <c r="E67" s="35">
        <f t="shared" si="7"/>
        <v>0</v>
      </c>
      <c r="F67" s="36"/>
      <c r="G67" s="37">
        <f t="shared" si="8"/>
        <v>0</v>
      </c>
      <c r="H67" s="38">
        <f t="shared" si="9"/>
        <v>0</v>
      </c>
      <c r="I67" s="39"/>
      <c r="J67" s="2952"/>
      <c r="K67" s="2952"/>
      <c r="L67" s="2952"/>
      <c r="M67" s="2952"/>
      <c r="N67" s="2952"/>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3"/>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2"/>
      <c r="E68" s="35">
        <f t="shared" si="7"/>
        <v>0</v>
      </c>
      <c r="F68" s="36"/>
      <c r="G68" s="37">
        <f t="shared" si="8"/>
        <v>0</v>
      </c>
      <c r="H68" s="38">
        <f t="shared" si="9"/>
        <v>0</v>
      </c>
      <c r="I68" s="39"/>
      <c r="J68" s="2952"/>
      <c r="K68" s="2952"/>
      <c r="L68" s="2952"/>
      <c r="M68" s="2952"/>
      <c r="N68" s="2952"/>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3"/>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2"/>
      <c r="E69" s="35">
        <f t="shared" si="7"/>
        <v>0</v>
      </c>
      <c r="F69" s="36"/>
      <c r="G69" s="37">
        <f t="shared" si="8"/>
        <v>0</v>
      </c>
      <c r="H69" s="38">
        <f t="shared" si="9"/>
        <v>0</v>
      </c>
      <c r="I69" s="39"/>
      <c r="J69" s="2952"/>
      <c r="K69" s="2952"/>
      <c r="L69" s="2952"/>
      <c r="M69" s="2952"/>
      <c r="N69" s="2952"/>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3"/>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2"/>
      <c r="E70" s="35">
        <f t="shared" si="7"/>
        <v>0</v>
      </c>
      <c r="F70" s="36"/>
      <c r="G70" s="37">
        <f t="shared" si="8"/>
        <v>0</v>
      </c>
      <c r="H70" s="38">
        <f t="shared" si="9"/>
        <v>0</v>
      </c>
      <c r="I70" s="39"/>
      <c r="J70" s="2952"/>
      <c r="K70" s="2952"/>
      <c r="L70" s="2952"/>
      <c r="M70" s="2952"/>
      <c r="N70" s="2952"/>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3"/>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2"/>
      <c r="E71" s="35">
        <f t="shared" si="7"/>
        <v>0</v>
      </c>
      <c r="F71" s="36"/>
      <c r="G71" s="37">
        <f t="shared" si="8"/>
        <v>0</v>
      </c>
      <c r="H71" s="38">
        <f t="shared" si="9"/>
        <v>0</v>
      </c>
      <c r="I71" s="39"/>
      <c r="J71" s="2952"/>
      <c r="K71" s="2952"/>
      <c r="L71" s="2952"/>
      <c r="M71" s="2952"/>
      <c r="N71" s="2952"/>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3"/>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2"/>
      <c r="E72" s="35">
        <f t="shared" si="7"/>
        <v>0</v>
      </c>
      <c r="F72" s="36"/>
      <c r="G72" s="37">
        <f t="shared" si="8"/>
        <v>0</v>
      </c>
      <c r="H72" s="38">
        <f t="shared" si="9"/>
        <v>0</v>
      </c>
      <c r="I72" s="39"/>
      <c r="J72" s="2952"/>
      <c r="K72" s="2952"/>
      <c r="L72" s="2952"/>
      <c r="M72" s="2952"/>
      <c r="N72" s="2952"/>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3"/>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2"/>
      <c r="E73" s="35">
        <f t="shared" si="7"/>
        <v>0</v>
      </c>
      <c r="F73" s="36"/>
      <c r="G73" s="37">
        <f t="shared" si="8"/>
        <v>0</v>
      </c>
      <c r="H73" s="38">
        <f t="shared" si="9"/>
        <v>0</v>
      </c>
      <c r="I73" s="39"/>
      <c r="J73" s="2952"/>
      <c r="K73" s="2952"/>
      <c r="L73" s="2952"/>
      <c r="M73" s="2952"/>
      <c r="N73" s="2952"/>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3"/>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2"/>
      <c r="E74" s="35">
        <f t="shared" si="7"/>
        <v>0</v>
      </c>
      <c r="F74" s="36"/>
      <c r="G74" s="37">
        <f t="shared" si="8"/>
        <v>0</v>
      </c>
      <c r="H74" s="38">
        <f t="shared" si="9"/>
        <v>0</v>
      </c>
      <c r="I74" s="39"/>
      <c r="J74" s="2952"/>
      <c r="K74" s="2952"/>
      <c r="L74" s="2952"/>
      <c r="M74" s="2952"/>
      <c r="N74" s="2952"/>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3"/>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2"/>
      <c r="E75" s="35">
        <f t="shared" si="7"/>
        <v>0</v>
      </c>
      <c r="F75" s="36"/>
      <c r="G75" s="37">
        <f t="shared" si="8"/>
        <v>0</v>
      </c>
      <c r="H75" s="38">
        <f t="shared" si="9"/>
        <v>0</v>
      </c>
      <c r="I75" s="39"/>
      <c r="J75" s="2952"/>
      <c r="K75" s="2952"/>
      <c r="L75" s="2952"/>
      <c r="M75" s="2952"/>
      <c r="N75" s="2952"/>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3"/>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2"/>
      <c r="E76" s="35">
        <f t="shared" si="7"/>
        <v>0</v>
      </c>
      <c r="F76" s="36"/>
      <c r="G76" s="37">
        <f t="shared" si="8"/>
        <v>0</v>
      </c>
      <c r="H76" s="38">
        <f t="shared" si="9"/>
        <v>0</v>
      </c>
      <c r="I76" s="39"/>
      <c r="J76" s="2952"/>
      <c r="K76" s="2952"/>
      <c r="L76" s="2952"/>
      <c r="M76" s="2952"/>
      <c r="N76" s="2952"/>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3"/>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2"/>
      <c r="E77" s="35">
        <f t="shared" si="7"/>
        <v>0</v>
      </c>
      <c r="F77" s="36"/>
      <c r="G77" s="37">
        <f t="shared" si="8"/>
        <v>0</v>
      </c>
      <c r="H77" s="38">
        <f t="shared" si="9"/>
        <v>0</v>
      </c>
      <c r="I77" s="39"/>
      <c r="J77" s="2952"/>
      <c r="K77" s="2952"/>
      <c r="L77" s="2952"/>
      <c r="M77" s="2952"/>
      <c r="N77" s="2952"/>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3"/>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2"/>
      <c r="E78" s="35">
        <f t="shared" si="7"/>
        <v>0</v>
      </c>
      <c r="F78" s="36"/>
      <c r="G78" s="37">
        <f t="shared" si="8"/>
        <v>0</v>
      </c>
      <c r="H78" s="38">
        <f t="shared" si="9"/>
        <v>0</v>
      </c>
      <c r="I78" s="39"/>
      <c r="J78" s="2952"/>
      <c r="K78" s="2952"/>
      <c r="L78" s="2952"/>
      <c r="M78" s="2952"/>
      <c r="N78" s="2952"/>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3"/>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2"/>
      <c r="E79" s="35">
        <f t="shared" si="7"/>
        <v>0</v>
      </c>
      <c r="F79" s="36"/>
      <c r="G79" s="37">
        <f t="shared" si="8"/>
        <v>0</v>
      </c>
      <c r="H79" s="38">
        <f t="shared" si="9"/>
        <v>0</v>
      </c>
      <c r="I79" s="39"/>
      <c r="J79" s="2952"/>
      <c r="K79" s="2952"/>
      <c r="L79" s="2952"/>
      <c r="M79" s="2952"/>
      <c r="N79" s="2952"/>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3"/>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2"/>
      <c r="E80" s="35">
        <f t="shared" si="7"/>
        <v>0</v>
      </c>
      <c r="F80" s="36"/>
      <c r="G80" s="37">
        <f t="shared" si="8"/>
        <v>0</v>
      </c>
      <c r="H80" s="38">
        <f t="shared" si="9"/>
        <v>0</v>
      </c>
      <c r="I80" s="39"/>
      <c r="J80" s="2952"/>
      <c r="K80" s="2952"/>
      <c r="L80" s="2952"/>
      <c r="M80" s="2952"/>
      <c r="N80" s="2952"/>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3"/>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2"/>
      <c r="E81" s="35">
        <f t="shared" si="7"/>
        <v>0</v>
      </c>
      <c r="F81" s="36"/>
      <c r="G81" s="37">
        <f t="shared" si="8"/>
        <v>0</v>
      </c>
      <c r="H81" s="38">
        <f t="shared" si="9"/>
        <v>0</v>
      </c>
      <c r="I81" s="39"/>
      <c r="J81" s="2952"/>
      <c r="K81" s="2952"/>
      <c r="L81" s="2952"/>
      <c r="M81" s="2952"/>
      <c r="N81" s="2952"/>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3"/>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2"/>
      <c r="E82" s="35">
        <f t="shared" si="7"/>
        <v>0</v>
      </c>
      <c r="F82" s="36"/>
      <c r="G82" s="37">
        <f t="shared" si="8"/>
        <v>0</v>
      </c>
      <c r="H82" s="38">
        <f t="shared" si="9"/>
        <v>0</v>
      </c>
      <c r="I82" s="39"/>
      <c r="J82" s="2952"/>
      <c r="K82" s="2952"/>
      <c r="L82" s="2952"/>
      <c r="M82" s="2952"/>
      <c r="N82" s="2952"/>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3"/>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2"/>
      <c r="E83" s="35">
        <f t="shared" si="7"/>
        <v>0</v>
      </c>
      <c r="F83" s="36"/>
      <c r="G83" s="37">
        <f t="shared" si="8"/>
        <v>0</v>
      </c>
      <c r="H83" s="38">
        <f t="shared" si="9"/>
        <v>0</v>
      </c>
      <c r="I83" s="39"/>
      <c r="J83" s="2952"/>
      <c r="K83" s="2952"/>
      <c r="L83" s="2952"/>
      <c r="M83" s="2952"/>
      <c r="N83" s="2952"/>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3"/>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2"/>
      <c r="E84" s="35">
        <f t="shared" si="7"/>
        <v>0</v>
      </c>
      <c r="F84" s="36"/>
      <c r="G84" s="37">
        <f t="shared" si="8"/>
        <v>0</v>
      </c>
      <c r="H84" s="38">
        <f t="shared" si="9"/>
        <v>0</v>
      </c>
      <c r="I84" s="39"/>
      <c r="J84" s="2952"/>
      <c r="K84" s="2952"/>
      <c r="L84" s="2952"/>
      <c r="M84" s="2952"/>
      <c r="N84" s="2952"/>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3"/>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2"/>
      <c r="E85" s="35">
        <f t="shared" si="7"/>
        <v>0</v>
      </c>
      <c r="F85" s="36"/>
      <c r="G85" s="37">
        <f t="shared" si="8"/>
        <v>0</v>
      </c>
      <c r="H85" s="38">
        <f t="shared" si="9"/>
        <v>0</v>
      </c>
      <c r="I85" s="39"/>
      <c r="J85" s="2952"/>
      <c r="K85" s="2952"/>
      <c r="L85" s="2952"/>
      <c r="M85" s="2952"/>
      <c r="N85" s="2952"/>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3"/>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2"/>
      <c r="E86" s="35">
        <f t="shared" si="7"/>
        <v>0</v>
      </c>
      <c r="F86" s="36"/>
      <c r="G86" s="37">
        <f t="shared" si="8"/>
        <v>0</v>
      </c>
      <c r="H86" s="38">
        <f t="shared" si="9"/>
        <v>0</v>
      </c>
      <c r="I86" s="39"/>
      <c r="J86" s="2952"/>
      <c r="K86" s="2952"/>
      <c r="L86" s="2952"/>
      <c r="M86" s="2952"/>
      <c r="N86" s="2952"/>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3"/>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2"/>
      <c r="E87" s="35">
        <f t="shared" si="7"/>
        <v>0</v>
      </c>
      <c r="F87" s="36"/>
      <c r="G87" s="37">
        <f t="shared" si="8"/>
        <v>0</v>
      </c>
      <c r="H87" s="38">
        <f t="shared" si="9"/>
        <v>0</v>
      </c>
      <c r="I87" s="39"/>
      <c r="J87" s="2952"/>
      <c r="K87" s="2952"/>
      <c r="L87" s="2952"/>
      <c r="M87" s="2952"/>
      <c r="N87" s="2952"/>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3"/>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2"/>
      <c r="E88" s="35">
        <f t="shared" si="7"/>
        <v>0</v>
      </c>
      <c r="F88" s="36"/>
      <c r="G88" s="37">
        <f t="shared" si="8"/>
        <v>0</v>
      </c>
      <c r="H88" s="38">
        <f t="shared" si="9"/>
        <v>0</v>
      </c>
      <c r="I88" s="39"/>
      <c r="J88" s="2952"/>
      <c r="K88" s="2952"/>
      <c r="L88" s="2952"/>
      <c r="M88" s="2952"/>
      <c r="N88" s="2952"/>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3"/>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2"/>
      <c r="E89" s="35">
        <f t="shared" si="7"/>
        <v>0</v>
      </c>
      <c r="F89" s="36"/>
      <c r="G89" s="37">
        <f t="shared" si="8"/>
        <v>0</v>
      </c>
      <c r="H89" s="38">
        <f t="shared" si="9"/>
        <v>0</v>
      </c>
      <c r="I89" s="39"/>
      <c r="J89" s="2952"/>
      <c r="K89" s="2952"/>
      <c r="L89" s="2952"/>
      <c r="M89" s="2952"/>
      <c r="N89" s="2952"/>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3"/>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2"/>
      <c r="E90" s="35">
        <f t="shared" si="7"/>
        <v>0</v>
      </c>
      <c r="F90" s="36"/>
      <c r="G90" s="37">
        <f t="shared" si="8"/>
        <v>0</v>
      </c>
      <c r="H90" s="38">
        <f t="shared" si="9"/>
        <v>0</v>
      </c>
      <c r="I90" s="39"/>
      <c r="J90" s="2952"/>
      <c r="K90" s="2952"/>
      <c r="L90" s="2952"/>
      <c r="M90" s="2952"/>
      <c r="N90" s="2952"/>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3"/>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2"/>
      <c r="E91" s="35">
        <f t="shared" si="7"/>
        <v>0</v>
      </c>
      <c r="F91" s="36"/>
      <c r="G91" s="37">
        <f t="shared" si="8"/>
        <v>0</v>
      </c>
      <c r="H91" s="38">
        <f t="shared" si="9"/>
        <v>0</v>
      </c>
      <c r="I91" s="39"/>
      <c r="J91" s="2952"/>
      <c r="K91" s="2952"/>
      <c r="L91" s="2952"/>
      <c r="M91" s="2952"/>
      <c r="N91" s="2952"/>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3"/>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2"/>
      <c r="E92" s="35">
        <f t="shared" si="7"/>
        <v>0</v>
      </c>
      <c r="F92" s="36"/>
      <c r="G92" s="37">
        <f t="shared" si="8"/>
        <v>0</v>
      </c>
      <c r="H92" s="38">
        <f t="shared" si="9"/>
        <v>0</v>
      </c>
      <c r="I92" s="39"/>
      <c r="J92" s="2952"/>
      <c r="K92" s="2952"/>
      <c r="L92" s="2952"/>
      <c r="M92" s="2952"/>
      <c r="N92" s="2952"/>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3"/>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2"/>
      <c r="E93" s="35">
        <f t="shared" si="7"/>
        <v>0</v>
      </c>
      <c r="F93" s="36"/>
      <c r="G93" s="37">
        <f t="shared" si="8"/>
        <v>0</v>
      </c>
      <c r="H93" s="38">
        <f t="shared" si="9"/>
        <v>0</v>
      </c>
      <c r="I93" s="39"/>
      <c r="J93" s="2952"/>
      <c r="K93" s="2952"/>
      <c r="L93" s="2952"/>
      <c r="M93" s="2952"/>
      <c r="N93" s="2952"/>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3"/>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2"/>
      <c r="E94" s="35">
        <f t="shared" si="7"/>
        <v>0</v>
      </c>
      <c r="F94" s="36"/>
      <c r="G94" s="37">
        <f t="shared" si="8"/>
        <v>0</v>
      </c>
      <c r="H94" s="38">
        <f t="shared" si="9"/>
        <v>0</v>
      </c>
      <c r="I94" s="39"/>
      <c r="J94" s="2952"/>
      <c r="K94" s="2952"/>
      <c r="L94" s="2952"/>
      <c r="M94" s="2952"/>
      <c r="N94" s="2952"/>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3"/>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2"/>
      <c r="E95" s="35">
        <f t="shared" si="7"/>
        <v>0</v>
      </c>
      <c r="F95" s="36"/>
      <c r="G95" s="37">
        <f t="shared" si="8"/>
        <v>0</v>
      </c>
      <c r="H95" s="38">
        <f t="shared" si="9"/>
        <v>0</v>
      </c>
      <c r="I95" s="39"/>
      <c r="J95" s="2952"/>
      <c r="K95" s="2952"/>
      <c r="L95" s="2952"/>
      <c r="M95" s="2952"/>
      <c r="N95" s="2952"/>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3"/>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2"/>
      <c r="E96" s="35">
        <f t="shared" si="7"/>
        <v>0</v>
      </c>
      <c r="F96" s="36"/>
      <c r="G96" s="37">
        <f t="shared" si="8"/>
        <v>0</v>
      </c>
      <c r="H96" s="38">
        <f t="shared" si="9"/>
        <v>0</v>
      </c>
      <c r="I96" s="39"/>
      <c r="J96" s="2952"/>
      <c r="K96" s="2952"/>
      <c r="L96" s="2952"/>
      <c r="M96" s="2952"/>
      <c r="N96" s="2952"/>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3"/>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2"/>
      <c r="E97" s="35">
        <f t="shared" si="7"/>
        <v>0</v>
      </c>
      <c r="F97" s="36"/>
      <c r="G97" s="37">
        <f t="shared" si="8"/>
        <v>0</v>
      </c>
      <c r="H97" s="38">
        <f t="shared" si="9"/>
        <v>0</v>
      </c>
      <c r="I97" s="39"/>
      <c r="J97" s="2952"/>
      <c r="K97" s="2952"/>
      <c r="L97" s="2952"/>
      <c r="M97" s="2952"/>
      <c r="N97" s="2952"/>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3"/>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2"/>
      <c r="E98" s="35">
        <f t="shared" si="7"/>
        <v>0</v>
      </c>
      <c r="F98" s="36"/>
      <c r="G98" s="37">
        <f t="shared" si="8"/>
        <v>0</v>
      </c>
      <c r="H98" s="38">
        <f t="shared" si="9"/>
        <v>0</v>
      </c>
      <c r="I98" s="39"/>
      <c r="J98" s="2952"/>
      <c r="K98" s="2952"/>
      <c r="L98" s="2952"/>
      <c r="M98" s="2952"/>
      <c r="N98" s="2952"/>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3"/>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2"/>
      <c r="E99" s="35">
        <f t="shared" si="7"/>
        <v>0</v>
      </c>
      <c r="F99" s="36"/>
      <c r="G99" s="37">
        <f t="shared" si="8"/>
        <v>0</v>
      </c>
      <c r="H99" s="38">
        <f t="shared" si="9"/>
        <v>0</v>
      </c>
      <c r="I99" s="39"/>
      <c r="J99" s="2952"/>
      <c r="K99" s="2952"/>
      <c r="L99" s="2952"/>
      <c r="M99" s="2952"/>
      <c r="N99" s="2952"/>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3"/>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2"/>
      <c r="E100" s="35">
        <f t="shared" si="7"/>
        <v>0</v>
      </c>
      <c r="F100" s="36"/>
      <c r="G100" s="37">
        <f t="shared" si="8"/>
        <v>0</v>
      </c>
      <c r="H100" s="38">
        <f t="shared" si="9"/>
        <v>0</v>
      </c>
      <c r="I100" s="39"/>
      <c r="J100" s="2952"/>
      <c r="K100" s="2952"/>
      <c r="L100" s="2952"/>
      <c r="M100" s="2952"/>
      <c r="N100" s="2952"/>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3"/>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2"/>
      <c r="E101" s="35">
        <f t="shared" si="7"/>
        <v>0</v>
      </c>
      <c r="F101" s="36"/>
      <c r="G101" s="37">
        <f t="shared" si="8"/>
        <v>0</v>
      </c>
      <c r="H101" s="38">
        <f t="shared" si="9"/>
        <v>0</v>
      </c>
      <c r="I101" s="39"/>
      <c r="J101" s="2952"/>
      <c r="K101" s="2952"/>
      <c r="L101" s="2952"/>
      <c r="M101" s="2952"/>
      <c r="N101" s="2952"/>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3"/>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2"/>
      <c r="E102" s="35">
        <f t="shared" si="7"/>
        <v>0</v>
      </c>
      <c r="F102" s="36"/>
      <c r="G102" s="37">
        <f t="shared" si="8"/>
        <v>0</v>
      </c>
      <c r="H102" s="38">
        <f t="shared" si="9"/>
        <v>0</v>
      </c>
      <c r="I102" s="39"/>
      <c r="J102" s="2952"/>
      <c r="K102" s="2952"/>
      <c r="L102" s="2952"/>
      <c r="M102" s="2952"/>
      <c r="N102" s="2952"/>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3"/>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2"/>
      <c r="E103" s="35">
        <f t="shared" si="7"/>
        <v>0</v>
      </c>
      <c r="F103" s="36"/>
      <c r="G103" s="37">
        <f t="shared" si="8"/>
        <v>0</v>
      </c>
      <c r="H103" s="38">
        <f t="shared" si="9"/>
        <v>0</v>
      </c>
      <c r="I103" s="39"/>
      <c r="J103" s="2952"/>
      <c r="K103" s="2952"/>
      <c r="L103" s="2952"/>
      <c r="M103" s="2952"/>
      <c r="N103" s="2952"/>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3"/>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2"/>
      <c r="E104" s="35">
        <f t="shared" si="7"/>
        <v>0</v>
      </c>
      <c r="F104" s="36"/>
      <c r="G104" s="37">
        <f t="shared" si="8"/>
        <v>0</v>
      </c>
      <c r="H104" s="38">
        <f t="shared" si="9"/>
        <v>0</v>
      </c>
      <c r="I104" s="39"/>
      <c r="J104" s="2952"/>
      <c r="K104" s="2952"/>
      <c r="L104" s="2952"/>
      <c r="M104" s="2952"/>
      <c r="N104" s="2952"/>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3"/>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2"/>
      <c r="E105" s="35">
        <f t="shared" si="7"/>
        <v>0</v>
      </c>
      <c r="F105" s="36"/>
      <c r="G105" s="37">
        <f t="shared" si="8"/>
        <v>0</v>
      </c>
      <c r="H105" s="38">
        <f t="shared" si="9"/>
        <v>0</v>
      </c>
      <c r="I105" s="39"/>
      <c r="J105" s="2952"/>
      <c r="K105" s="2952"/>
      <c r="L105" s="2952"/>
      <c r="M105" s="2952"/>
      <c r="N105" s="2952"/>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3"/>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2"/>
      <c r="E106" s="35">
        <f t="shared" si="7"/>
        <v>0</v>
      </c>
      <c r="F106" s="36"/>
      <c r="G106" s="37">
        <f t="shared" si="8"/>
        <v>0</v>
      </c>
      <c r="H106" s="38">
        <f t="shared" si="9"/>
        <v>0</v>
      </c>
      <c r="I106" s="39"/>
      <c r="J106" s="2952"/>
      <c r="K106" s="2952"/>
      <c r="L106" s="2952"/>
      <c r="M106" s="2952"/>
      <c r="N106" s="2952"/>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3"/>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2"/>
      <c r="E107" s="35">
        <f t="shared" si="7"/>
        <v>0</v>
      </c>
      <c r="F107" s="36"/>
      <c r="G107" s="37">
        <f t="shared" si="8"/>
        <v>0</v>
      </c>
      <c r="H107" s="38">
        <f t="shared" si="9"/>
        <v>0</v>
      </c>
      <c r="I107" s="39"/>
      <c r="J107" s="2952"/>
      <c r="K107" s="2952"/>
      <c r="L107" s="2952"/>
      <c r="M107" s="2952"/>
      <c r="N107" s="2952"/>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3"/>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2"/>
      <c r="E108" s="35">
        <f t="shared" si="7"/>
        <v>0</v>
      </c>
      <c r="F108" s="36"/>
      <c r="G108" s="37">
        <f t="shared" si="8"/>
        <v>0</v>
      </c>
      <c r="H108" s="38">
        <f t="shared" si="9"/>
        <v>0</v>
      </c>
      <c r="I108" s="39"/>
      <c r="J108" s="2952"/>
      <c r="K108" s="2952"/>
      <c r="L108" s="2952"/>
      <c r="M108" s="2952"/>
      <c r="N108" s="2952"/>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3"/>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2"/>
      <c r="E109" s="35">
        <f t="shared" si="7"/>
        <v>0</v>
      </c>
      <c r="F109" s="36"/>
      <c r="G109" s="37">
        <f t="shared" si="8"/>
        <v>0</v>
      </c>
      <c r="H109" s="38">
        <f t="shared" si="9"/>
        <v>0</v>
      </c>
      <c r="I109" s="39"/>
      <c r="J109" s="2952"/>
      <c r="K109" s="2952"/>
      <c r="L109" s="2952"/>
      <c r="M109" s="2952"/>
      <c r="N109" s="2952"/>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3"/>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2"/>
      <c r="E110" s="35">
        <f t="shared" si="7"/>
        <v>0</v>
      </c>
      <c r="F110" s="44"/>
      <c r="G110" s="37">
        <f t="shared" ref="G110:G141" si="36">H110+AC110+AT110</f>
        <v>0</v>
      </c>
      <c r="H110" s="38">
        <f t="shared" ref="H110:H141" si="37">SUMIF(I$12:AB$12,"总值",I110:AB110)</f>
        <v>0</v>
      </c>
      <c r="I110" s="10"/>
      <c r="J110" s="2952"/>
      <c r="K110" s="2952"/>
      <c r="L110" s="2952"/>
      <c r="M110" s="2952"/>
      <c r="N110" s="2952"/>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8"/>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2"/>
      <c r="E111" s="35">
        <f t="shared" si="7"/>
        <v>0</v>
      </c>
      <c r="F111" s="44"/>
      <c r="G111" s="37">
        <f t="shared" si="36"/>
        <v>0</v>
      </c>
      <c r="H111" s="38">
        <f t="shared" si="37"/>
        <v>0</v>
      </c>
      <c r="I111" s="39"/>
      <c r="J111" s="2952"/>
      <c r="K111" s="2952"/>
      <c r="L111" s="2952"/>
      <c r="M111" s="2952"/>
      <c r="N111" s="2952"/>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8"/>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2"/>
      <c r="E112" s="35">
        <f t="shared" si="7"/>
        <v>0</v>
      </c>
      <c r="F112" s="44"/>
      <c r="G112" s="37">
        <f t="shared" si="36"/>
        <v>0</v>
      </c>
      <c r="H112" s="38">
        <f t="shared" si="37"/>
        <v>0</v>
      </c>
      <c r="I112" s="39"/>
      <c r="J112" s="2952"/>
      <c r="K112" s="2952"/>
      <c r="L112" s="2952"/>
      <c r="M112" s="2952"/>
      <c r="N112" s="2952"/>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8"/>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2"/>
      <c r="E113" s="35">
        <f t="shared" ref="E113:E144" si="61">IF($C$3="是",ROUND($A$3*G113/$B$3,2),ROUND($A$3*(G113-AT113)/$B$3,2))</f>
        <v>0</v>
      </c>
      <c r="F113" s="36"/>
      <c r="G113" s="37">
        <f t="shared" si="36"/>
        <v>0</v>
      </c>
      <c r="H113" s="38">
        <f t="shared" si="37"/>
        <v>0</v>
      </c>
      <c r="I113" s="39"/>
      <c r="J113" s="2952"/>
      <c r="K113" s="2952"/>
      <c r="L113" s="2952"/>
      <c r="M113" s="2952"/>
      <c r="N113" s="2952"/>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3"/>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2"/>
      <c r="E114" s="35">
        <f t="shared" si="61"/>
        <v>0</v>
      </c>
      <c r="F114" s="36"/>
      <c r="G114" s="37">
        <f t="shared" si="36"/>
        <v>0</v>
      </c>
      <c r="H114" s="38">
        <f t="shared" si="37"/>
        <v>0</v>
      </c>
      <c r="I114" s="39"/>
      <c r="J114" s="2952"/>
      <c r="K114" s="2952"/>
      <c r="L114" s="2952"/>
      <c r="M114" s="2952"/>
      <c r="N114" s="2952"/>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3"/>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2"/>
      <c r="E115" s="35">
        <f t="shared" si="61"/>
        <v>0</v>
      </c>
      <c r="F115" s="36"/>
      <c r="G115" s="37">
        <f t="shared" si="36"/>
        <v>0</v>
      </c>
      <c r="H115" s="38">
        <f t="shared" si="37"/>
        <v>0</v>
      </c>
      <c r="I115" s="39"/>
      <c r="J115" s="2952"/>
      <c r="K115" s="2952"/>
      <c r="L115" s="2952"/>
      <c r="M115" s="2952"/>
      <c r="N115" s="2952"/>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3"/>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2"/>
      <c r="E116" s="35">
        <f t="shared" si="61"/>
        <v>0</v>
      </c>
      <c r="F116" s="36"/>
      <c r="G116" s="37">
        <f t="shared" si="36"/>
        <v>0</v>
      </c>
      <c r="H116" s="38">
        <f t="shared" si="37"/>
        <v>0</v>
      </c>
      <c r="I116" s="39"/>
      <c r="J116" s="2952"/>
      <c r="K116" s="2952"/>
      <c r="L116" s="2952"/>
      <c r="M116" s="2952"/>
      <c r="N116" s="2952"/>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3"/>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2"/>
      <c r="E117" s="35">
        <f t="shared" si="61"/>
        <v>0</v>
      </c>
      <c r="F117" s="36"/>
      <c r="G117" s="37">
        <f t="shared" si="36"/>
        <v>0</v>
      </c>
      <c r="H117" s="38">
        <f t="shared" si="37"/>
        <v>0</v>
      </c>
      <c r="I117" s="39"/>
      <c r="J117" s="2952"/>
      <c r="K117" s="2952"/>
      <c r="L117" s="2952"/>
      <c r="M117" s="2952"/>
      <c r="N117" s="2952"/>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3"/>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2"/>
      <c r="E118" s="35">
        <f t="shared" si="61"/>
        <v>0</v>
      </c>
      <c r="F118" s="36"/>
      <c r="G118" s="37">
        <f t="shared" si="36"/>
        <v>0</v>
      </c>
      <c r="H118" s="38">
        <f t="shared" si="37"/>
        <v>0</v>
      </c>
      <c r="I118" s="39"/>
      <c r="J118" s="2952"/>
      <c r="K118" s="2952"/>
      <c r="L118" s="2952"/>
      <c r="M118" s="2952"/>
      <c r="N118" s="2952"/>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3"/>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3"/>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3"/>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3"/>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3"/>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3"/>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3"/>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3"/>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3"/>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3"/>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3"/>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3"/>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3"/>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3"/>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3"/>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3"/>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3"/>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3"/>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3"/>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3"/>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3"/>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3"/>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3"/>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3"/>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3"/>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3"/>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3"/>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3"/>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3"/>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3"/>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3"/>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3"/>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3"/>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3"/>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3"/>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3"/>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3"/>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3"/>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3"/>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3"/>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3"/>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3"/>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3"/>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3"/>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3"/>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3"/>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3"/>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3"/>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3"/>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3"/>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3"/>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3"/>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3"/>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3"/>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3"/>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3"/>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3"/>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3"/>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3"/>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3"/>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3"/>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3"/>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3"/>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3"/>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3"/>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3"/>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3"/>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3"/>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3"/>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3"/>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3"/>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3"/>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3"/>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3"/>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3"/>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3"/>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3"/>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3"/>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3"/>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3"/>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3"/>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3"/>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3"/>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3"/>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3"/>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3"/>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3"/>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8"/>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8"/>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8"/>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3"/>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3"/>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3"/>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3"/>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3"/>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3"/>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3"/>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3"/>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3"/>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3"/>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3"/>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3"/>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3"/>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3"/>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3"/>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3"/>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3"/>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3"/>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3"/>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3"/>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3"/>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3"/>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3"/>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3"/>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3"/>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3"/>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3"/>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3"/>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3"/>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3"/>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3"/>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3"/>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3"/>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3"/>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3"/>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3"/>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3"/>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3"/>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3"/>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3"/>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3"/>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3"/>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3"/>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3"/>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3"/>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3"/>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3"/>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3"/>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3"/>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3"/>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3"/>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3"/>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3"/>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3"/>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3"/>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3"/>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3"/>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3"/>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3"/>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3"/>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3"/>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3"/>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3"/>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3"/>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3"/>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3"/>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3"/>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3"/>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3"/>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3"/>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3"/>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3"/>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3"/>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3"/>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3"/>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3"/>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3"/>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3"/>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3"/>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3"/>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3"/>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3"/>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3"/>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3"/>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3"/>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3"/>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3"/>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3"/>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3"/>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3"/>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3"/>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3"/>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8"/>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8"/>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8"/>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3"/>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3"/>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3"/>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3"/>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3"/>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3"/>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3"/>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3"/>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3"/>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3"/>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3"/>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3"/>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3"/>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3"/>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3"/>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3"/>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3"/>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3"/>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3"/>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3"/>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3"/>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3"/>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3"/>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3"/>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3"/>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3"/>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3"/>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3"/>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3"/>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3"/>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3"/>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3"/>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3"/>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3"/>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3"/>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3"/>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3"/>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3"/>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3"/>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3"/>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3"/>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3"/>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3"/>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3"/>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3"/>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3"/>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3"/>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3"/>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3"/>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3"/>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3"/>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3"/>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3"/>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3"/>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3"/>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3"/>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3"/>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3"/>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3"/>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3"/>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3"/>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3"/>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3"/>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3"/>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3"/>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3"/>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3"/>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3"/>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3"/>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3"/>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3"/>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3"/>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3"/>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3"/>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3"/>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3"/>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3"/>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3"/>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3"/>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3"/>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3"/>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3"/>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3"/>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3"/>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3"/>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3"/>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3"/>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3"/>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3"/>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3"/>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3"/>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3"/>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8"/>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8"/>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8"/>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3"/>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3"/>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3"/>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3"/>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3"/>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3"/>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3"/>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3"/>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3"/>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3"/>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3"/>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3"/>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3"/>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3"/>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3"/>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3"/>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3"/>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3"/>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3"/>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3"/>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3"/>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3"/>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3"/>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3"/>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3"/>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3"/>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3"/>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3"/>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3"/>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3"/>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3"/>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3"/>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3"/>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3"/>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3"/>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3"/>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3"/>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3"/>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3"/>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3"/>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3"/>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3"/>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3"/>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3"/>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3"/>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3"/>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3"/>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3"/>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3"/>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3"/>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3"/>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3"/>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3"/>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3"/>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3"/>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3"/>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3"/>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3"/>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3"/>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3"/>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3"/>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3"/>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3"/>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3"/>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3"/>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3"/>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3"/>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3"/>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3"/>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3"/>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3"/>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3"/>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3"/>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3"/>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3"/>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3"/>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3"/>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3"/>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3"/>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3"/>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3"/>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3"/>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3"/>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3"/>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3"/>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3"/>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3"/>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3"/>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3"/>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3"/>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3"/>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3"/>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8"/>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8"/>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8"/>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3"/>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3"/>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3"/>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3"/>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3"/>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3"/>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3"/>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3"/>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3"/>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3"/>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3"/>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3"/>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3"/>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3"/>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3"/>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3"/>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3"/>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3"/>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3"/>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3"/>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3"/>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3"/>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3"/>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3"/>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3"/>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3"/>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3"/>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3"/>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3"/>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3"/>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3"/>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3"/>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3"/>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3"/>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3"/>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3"/>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3"/>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3"/>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3"/>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3"/>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3"/>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3"/>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3"/>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3"/>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3"/>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3"/>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3"/>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3"/>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3"/>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3"/>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3"/>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3"/>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3"/>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3"/>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3"/>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3"/>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3"/>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3"/>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3"/>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3"/>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3"/>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3"/>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3"/>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3"/>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3"/>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3"/>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3"/>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3"/>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3"/>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3"/>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3"/>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3"/>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3"/>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3"/>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3"/>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3"/>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3"/>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3"/>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3"/>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3"/>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3"/>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3"/>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3"/>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3"/>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3"/>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3"/>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3"/>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3"/>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3"/>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3"/>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3"/>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3"/>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8"/>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8"/>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8"/>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6" customFormat="1">
      <c r="A588" s="2194"/>
      <c r="B588" s="2194"/>
      <c r="C588" s="2194"/>
      <c r="D588" s="2194"/>
      <c r="E588" s="2195"/>
      <c r="F588" s="2195"/>
      <c r="G588" s="2194"/>
      <c r="H588" s="2195"/>
      <c r="I588" s="2195"/>
      <c r="J588" s="2195"/>
      <c r="K588" s="2195"/>
      <c r="L588" s="2195"/>
      <c r="M588" s="2195"/>
      <c r="N588" s="2195"/>
      <c r="O588" s="2195"/>
      <c r="P588" s="2195"/>
      <c r="Q588" s="2195"/>
      <c r="R588" s="2195"/>
      <c r="S588" s="2195"/>
      <c r="T588" s="2195"/>
      <c r="U588" s="2195"/>
      <c r="V588" s="2195"/>
      <c r="W588" s="2195"/>
      <c r="X588" s="2195"/>
      <c r="Y588" s="2195"/>
      <c r="Z588" s="2195"/>
      <c r="AA588" s="2195"/>
      <c r="AB588" s="2195"/>
      <c r="AC588" s="2195"/>
      <c r="AD588" s="2195"/>
      <c r="AE588" s="2195"/>
      <c r="AF588" s="2195"/>
      <c r="AG588" s="2195"/>
      <c r="AH588" s="2195"/>
      <c r="AI588" s="2195"/>
      <c r="AJ588" s="2195"/>
      <c r="AK588" s="2195"/>
      <c r="AL588" s="2195"/>
      <c r="AM588" s="2195"/>
      <c r="AN588" s="2195"/>
      <c r="AO588" s="2195"/>
      <c r="AP588" s="2195"/>
      <c r="AQ588" s="2195"/>
      <c r="AR588" s="2195"/>
      <c r="AS588" s="2195"/>
      <c r="AT588" s="2195"/>
      <c r="AU588" s="2194"/>
      <c r="AV588" s="2194"/>
      <c r="AW588" s="2194"/>
      <c r="AX588" s="2194"/>
    </row>
    <row r="589" spans="1:72" s="2197" customFormat="1">
      <c r="C589" s="2198"/>
      <c r="D589" s="2198"/>
    </row>
    <row r="590" spans="1:72" s="2197" customFormat="1">
      <c r="C590" s="2198"/>
      <c r="D590" s="2198"/>
    </row>
    <row r="593" spans="2:2">
      <c r="B593" s="219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97" t="s">
        <v>0</v>
      </c>
      <c r="B1" s="3497" t="s">
        <v>4</v>
      </c>
      <c r="C1" s="3497" t="s">
        <v>5</v>
      </c>
      <c r="D1" s="3498" t="s">
        <v>53</v>
      </c>
      <c r="E1" s="3498" t="s">
        <v>54</v>
      </c>
      <c r="F1" s="3498"/>
      <c r="G1" s="3498"/>
      <c r="H1" s="3498"/>
      <c r="I1" s="3498"/>
      <c r="J1" s="3498"/>
      <c r="K1" s="3498"/>
      <c r="L1" s="3498"/>
      <c r="M1" s="3498"/>
    </row>
    <row r="2" spans="1:13" ht="27" customHeight="1">
      <c r="A2" s="3497"/>
      <c r="B2" s="3497"/>
      <c r="C2" s="3497"/>
      <c r="D2" s="3498"/>
      <c r="E2" s="3498" t="s">
        <v>37</v>
      </c>
      <c r="F2" s="3498" t="s">
        <v>38</v>
      </c>
      <c r="G2" s="3498"/>
      <c r="H2" s="3498"/>
      <c r="I2" s="3498"/>
      <c r="J2" s="3498" t="s">
        <v>39</v>
      </c>
      <c r="K2" s="3498"/>
      <c r="L2" s="3498"/>
      <c r="M2" s="3498"/>
    </row>
    <row r="3" spans="1:13" ht="28.5">
      <c r="A3" s="3497"/>
      <c r="B3" s="3497"/>
      <c r="C3" s="3497"/>
      <c r="D3" s="3498"/>
      <c r="E3" s="34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98" t="s">
        <v>55</v>
      </c>
      <c r="B9" s="3498"/>
      <c r="C9" s="34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00" customWidth="1"/>
    <col min="2" max="2" width="10.25" style="2200" customWidth="1"/>
    <col min="3" max="3" width="18.5" style="2200" customWidth="1"/>
    <col min="4" max="4" width="11.625" style="2200" customWidth="1"/>
    <col min="5" max="5" width="13.375" style="2200" customWidth="1"/>
    <col min="6" max="8" width="11.5" style="2200" customWidth="1"/>
    <col min="9" max="9" width="11.125" style="2200" customWidth="1"/>
    <col min="10" max="10" width="3.125" style="2200" customWidth="1"/>
    <col min="11" max="16" width="10" style="2200" customWidth="1"/>
    <col min="17" max="17" width="2.625" style="2200" customWidth="1"/>
    <col min="18" max="18" width="9.375" style="2200" bestFit="1" customWidth="1"/>
    <col min="19" max="19" width="10.5" style="2200" bestFit="1" customWidth="1"/>
    <col min="20" max="16384" width="9.25" style="2200"/>
  </cols>
  <sheetData>
    <row r="1" spans="1:16" ht="18.75">
      <c r="A1" s="2199" t="s">
        <v>1926</v>
      </c>
      <c r="B1" s="1373"/>
      <c r="C1" s="1373"/>
      <c r="D1" s="1373"/>
      <c r="E1" s="1373"/>
      <c r="F1" s="1373"/>
      <c r="G1" s="1373"/>
      <c r="H1" s="1373"/>
      <c r="I1" s="1373"/>
      <c r="J1" s="1373"/>
      <c r="K1" s="1373"/>
      <c r="L1" s="1373"/>
      <c r="M1" s="1373"/>
      <c r="N1" s="1373"/>
      <c r="O1" s="1373"/>
      <c r="P1" s="1373"/>
    </row>
    <row r="2" spans="1:16" ht="15">
      <c r="A2" s="3508" t="s">
        <v>1927</v>
      </c>
      <c r="B2" s="3508"/>
      <c r="C2" s="3508"/>
      <c r="D2" s="957" t="s">
        <v>1903</v>
      </c>
      <c r="E2" s="2201" t="s">
        <v>1904</v>
      </c>
      <c r="F2" s="1373"/>
      <c r="G2" s="2202"/>
      <c r="H2" s="2203"/>
      <c r="I2" s="2204" t="s">
        <v>1928</v>
      </c>
      <c r="J2" s="1373"/>
      <c r="K2" s="1373"/>
      <c r="L2" s="1373"/>
      <c r="M2" s="1373"/>
      <c r="N2" s="1408"/>
      <c r="O2" s="1373"/>
      <c r="P2" s="1373"/>
    </row>
    <row r="3" spans="1:16" ht="15.75" thickBot="1">
      <c r="A3" s="3509" t="s">
        <v>1901</v>
      </c>
      <c r="B3" s="3509"/>
      <c r="C3" s="3509"/>
      <c r="D3" s="46">
        <f>'数据-基础表'!AY6</f>
        <v>15134.65</v>
      </c>
      <c r="E3" s="46">
        <f>'数据-基础表'!AZ5</f>
        <v>24348.570000000003</v>
      </c>
      <c r="F3" s="1373"/>
      <c r="G3" s="1380"/>
      <c r="H3" s="1229" t="s">
        <v>1902</v>
      </c>
      <c r="I3" s="55">
        <f>ROUND('数据-基础表'!B3/'数据-基础表'!A3,2)</f>
        <v>1.61</v>
      </c>
      <c r="J3" s="1373"/>
      <c r="K3" s="1373"/>
      <c r="L3" s="1373"/>
      <c r="M3" s="1373"/>
      <c r="N3" s="1408"/>
      <c r="O3" s="1373"/>
      <c r="P3" s="1373"/>
    </row>
    <row r="4" spans="1:16" ht="15">
      <c r="A4" s="3510"/>
      <c r="B4" s="3511"/>
      <c r="C4" s="3512"/>
      <c r="D4" s="2205" t="s">
        <v>1903</v>
      </c>
      <c r="E4" s="2206" t="s">
        <v>1904</v>
      </c>
      <c r="F4" s="1373"/>
      <c r="G4" s="2207" t="s">
        <v>1929</v>
      </c>
      <c r="H4" s="1229" t="s">
        <v>1909</v>
      </c>
      <c r="I4" s="55">
        <f>ROUND(SUMIF('数据-基础表'!I9:AS9,"地上",'数据-基础表'!I5:AS5)/'数据-基础表'!A3,2)</f>
        <v>1.61</v>
      </c>
      <c r="J4" s="1373"/>
      <c r="K4" s="1373"/>
      <c r="L4" s="1373"/>
      <c r="M4" s="1373"/>
      <c r="N4" s="1408"/>
      <c r="O4" s="1373"/>
      <c r="P4" s="1373"/>
    </row>
    <row r="5" spans="1:16">
      <c r="A5" s="47" t="s">
        <v>1905</v>
      </c>
      <c r="B5" s="3513" t="s">
        <v>1906</v>
      </c>
      <c r="C5" s="3513"/>
      <c r="D5" s="48">
        <f>ROUND($D$3*E5/$E$3,2)</f>
        <v>0</v>
      </c>
      <c r="E5" s="49">
        <f>SUMIF('数据-基础表'!$11:$11,"住宅",'数据-基础表'!$5:$5)</f>
        <v>0</v>
      </c>
      <c r="F5" s="1373"/>
      <c r="G5" s="1380"/>
      <c r="H5" s="1229" t="s">
        <v>1902</v>
      </c>
      <c r="I5" s="55">
        <f>ROUND(E31/D31,2)</f>
        <v>1.61</v>
      </c>
      <c r="J5" s="1373"/>
      <c r="K5" s="1373"/>
      <c r="L5" s="1373"/>
      <c r="M5" s="1373"/>
      <c r="N5" s="1373"/>
      <c r="O5" s="1373"/>
      <c r="P5" s="1373"/>
    </row>
    <row r="6" spans="1:16" ht="15" thickBot="1">
      <c r="A6" s="2208"/>
      <c r="B6" s="3513" t="s">
        <v>1907</v>
      </c>
      <c r="C6" s="3513"/>
      <c r="D6" s="48">
        <f>ROUND($D$3*E6/$E$3,2)</f>
        <v>15134.65</v>
      </c>
      <c r="E6" s="49">
        <f>E3-E5</f>
        <v>24348.570000000003</v>
      </c>
      <c r="F6" s="1373"/>
      <c r="G6" s="2209" t="s">
        <v>1908</v>
      </c>
      <c r="H6" s="1380" t="s">
        <v>1909</v>
      </c>
      <c r="I6" s="929">
        <f>ROUND(F31/D31,2)</f>
        <v>1.61</v>
      </c>
      <c r="J6" s="1373"/>
      <c r="K6" s="1373"/>
      <c r="L6" s="1373"/>
      <c r="M6" s="1373"/>
      <c r="N6" s="1373"/>
      <c r="O6" s="1373"/>
      <c r="P6" s="1373"/>
    </row>
    <row r="7" spans="1:16" ht="15">
      <c r="A7" s="3505"/>
      <c r="B7" s="3506"/>
      <c r="C7" s="3507"/>
      <c r="D7" s="2205" t="s">
        <v>1903</v>
      </c>
      <c r="E7" s="2210" t="s">
        <v>1910</v>
      </c>
      <c r="F7" s="1373"/>
      <c r="G7" s="2202" t="s">
        <v>1911</v>
      </c>
      <c r="H7" s="64"/>
      <c r="I7" s="419">
        <f>I6</f>
        <v>1.61</v>
      </c>
      <c r="J7" s="1373"/>
      <c r="K7" s="1373"/>
      <c r="L7" s="1373"/>
      <c r="M7" s="1373"/>
      <c r="N7" s="1373"/>
      <c r="O7" s="1373"/>
      <c r="P7" s="1373"/>
    </row>
    <row r="8" spans="1:16">
      <c r="A8" s="47" t="s">
        <v>1912</v>
      </c>
      <c r="B8" s="50" t="s">
        <v>1913</v>
      </c>
      <c r="C8" s="48" t="s">
        <v>1914</v>
      </c>
      <c r="D8" s="48">
        <f t="shared" ref="D8:D15" si="0">ROUND($D$3*E8/$E$3,2)</f>
        <v>15134.65</v>
      </c>
      <c r="E8" s="51">
        <f>SUMIF('数据-基础表'!BB10:BK10,"地上",'数据-基础表'!BB5:BK5)</f>
        <v>24348.570000000003</v>
      </c>
      <c r="F8" s="1373"/>
      <c r="G8" s="2211"/>
      <c r="H8" s="2211"/>
      <c r="I8" s="1373"/>
      <c r="J8" s="1373"/>
      <c r="K8" s="1373"/>
      <c r="L8" s="1373"/>
      <c r="M8" s="1373"/>
      <c r="N8" s="1373"/>
      <c r="O8" s="1373"/>
      <c r="P8" s="1373"/>
    </row>
    <row r="9" spans="1:16">
      <c r="A9" s="2212"/>
      <c r="B9" s="2213"/>
      <c r="C9" s="48" t="s">
        <v>1915</v>
      </c>
      <c r="D9" s="48">
        <f t="shared" si="0"/>
        <v>0</v>
      </c>
      <c r="E9" s="52">
        <v>0</v>
      </c>
      <c r="F9" s="1373"/>
      <c r="G9" s="2211"/>
      <c r="H9" s="2211"/>
      <c r="I9" s="1373"/>
      <c r="J9" s="1373"/>
      <c r="K9" s="1373"/>
      <c r="L9" s="1373"/>
      <c r="M9" s="1373"/>
      <c r="N9" s="1373"/>
      <c r="O9" s="1373"/>
      <c r="P9" s="1373"/>
    </row>
    <row r="10" spans="1:16">
      <c r="A10" s="2212"/>
      <c r="B10" s="2213"/>
      <c r="C10" s="48" t="s">
        <v>1924</v>
      </c>
      <c r="D10" s="48">
        <f t="shared" si="0"/>
        <v>0</v>
      </c>
      <c r="E10" s="51">
        <f>SUMPRODUCT(('数据-基础表'!BB10:BK10="地下")*('数据-基础表'!BB11:BK11="商业")*('数据-基础表'!BB5:BK5))</f>
        <v>0</v>
      </c>
      <c r="F10" s="1373"/>
      <c r="G10" s="2211"/>
      <c r="H10" s="2211"/>
      <c r="I10" s="1373"/>
      <c r="J10" s="1373"/>
      <c r="K10" s="1373"/>
      <c r="L10" s="1373"/>
      <c r="M10" s="1373"/>
      <c r="N10" s="1373"/>
      <c r="O10" s="1373"/>
      <c r="P10" s="1373"/>
    </row>
    <row r="11" spans="1:16">
      <c r="A11" s="2212"/>
      <c r="B11" s="2213"/>
      <c r="C11" s="48" t="s">
        <v>1916</v>
      </c>
      <c r="D11" s="48">
        <f t="shared" si="0"/>
        <v>0</v>
      </c>
      <c r="E11" s="51">
        <f>SUMPRODUCT(('数据-基础表'!BB10:BK10="地下")*('数据-基础表'!BB11:BK11="办公")*('数据-基础表'!BB5:BK5))+'数据-基础表'!BP5</f>
        <v>0</v>
      </c>
      <c r="F11" s="1373"/>
      <c r="G11" s="2211"/>
      <c r="H11" s="2211"/>
      <c r="I11" s="1373"/>
      <c r="J11" s="1373"/>
      <c r="K11" s="1373"/>
      <c r="L11" s="1373"/>
      <c r="M11" s="1373"/>
      <c r="N11" s="1373"/>
      <c r="O11" s="1373"/>
      <c r="P11" s="1373"/>
    </row>
    <row r="12" spans="1:16">
      <c r="A12" s="2212"/>
      <c r="B12" s="2213"/>
      <c r="C12" s="48" t="s">
        <v>1917</v>
      </c>
      <c r="D12" s="48">
        <f t="shared" si="0"/>
        <v>0</v>
      </c>
      <c r="E12" s="51">
        <f>SUMPRODUCT(('数据-基础表'!BB10:BK10="地下")*('数据-基础表'!BB11:BK11="仓储")*('数据-基础表'!BB5:BK5))</f>
        <v>0</v>
      </c>
      <c r="F12" s="1373"/>
      <c r="G12" s="2211"/>
      <c r="H12" s="2211"/>
      <c r="I12" s="1373"/>
      <c r="J12" s="1373"/>
      <c r="K12" s="1373"/>
      <c r="L12" s="1373"/>
      <c r="M12" s="1373"/>
      <c r="N12" s="1373"/>
      <c r="O12" s="1373"/>
      <c r="P12" s="1373"/>
    </row>
    <row r="13" spans="1:16">
      <c r="A13" s="2212"/>
      <c r="B13" s="2213"/>
      <c r="C13" s="48" t="s">
        <v>1918</v>
      </c>
      <c r="D13" s="48">
        <f t="shared" si="0"/>
        <v>0</v>
      </c>
      <c r="E13" s="51">
        <f>SUMPRODUCT(('数据-基础表'!BB10:BK10="地下")*('数据-基础表'!BB11:BK11="车库")*('数据-基础表'!BB5:BK5))</f>
        <v>0</v>
      </c>
      <c r="F13" s="1373"/>
      <c r="G13" s="2211"/>
      <c r="H13" s="2211"/>
      <c r="I13" s="1373"/>
      <c r="J13" s="1373"/>
      <c r="K13" s="1373"/>
      <c r="L13" s="1373"/>
      <c r="M13" s="1373"/>
      <c r="N13" s="1373"/>
      <c r="O13" s="1373"/>
      <c r="P13" s="1373"/>
    </row>
    <row r="14" spans="1:16">
      <c r="A14" s="2212"/>
      <c r="B14" s="2213"/>
      <c r="C14" s="48" t="s">
        <v>1930</v>
      </c>
      <c r="D14" s="48">
        <f t="shared" si="0"/>
        <v>0</v>
      </c>
      <c r="E14" s="51">
        <f>SUMPRODUCT(('数据-基础表'!BB10:BK10="地下")*('数据-基础表'!BB11:BK11="车库—商业")*('数据-基础表'!BB5:BK5))</f>
        <v>0</v>
      </c>
      <c r="F14" s="1373"/>
      <c r="G14" s="2211"/>
      <c r="H14" s="2211"/>
      <c r="I14" s="1373"/>
      <c r="J14" s="1373"/>
      <c r="K14" s="1373"/>
      <c r="L14" s="1373"/>
      <c r="M14" s="1373"/>
      <c r="N14" s="1373"/>
      <c r="O14" s="1373"/>
      <c r="P14" s="1373"/>
    </row>
    <row r="15" spans="1:16" ht="15" thickBot="1">
      <c r="A15" s="2212"/>
      <c r="B15" s="2213"/>
      <c r="C15" s="48" t="s">
        <v>1925</v>
      </c>
      <c r="D15" s="48">
        <f t="shared" si="0"/>
        <v>0</v>
      </c>
      <c r="E15" s="51">
        <f>SUMPRODUCT(('数据-基础表'!BB10:BK10="地下")*('数据-基础表'!BB11:BK11="车库—办公")*('数据-基础表'!BB5:BK5))</f>
        <v>0</v>
      </c>
      <c r="F15" s="1373"/>
      <c r="G15" s="2211"/>
      <c r="H15" s="2211"/>
      <c r="I15" s="1373"/>
      <c r="J15" s="1373"/>
      <c r="K15" s="1373"/>
      <c r="L15" s="1373"/>
      <c r="M15" s="1373"/>
      <c r="N15" s="1373"/>
      <c r="O15" s="1373"/>
      <c r="P15" s="1373"/>
    </row>
    <row r="16" spans="1:16" ht="15.75" thickBot="1">
      <c r="A16" s="2208"/>
      <c r="B16" s="2213"/>
      <c r="C16" s="50" t="s">
        <v>1919</v>
      </c>
      <c r="D16" s="50">
        <f>SUM(D8:D15)</f>
        <v>15134.65</v>
      </c>
      <c r="E16" s="53">
        <f>SUM(E8:E15)</f>
        <v>24348.570000000003</v>
      </c>
      <c r="F16" s="1373"/>
      <c r="G16" s="2211"/>
      <c r="H16" s="2214" t="s">
        <v>1931</v>
      </c>
      <c r="I16" s="2215"/>
      <c r="J16" s="1373"/>
      <c r="K16" s="3502" t="s">
        <v>1931</v>
      </c>
      <c r="L16" s="3503"/>
      <c r="M16" s="3503"/>
      <c r="N16" s="3503"/>
      <c r="O16" s="3503"/>
      <c r="P16" s="3504"/>
    </row>
    <row r="17" spans="1:19" ht="15">
      <c r="A17" s="2216" t="s">
        <v>1932</v>
      </c>
      <c r="B17" s="2217" t="s">
        <v>1933</v>
      </c>
      <c r="C17" s="2218" t="s">
        <v>1934</v>
      </c>
      <c r="D17" s="2219" t="s">
        <v>1922</v>
      </c>
      <c r="E17" s="2220" t="s">
        <v>1923</v>
      </c>
      <c r="F17" s="2221"/>
      <c r="G17" s="2222"/>
      <c r="H17" s="2223" t="s">
        <v>1935</v>
      </c>
      <c r="I17" s="2224" t="s">
        <v>1920</v>
      </c>
      <c r="J17" s="1373"/>
      <c r="K17" s="3499" t="s">
        <v>1936</v>
      </c>
      <c r="L17" s="3500"/>
      <c r="M17" s="3501"/>
      <c r="N17" s="3499" t="s">
        <v>1937</v>
      </c>
      <c r="O17" s="3500"/>
      <c r="P17" s="3501"/>
      <c r="R17" s="2202" t="s">
        <v>1938</v>
      </c>
      <c r="S17" s="64"/>
    </row>
    <row r="18" spans="1:19" ht="15">
      <c r="A18" s="2212"/>
      <c r="B18" s="2225"/>
      <c r="C18" s="2226"/>
      <c r="D18" s="2227"/>
      <c r="E18" s="2228" t="s">
        <v>1939</v>
      </c>
      <c r="F18" s="2229" t="s">
        <v>1940</v>
      </c>
      <c r="G18" s="2230" t="s">
        <v>1941</v>
      </c>
      <c r="H18" s="1244" t="s">
        <v>1942</v>
      </c>
      <c r="I18" s="2231" t="s">
        <v>1943</v>
      </c>
      <c r="J18" s="1373"/>
      <c r="K18" s="1244" t="s">
        <v>1944</v>
      </c>
      <c r="L18" s="2232" t="s">
        <v>1945</v>
      </c>
      <c r="M18" s="1036" t="s">
        <v>1946</v>
      </c>
      <c r="N18" s="1244" t="s">
        <v>1944</v>
      </c>
      <c r="O18" s="2232" t="s">
        <v>1945</v>
      </c>
      <c r="P18" s="1036" t="s">
        <v>1946</v>
      </c>
      <c r="R18" s="1229" t="s">
        <v>1947</v>
      </c>
      <c r="S18" s="1229" t="s">
        <v>1948</v>
      </c>
    </row>
    <row r="19" spans="1:19">
      <c r="A19" s="2233"/>
      <c r="B19" s="50" t="s">
        <v>1921</v>
      </c>
      <c r="C19" s="2953" t="s">
        <v>3665</v>
      </c>
      <c r="D19" s="48">
        <f>ROUND($D$3*E19/$E$3,2)</f>
        <v>15134.65</v>
      </c>
      <c r="E19" s="56">
        <f t="shared" ref="E19:E26" si="1">SUM(F19:G19)</f>
        <v>24348.570000000003</v>
      </c>
      <c r="F19" s="57">
        <f>'数据-基础表'!I13</f>
        <v>24348.570000000003</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4"/>
      <c r="O19" s="2235"/>
      <c r="P19" s="1384">
        <f>N19+O19</f>
        <v>0</v>
      </c>
      <c r="R19" s="1229">
        <f t="shared" ref="R19:S26" si="5">D19+H19</f>
        <v>15134.65</v>
      </c>
      <c r="S19" s="1230">
        <f t="shared" si="5"/>
        <v>24348.570000000003</v>
      </c>
    </row>
    <row r="20" spans="1:19">
      <c r="A20" s="2236"/>
      <c r="B20" s="50" t="s">
        <v>1949</v>
      </c>
      <c r="C20" s="2953"/>
      <c r="D20" s="48">
        <f t="shared" ref="D20:D26" si="6">ROUND($D$3*E20/$E$3,2)</f>
        <v>0</v>
      </c>
      <c r="E20" s="56">
        <f t="shared" si="1"/>
        <v>0</v>
      </c>
      <c r="F20" s="57"/>
      <c r="G20" s="58"/>
      <c r="H20" s="719">
        <f t="shared" ref="H20:H26" si="7">ROUND($D$3*I20/$E$3,2)</f>
        <v>0</v>
      </c>
      <c r="I20" s="51">
        <f t="shared" si="2"/>
        <v>0</v>
      </c>
      <c r="J20" s="1373"/>
      <c r="K20" s="1372">
        <f t="shared" si="3"/>
        <v>0</v>
      </c>
      <c r="L20" s="1229">
        <f t="shared" si="4"/>
        <v>0</v>
      </c>
      <c r="M20" s="1384">
        <f t="shared" ref="M20:M26" si="8">K20+L20</f>
        <v>0</v>
      </c>
      <c r="N20" s="2234"/>
      <c r="O20" s="2235"/>
      <c r="P20" s="1384">
        <f t="shared" ref="P20:P26" si="9">N20+O20</f>
        <v>0</v>
      </c>
      <c r="R20" s="1229">
        <f t="shared" si="5"/>
        <v>0</v>
      </c>
      <c r="S20" s="1230">
        <f t="shared" si="5"/>
        <v>0</v>
      </c>
    </row>
    <row r="21" spans="1:19">
      <c r="A21" s="2236"/>
      <c r="B21" s="50" t="s">
        <v>1949</v>
      </c>
      <c r="C21" s="2953"/>
      <c r="D21" s="48">
        <f t="shared" si="6"/>
        <v>0</v>
      </c>
      <c r="E21" s="56">
        <f t="shared" si="1"/>
        <v>0</v>
      </c>
      <c r="F21" s="57"/>
      <c r="G21" s="58"/>
      <c r="H21" s="719">
        <f t="shared" si="7"/>
        <v>0</v>
      </c>
      <c r="I21" s="51">
        <f t="shared" si="2"/>
        <v>0</v>
      </c>
      <c r="J21" s="1373"/>
      <c r="K21" s="1372">
        <f t="shared" si="3"/>
        <v>0</v>
      </c>
      <c r="L21" s="1229">
        <f t="shared" si="4"/>
        <v>0</v>
      </c>
      <c r="M21" s="1384">
        <f t="shared" si="8"/>
        <v>0</v>
      </c>
      <c r="N21" s="2234"/>
      <c r="O21" s="2235"/>
      <c r="P21" s="1384">
        <f t="shared" si="9"/>
        <v>0</v>
      </c>
      <c r="R21" s="1229">
        <f t="shared" si="5"/>
        <v>0</v>
      </c>
      <c r="S21" s="1230">
        <f t="shared" si="5"/>
        <v>0</v>
      </c>
    </row>
    <row r="22" spans="1:19">
      <c r="A22" s="2236"/>
      <c r="B22" s="50" t="s">
        <v>1949</v>
      </c>
      <c r="C22" s="2953"/>
      <c r="D22" s="48">
        <f t="shared" si="6"/>
        <v>0</v>
      </c>
      <c r="E22" s="56">
        <f t="shared" si="1"/>
        <v>0</v>
      </c>
      <c r="F22" s="61"/>
      <c r="G22" s="62"/>
      <c r="H22" s="719">
        <f t="shared" si="7"/>
        <v>0</v>
      </c>
      <c r="I22" s="51">
        <f t="shared" si="2"/>
        <v>0</v>
      </c>
      <c r="J22" s="1373"/>
      <c r="K22" s="1372">
        <f t="shared" si="3"/>
        <v>0</v>
      </c>
      <c r="L22" s="1229">
        <f t="shared" si="4"/>
        <v>0</v>
      </c>
      <c r="M22" s="1384">
        <f t="shared" si="8"/>
        <v>0</v>
      </c>
      <c r="N22" s="2234"/>
      <c r="O22" s="2235"/>
      <c r="P22" s="1384">
        <f t="shared" si="9"/>
        <v>0</v>
      </c>
      <c r="R22" s="1229">
        <f t="shared" si="5"/>
        <v>0</v>
      </c>
      <c r="S22" s="1230">
        <f t="shared" si="5"/>
        <v>0</v>
      </c>
    </row>
    <row r="23" spans="1:19">
      <c r="A23" s="2236"/>
      <c r="B23" s="50" t="s">
        <v>1949</v>
      </c>
      <c r="C23" s="2953"/>
      <c r="D23" s="48">
        <f>ROUND($D$3*E23/$E$3,2)</f>
        <v>0</v>
      </c>
      <c r="E23" s="56">
        <f>SUM(F23:G23)</f>
        <v>0</v>
      </c>
      <c r="F23" s="61"/>
      <c r="G23" s="62"/>
      <c r="H23" s="719">
        <f>ROUND($D$3*I23/$E$3,2)</f>
        <v>0</v>
      </c>
      <c r="I23" s="51">
        <f t="shared" si="2"/>
        <v>0</v>
      </c>
      <c r="J23" s="1373"/>
      <c r="K23" s="1372">
        <f t="shared" si="3"/>
        <v>0</v>
      </c>
      <c r="L23" s="1229">
        <f t="shared" si="4"/>
        <v>0</v>
      </c>
      <c r="M23" s="1384">
        <f t="shared" si="8"/>
        <v>0</v>
      </c>
      <c r="N23" s="2234"/>
      <c r="O23" s="2235"/>
      <c r="P23" s="1384">
        <f t="shared" si="9"/>
        <v>0</v>
      </c>
      <c r="R23" s="1229">
        <f t="shared" si="5"/>
        <v>0</v>
      </c>
      <c r="S23" s="1230">
        <f t="shared" si="5"/>
        <v>0</v>
      </c>
    </row>
    <row r="24" spans="1:19">
      <c r="A24" s="2236"/>
      <c r="B24" s="50" t="s">
        <v>1949</v>
      </c>
      <c r="C24" s="2953"/>
      <c r="D24" s="48">
        <f>ROUND($D$3*E24/$E$3,2)</f>
        <v>0</v>
      </c>
      <c r="E24" s="56">
        <f>SUM(F24:G24)</f>
        <v>0</v>
      </c>
      <c r="F24" s="61"/>
      <c r="G24" s="62"/>
      <c r="H24" s="719">
        <f>ROUND($D$3*I24/$E$3,2)</f>
        <v>0</v>
      </c>
      <c r="I24" s="51">
        <f t="shared" si="2"/>
        <v>0</v>
      </c>
      <c r="J24" s="1373"/>
      <c r="K24" s="1372">
        <f t="shared" si="3"/>
        <v>0</v>
      </c>
      <c r="L24" s="1229">
        <f t="shared" si="4"/>
        <v>0</v>
      </c>
      <c r="M24" s="1384">
        <f t="shared" si="8"/>
        <v>0</v>
      </c>
      <c r="N24" s="2234"/>
      <c r="O24" s="2235"/>
      <c r="P24" s="1384">
        <f t="shared" si="9"/>
        <v>0</v>
      </c>
      <c r="R24" s="1229">
        <f t="shared" si="5"/>
        <v>0</v>
      </c>
      <c r="S24" s="1230">
        <f t="shared" si="5"/>
        <v>0</v>
      </c>
    </row>
    <row r="25" spans="1:19">
      <c r="A25" s="2236"/>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4"/>
      <c r="O25" s="2235"/>
      <c r="P25" s="1384">
        <f t="shared" si="9"/>
        <v>0</v>
      </c>
      <c r="R25" s="1229">
        <f t="shared" si="5"/>
        <v>0</v>
      </c>
      <c r="S25" s="1230">
        <f t="shared" si="5"/>
        <v>0</v>
      </c>
    </row>
    <row r="26" spans="1:19">
      <c r="A26" s="2236"/>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7"/>
      <c r="O26" s="2238"/>
      <c r="P26" s="67">
        <f t="shared" si="9"/>
        <v>0</v>
      </c>
      <c r="R26" s="1229">
        <f t="shared" si="5"/>
        <v>0</v>
      </c>
      <c r="S26" s="1230">
        <f t="shared" si="5"/>
        <v>0</v>
      </c>
    </row>
    <row r="27" spans="1:19" ht="15.75" thickBot="1">
      <c r="A27" s="2236"/>
      <c r="B27" s="48"/>
      <c r="C27" s="2239" t="s">
        <v>1950</v>
      </c>
      <c r="D27" s="1374">
        <f>SUM(D19:D26)</f>
        <v>15134.65</v>
      </c>
      <c r="E27" s="1375">
        <f>IF(SUM(E19:E26)='数据-基础表'!BA5,SUM(E19:E26),IF(F27="地上面积有误","面积有误","地下面积有误"))</f>
        <v>24348.570000000003</v>
      </c>
      <c r="F27" s="1374">
        <f>IF(SUM(F19:F26)=E8,SUM(F19:F26),"地上面积有误")</f>
        <v>24348.570000000003</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15134.65</v>
      </c>
      <c r="S27" s="1229">
        <f>IF(SUM(S19:S26)=$E$3,SUM(S19:S26),SUM(S19:S26)&amp;"误差"&amp;ROUND(SUM(S19:S26)-E3,2))</f>
        <v>24348.570000000003</v>
      </c>
    </row>
    <row r="28" spans="1:19">
      <c r="A28" s="2236"/>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6"/>
      <c r="B29" s="50" t="s">
        <v>1951</v>
      </c>
      <c r="C29" s="2240"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6"/>
      <c r="B30" s="50"/>
      <c r="C30" s="2241"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2"/>
      <c r="B31" s="2243"/>
      <c r="C31" s="997" t="s">
        <v>1954</v>
      </c>
      <c r="D31" s="725">
        <f>D27+D30</f>
        <v>15134.65</v>
      </c>
      <c r="E31" s="725">
        <f>E27+E30</f>
        <v>24348.570000000003</v>
      </c>
      <c r="F31" s="726">
        <f>F27+F30</f>
        <v>24348.570000000003</v>
      </c>
      <c r="G31" s="727">
        <f>G27+G30</f>
        <v>0</v>
      </c>
      <c r="H31" s="1373"/>
      <c r="I31" s="1373"/>
      <c r="J31" s="1373"/>
      <c r="K31" s="1373"/>
      <c r="L31" s="1373"/>
      <c r="M31" s="1373"/>
      <c r="N31" s="1373"/>
      <c r="O31" s="1373"/>
      <c r="P31" s="1373"/>
    </row>
    <row r="32" spans="1:19">
      <c r="A32" s="2207"/>
      <c r="B32" s="2207" t="s">
        <v>1955</v>
      </c>
      <c r="C32" s="2207"/>
      <c r="D32" s="2207"/>
      <c r="E32" s="1256">
        <f>SUMIF(C19:C26,"*住宅*",E19:E26)</f>
        <v>0</v>
      </c>
      <c r="F32" s="2207"/>
      <c r="G32" s="2207"/>
      <c r="H32" s="1373"/>
      <c r="I32" s="1373"/>
      <c r="J32" s="1373"/>
      <c r="K32" s="1373"/>
      <c r="L32" s="1373"/>
      <c r="M32" s="1373"/>
      <c r="N32" s="1373"/>
      <c r="O32" s="1373"/>
      <c r="P32" s="1373"/>
    </row>
    <row r="33" spans="4:4">
      <c r="D33" s="224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18" customWidth="1"/>
    <col min="2" max="2" width="12" style="2248" customWidth="1"/>
    <col min="3" max="3" width="10.75" style="2248" customWidth="1"/>
    <col min="4" max="4" width="9.125" style="2319" customWidth="1"/>
    <col min="5" max="5" width="15" style="2248" bestFit="1" customWidth="1"/>
    <col min="6" max="10" width="8.875" style="2248" customWidth="1"/>
    <col min="11" max="12" width="12.375" style="2163" customWidth="1"/>
    <col min="13" max="13" width="8.625" style="2248" customWidth="1"/>
    <col min="14" max="14" width="11.875" style="2248" customWidth="1"/>
    <col min="15" max="15" width="8.5" style="2248" customWidth="1"/>
    <col min="16" max="17" width="10.875" style="2248" customWidth="1"/>
    <col min="18" max="19" width="12.5" style="2248" customWidth="1"/>
    <col min="20" max="20" width="12.125" style="2248" customWidth="1"/>
    <col min="21" max="21" width="7.5" style="2248" customWidth="1"/>
    <col min="22" max="22" width="6.375" style="2248" customWidth="1"/>
    <col min="23" max="30" width="6.75" style="2248" customWidth="1"/>
    <col min="31" max="31" width="8" style="2248" customWidth="1"/>
    <col min="32" max="33" width="7.25" style="2248" customWidth="1"/>
    <col min="34" max="34" width="9.625" style="2248" bestFit="1" customWidth="1"/>
    <col min="35" max="39" width="8" style="2248" customWidth="1"/>
    <col min="40" max="40" width="13.75" style="2247"/>
    <col min="41" max="41" width="11.625" style="2247" customWidth="1"/>
    <col min="42" max="42" width="9.75" style="2247" customWidth="1"/>
    <col min="43" max="67" width="13.75" style="2247"/>
    <col min="68" max="16384" width="13.75" style="2248"/>
  </cols>
  <sheetData>
    <row r="1" spans="1:67" ht="19.5" thickBot="1">
      <c r="A1" s="2245" t="s">
        <v>1956</v>
      </c>
      <c r="B1" s="728"/>
      <c r="C1" s="1561"/>
      <c r="D1" s="2246"/>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49" t="s">
        <v>1957</v>
      </c>
      <c r="B2" s="1248">
        <f>项目基本情况!D3</f>
        <v>43840</v>
      </c>
      <c r="C2" s="2250"/>
      <c r="D2" s="2251"/>
      <c r="E2" s="2250"/>
      <c r="F2" s="2250"/>
      <c r="G2" s="2250"/>
      <c r="H2" s="2250"/>
      <c r="I2" s="2250"/>
      <c r="J2" s="2250"/>
      <c r="K2" s="1408"/>
      <c r="L2" s="1408"/>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2"/>
      <c r="AO2" s="2252"/>
      <c r="AP2" s="2252"/>
      <c r="AQ2" s="2252"/>
      <c r="AR2" s="2252"/>
      <c r="AS2" s="2252"/>
      <c r="AT2" s="2252"/>
      <c r="AU2" s="2252"/>
      <c r="AV2" s="2252"/>
      <c r="AW2" s="2252"/>
      <c r="AX2" s="2252"/>
      <c r="AY2" s="2252"/>
      <c r="AZ2" s="2252"/>
      <c r="BA2" s="2252"/>
      <c r="BB2" s="2252"/>
      <c r="BC2" s="2252"/>
      <c r="BD2" s="2252"/>
      <c r="BE2" s="2252"/>
      <c r="BF2" s="2252"/>
      <c r="BG2" s="2252"/>
      <c r="BH2" s="2252"/>
      <c r="BI2" s="2252"/>
      <c r="BJ2" s="2252"/>
      <c r="BK2" s="2252"/>
      <c r="BL2" s="2252"/>
      <c r="BM2" s="2252"/>
      <c r="BN2" s="2252"/>
      <c r="BO2" s="2252"/>
    </row>
    <row r="3" spans="1:67" s="2010" customFormat="1" ht="15" thickBot="1">
      <c r="A3" s="2008"/>
      <c r="B3" s="2253"/>
      <c r="C3" s="2250"/>
      <c r="D3" s="2251"/>
      <c r="E3" s="2250"/>
      <c r="F3" s="2250"/>
      <c r="G3" s="2250"/>
      <c r="H3" s="2250"/>
      <c r="I3" s="2250"/>
      <c r="J3" s="2250"/>
      <c r="K3" s="1408"/>
      <c r="L3" s="1408"/>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row>
    <row r="4" spans="1:67" s="2010" customFormat="1" ht="15" thickBot="1">
      <c r="A4" s="68" t="s">
        <v>1958</v>
      </c>
      <c r="B4" s="2254"/>
      <c r="C4" s="2255"/>
      <c r="D4" s="2256"/>
      <c r="E4" s="2255" t="s">
        <v>1959</v>
      </c>
      <c r="F4" s="2255"/>
      <c r="G4" s="2255"/>
      <c r="H4" s="2255"/>
      <c r="I4" s="2255"/>
      <c r="J4" s="2257"/>
      <c r="K4" s="2258"/>
      <c r="L4" s="2259"/>
      <c r="M4" s="2255"/>
      <c r="N4" s="2255" t="s">
        <v>1960</v>
      </c>
      <c r="O4" s="2255"/>
      <c r="P4" s="2255"/>
      <c r="Q4" s="2255"/>
      <c r="R4" s="2255"/>
      <c r="S4" s="2257"/>
      <c r="T4" s="2260" t="str">
        <f>'数据-汇总表'!I17</f>
        <v>按面积比例</v>
      </c>
      <c r="U4" s="2254" t="s">
        <v>1961</v>
      </c>
      <c r="V4" s="2255"/>
      <c r="W4" s="2255"/>
      <c r="X4" s="2255"/>
      <c r="Y4" s="2257"/>
      <c r="Z4" s="2218" t="s">
        <v>1962</v>
      </c>
      <c r="AA4" s="2218"/>
      <c r="AB4" s="2218"/>
      <c r="AC4" s="2218"/>
      <c r="AD4" s="2218"/>
      <c r="AE4" s="2216" t="s">
        <v>1963</v>
      </c>
      <c r="AF4" s="2218"/>
      <c r="AG4" s="2261"/>
      <c r="AH4" s="2254"/>
      <c r="AI4" s="2255"/>
      <c r="AJ4" s="2255"/>
      <c r="AK4" s="2255"/>
      <c r="AL4" s="2255"/>
      <c r="AM4" s="2257"/>
      <c r="AN4" s="2252"/>
      <c r="AO4" s="2252"/>
      <c r="AP4" s="2252"/>
      <c r="AQ4" s="2252"/>
      <c r="AR4" s="2252"/>
      <c r="AS4" s="2252"/>
      <c r="AT4" s="2252"/>
      <c r="AU4" s="2252"/>
      <c r="AV4" s="2252"/>
      <c r="AW4" s="2252"/>
      <c r="AX4" s="2252"/>
      <c r="AY4" s="2252"/>
      <c r="AZ4" s="2252"/>
      <c r="BA4" s="2252"/>
      <c r="BB4" s="2252"/>
      <c r="BC4" s="2252"/>
      <c r="BD4" s="2252"/>
      <c r="BE4" s="2252"/>
      <c r="BF4" s="2252"/>
      <c r="BG4" s="2252"/>
      <c r="BH4" s="2252"/>
      <c r="BI4" s="2252"/>
      <c r="BJ4" s="2252"/>
      <c r="BK4" s="2252"/>
      <c r="BL4" s="2252"/>
      <c r="BM4" s="2252"/>
      <c r="BN4" s="2252"/>
      <c r="BO4" s="2252"/>
    </row>
    <row r="5" spans="1:67" s="2011" customFormat="1" ht="42">
      <c r="A5" s="2262" t="s">
        <v>1964</v>
      </c>
      <c r="B5" s="2263" t="s">
        <v>1965</v>
      </c>
      <c r="C5" s="2264" t="s">
        <v>1966</v>
      </c>
      <c r="D5" s="2265" t="s">
        <v>1967</v>
      </c>
      <c r="E5" s="1250" t="s">
        <v>1968</v>
      </c>
      <c r="F5" s="2266" t="s">
        <v>1969</v>
      </c>
      <c r="G5" s="1250" t="s">
        <v>1970</v>
      </c>
      <c r="H5" s="1250" t="s">
        <v>1971</v>
      </c>
      <c r="I5" s="1250" t="s">
        <v>1972</v>
      </c>
      <c r="J5" s="2267" t="s">
        <v>1973</v>
      </c>
      <c r="K5" s="2268" t="s">
        <v>1974</v>
      </c>
      <c r="L5" s="2269" t="s">
        <v>1975</v>
      </c>
      <c r="M5" s="2270" t="s">
        <v>1976</v>
      </c>
      <c r="N5" s="2271" t="s">
        <v>3046</v>
      </c>
      <c r="O5" s="2269" t="s">
        <v>1977</v>
      </c>
      <c r="P5" s="2272" t="s">
        <v>1978</v>
      </c>
      <c r="Q5" s="69" t="s">
        <v>1979</v>
      </c>
      <c r="R5" s="2273" t="s">
        <v>1980</v>
      </c>
      <c r="S5" s="2274" t="s">
        <v>1981</v>
      </c>
      <c r="T5" s="2275" t="s">
        <v>1982</v>
      </c>
      <c r="U5" s="1249" t="s">
        <v>1983</v>
      </c>
      <c r="V5" s="1250" t="s">
        <v>1984</v>
      </c>
      <c r="W5" s="1250" t="s">
        <v>1985</v>
      </c>
      <c r="X5" s="71"/>
      <c r="Y5" s="70" t="s">
        <v>1986</v>
      </c>
      <c r="Z5" s="2276" t="s">
        <v>1983</v>
      </c>
      <c r="AA5" s="1250" t="s">
        <v>1984</v>
      </c>
      <c r="AB5" s="1250" t="s">
        <v>1985</v>
      </c>
      <c r="AC5" s="71"/>
      <c r="AD5" s="71" t="s">
        <v>1986</v>
      </c>
      <c r="AE5" s="1249" t="s">
        <v>1987</v>
      </c>
      <c r="AF5" s="1250" t="s">
        <v>1988</v>
      </c>
      <c r="AG5" s="70" t="s">
        <v>1989</v>
      </c>
      <c r="AH5" s="1249" t="s">
        <v>1990</v>
      </c>
      <c r="AI5" s="2276" t="s">
        <v>1991</v>
      </c>
      <c r="AJ5" s="2276" t="s">
        <v>1992</v>
      </c>
      <c r="AK5" s="1250" t="s">
        <v>1993</v>
      </c>
      <c r="AL5" s="1250" t="s">
        <v>1994</v>
      </c>
      <c r="AM5" s="70" t="s">
        <v>1995</v>
      </c>
      <c r="AN5" s="2277" t="s">
        <v>1996</v>
      </c>
      <c r="AO5" s="2048" t="s">
        <v>1997</v>
      </c>
      <c r="AP5" s="1231" t="s">
        <v>1998</v>
      </c>
      <c r="AQ5" s="2278" t="s">
        <v>1999</v>
      </c>
      <c r="AR5" s="2278" t="s">
        <v>2000</v>
      </c>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row>
    <row r="6" spans="1:67" s="2010" customFormat="1" ht="14.25">
      <c r="A6" s="2279" t="str">
        <f>'数据-汇总表'!C19</f>
        <v>商业二层</v>
      </c>
      <c r="B6" s="2280" t="str">
        <f>IF(A6=0,"","经营性")</f>
        <v>经营性</v>
      </c>
      <c r="C6" s="2281" t="s">
        <v>1366</v>
      </c>
      <c r="D6" s="1041">
        <f>SUMIF(项目基本情况!D$12:I$12,C6,项目基本情况!D$14:I$14)</f>
        <v>40</v>
      </c>
      <c r="E6" s="1038">
        <f>IF(B6="","",SUMIF(项目基本情况!D$12:I$12,C6,项目基本情况!D$13:I$13))</f>
        <v>57662</v>
      </c>
      <c r="F6" s="72">
        <f>SUMIF(项目基本情况!D$12:I$12,C6,项目基本情况!D$15:I$15)</f>
        <v>37.86</v>
      </c>
      <c r="G6" s="73">
        <f>IF(ISERROR(ROUND(POWER(1+H6,D6-F6)*(POWER(1+H6,F6)-1)/(POWER(1+H6,D6)-1),3)),0,ROUND(POWER(1+H6,D6-F6)*(POWER(1+H6,F6)-1)/(POWER(1+H6,D6)-1),3))</f>
        <v>0.98399999999999999</v>
      </c>
      <c r="H6" s="797">
        <v>5.5E-2</v>
      </c>
      <c r="I6" s="797">
        <v>0.06</v>
      </c>
      <c r="J6" s="74">
        <v>8.5000000000000006E-2</v>
      </c>
      <c r="K6" s="1233">
        <f>SUMIF('数据-汇总表'!C$19:C$33,A6,'数据-汇总表'!E$19:E$33)</f>
        <v>24348.570000000003</v>
      </c>
      <c r="L6" s="798">
        <v>3200</v>
      </c>
      <c r="M6" s="75">
        <f t="shared" ref="M6:M14" si="0">ROUND(K6*L6/10000,0)</f>
        <v>7792</v>
      </c>
      <c r="N6" s="796">
        <f>ROUND(1-(2020-2019)/60,2)</f>
        <v>0.98</v>
      </c>
      <c r="O6" s="75" t="str">
        <f>IF($N$5="成新度","——",ROUND(M6*N6,0))</f>
        <v>——</v>
      </c>
      <c r="P6" s="76" t="str">
        <f>IF($N$5="成新度","——",M6-O6)</f>
        <v>——</v>
      </c>
      <c r="Q6" s="799">
        <v>0.2</v>
      </c>
      <c r="R6" s="77">
        <f ca="1">SUMIF('数据-汇总表'!C$19:C$33,A6,'数据-汇总表'!R$19:R$27)</f>
        <v>15134.65</v>
      </c>
      <c r="S6" s="54">
        <f>IF('数据-汇总表'!$I$17="按面积比例",SUMIF('数据-汇总表'!C$19:C$33,A6,'数据-汇总表'!K$19:K$33),SUMIF('数据-汇总表'!C$19:C$33,A6,'数据-汇总表'!N$19:N$33))</f>
        <v>0</v>
      </c>
      <c r="T6" s="1424">
        <f>ROUND($L$14*S6/10000,0)</f>
        <v>0</v>
      </c>
      <c r="U6" s="3402">
        <v>2.5</v>
      </c>
      <c r="V6" s="3403">
        <v>2.5000000000000001E-2</v>
      </c>
      <c r="W6" s="3403">
        <v>0.1</v>
      </c>
      <c r="X6" s="3404"/>
      <c r="Y6" s="3405">
        <f>N6</f>
        <v>0.98</v>
      </c>
      <c r="Z6" s="3417"/>
      <c r="AA6" s="3407"/>
      <c r="AB6" s="3407"/>
      <c r="AC6" s="3404"/>
      <c r="AD6" s="3418"/>
      <c r="AE6" s="1244">
        <f ca="1">IF(AN6="",0,SUMIF(INDIRECT("'"&amp;AN6&amp;"'"&amp;"!E:E"),$AE$5,INDIRECT("'"&amp;AN6&amp;"'"&amp;"!F:F")))</f>
        <v>37.86</v>
      </c>
      <c r="AF6" s="3409"/>
      <c r="AG6" s="147">
        <f>IF(AF6="",0,AE6-AF6)</f>
        <v>0</v>
      </c>
      <c r="AH6" s="2954">
        <f>K6</f>
        <v>24348.570000000003</v>
      </c>
      <c r="AI6" s="85">
        <v>365</v>
      </c>
      <c r="AJ6" s="86"/>
      <c r="AK6" s="87">
        <v>1.4999999999999999E-2</v>
      </c>
      <c r="AL6" s="88">
        <v>1.5E-3</v>
      </c>
      <c r="AM6" s="89">
        <v>0.01</v>
      </c>
      <c r="AN6" s="2282" t="s">
        <v>3666</v>
      </c>
      <c r="AO6" s="55">
        <f ca="1">SUMIF(INDIRECT("'"&amp;AN6&amp;"'"&amp;"!A:A"),"总价",INDIRECT("'"&amp;AN6&amp;"'"&amp;"!B:B"))</f>
        <v>29808</v>
      </c>
      <c r="AP6" s="2283">
        <f>IF(C6="住宅",K6*L6,0)</f>
        <v>0</v>
      </c>
      <c r="AQ6" s="55">
        <f>ROUND($L$14*$N$14*S6/10000,0)</f>
        <v>0</v>
      </c>
      <c r="AR6" s="55">
        <f>ROUND($L$14*(1-$N$14)*S6/10000,0)</f>
        <v>0</v>
      </c>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row>
    <row r="7" spans="1:67" s="2010" customFormat="1" ht="14.25">
      <c r="A7" s="2279">
        <f>'数据-汇总表'!C20</f>
        <v>0</v>
      </c>
      <c r="B7" s="2280" t="str">
        <f t="shared" ref="B7:B13" si="1">IF(A7=0,"","经营性")</f>
        <v/>
      </c>
      <c r="C7" s="2281" t="s">
        <v>1366</v>
      </c>
      <c r="D7" s="1041">
        <f>SUMIF(项目基本情况!D$12:I$12,C7,项目基本情况!D$14:I$14)</f>
        <v>40</v>
      </c>
      <c r="E7" s="1038" t="str">
        <f>IF(B7="","",SUMIF(项目基本情况!D$12:I$12,C7,项目基本情况!D$13:I$13))</f>
        <v/>
      </c>
      <c r="F7" s="72">
        <f>SUMIF(项目基本情况!D$12:I$12,C7,项目基本情况!D$15:I$15)</f>
        <v>37.86</v>
      </c>
      <c r="G7" s="73">
        <f t="shared" ref="G7:G11" si="2">IF(ISERROR(ROUND(POWER(1+H7,D7-F7)*(POWER(1+H7,F7)-1)/(POWER(1+H7,D7)-1),3)),0,ROUND(POWER(1+H7,D7-F7)*(POWER(1+H7,F7)-1)/(POWER(1+H7,D7)-1),3))</f>
        <v>0.98399999999999999</v>
      </c>
      <c r="H7" s="797">
        <v>5.5E-2</v>
      </c>
      <c r="I7" s="797">
        <v>0.06</v>
      </c>
      <c r="J7" s="74">
        <v>8.5000000000000006E-2</v>
      </c>
      <c r="K7" s="1233">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4">
        <f t="shared" ref="T7:T13" si="5">ROUND($L$14*S7/10000,0)</f>
        <v>0</v>
      </c>
      <c r="U7" s="3416"/>
      <c r="V7" s="79"/>
      <c r="W7" s="79"/>
      <c r="X7" s="1243"/>
      <c r="Y7" s="80"/>
      <c r="Z7" s="81"/>
      <c r="AA7" s="74"/>
      <c r="AB7" s="74"/>
      <c r="AC7" s="1243"/>
      <c r="AD7" s="82"/>
      <c r="AE7" s="1244">
        <f t="shared" ref="AE7:AE13" ca="1" si="6">IF(AN7="",0,SUMIF(INDIRECT("'"&amp;AN7&amp;"'"&amp;"!E:E"),$AE$5,INDIRECT("'"&amp;AN7&amp;"'"&amp;"!F:F")))</f>
        <v>0</v>
      </c>
      <c r="AF7" s="3395"/>
      <c r="AG7" s="147">
        <f t="shared" ref="AG7:AG13" si="7">IF(AF7="",0,AE7-AF7)</f>
        <v>0</v>
      </c>
      <c r="AH7" s="2954"/>
      <c r="AI7" s="85"/>
      <c r="AJ7" s="86"/>
      <c r="AK7" s="87"/>
      <c r="AL7" s="88"/>
      <c r="AM7" s="89"/>
      <c r="AN7" s="2282"/>
      <c r="AO7" s="55" t="e">
        <f t="shared" ref="AO7:AO13" ca="1" si="8">SUMIF(INDIRECT("'"&amp;AN7&amp;"'"&amp;"!A:A"),"总价",INDIRECT("'"&amp;AN7&amp;"'"&amp;"!B:B"))</f>
        <v>#REF!</v>
      </c>
      <c r="AP7" s="2283">
        <f t="shared" ref="AP7:AP13" si="9">IF(C7="住宅",K7*L7,0)</f>
        <v>0</v>
      </c>
      <c r="AQ7" s="55">
        <f t="shared" ref="AQ7:AQ13" si="10">ROUND($L$14*$N$14*S7/10000,0)</f>
        <v>0</v>
      </c>
      <c r="AR7" s="55">
        <f t="shared" ref="AR7:AR13" si="11">ROUND($L$14*(1-$N$14)*S7/10000,0)</f>
        <v>0</v>
      </c>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row>
    <row r="8" spans="1:67" s="2010" customFormat="1" ht="14.25">
      <c r="A8" s="2279">
        <f>'数据-汇总表'!C21</f>
        <v>0</v>
      </c>
      <c r="B8" s="2280" t="str">
        <f t="shared" si="1"/>
        <v/>
      </c>
      <c r="C8" s="2281" t="s">
        <v>1366</v>
      </c>
      <c r="D8" s="1041">
        <f>SUMIF(项目基本情况!D$12:I$12,C8,项目基本情况!D$14:I$14)</f>
        <v>40</v>
      </c>
      <c r="E8" s="1038" t="str">
        <f>IF(B8="","",SUMIF(项目基本情况!D$12:I$12,C8,项目基本情况!D$13:I$13))</f>
        <v/>
      </c>
      <c r="F8" s="72">
        <f>SUMIF(项目基本情况!D$12:I$12,C8,项目基本情况!D$15:I$15)</f>
        <v>37.86</v>
      </c>
      <c r="G8" s="73">
        <f t="shared" si="2"/>
        <v>0.98199999999999998</v>
      </c>
      <c r="H8" s="797">
        <v>0.05</v>
      </c>
      <c r="I8" s="797">
        <v>5.5E-2</v>
      </c>
      <c r="J8" s="74">
        <v>8.5000000000000006E-2</v>
      </c>
      <c r="K8" s="1233">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4">
        <f t="shared" si="5"/>
        <v>0</v>
      </c>
      <c r="U8" s="3408"/>
      <c r="V8" s="3403"/>
      <c r="W8" s="3403"/>
      <c r="X8" s="1243"/>
      <c r="Y8" s="80"/>
      <c r="Z8" s="3406"/>
      <c r="AA8" s="3407"/>
      <c r="AB8" s="3407"/>
      <c r="AC8" s="1243"/>
      <c r="AD8" s="82"/>
      <c r="AE8" s="1244">
        <f t="shared" ca="1" si="6"/>
        <v>0</v>
      </c>
      <c r="AF8" s="3395"/>
      <c r="AG8" s="147">
        <f t="shared" si="7"/>
        <v>0</v>
      </c>
      <c r="AH8" s="2954"/>
      <c r="AI8" s="85"/>
      <c r="AJ8" s="86"/>
      <c r="AK8" s="87"/>
      <c r="AL8" s="88"/>
      <c r="AM8" s="89"/>
      <c r="AN8" s="2282"/>
      <c r="AO8" s="55" t="e">
        <f t="shared" ca="1" si="8"/>
        <v>#REF!</v>
      </c>
      <c r="AP8" s="2283">
        <f t="shared" si="9"/>
        <v>0</v>
      </c>
      <c r="AQ8" s="55">
        <f t="shared" si="10"/>
        <v>0</v>
      </c>
      <c r="AR8" s="55">
        <f t="shared" si="11"/>
        <v>0</v>
      </c>
      <c r="AS8" s="2252"/>
      <c r="AT8" s="2252"/>
      <c r="AU8" s="2252"/>
      <c r="AV8" s="2252"/>
      <c r="AW8" s="2252"/>
      <c r="AX8" s="2252"/>
      <c r="AY8" s="2252"/>
      <c r="AZ8" s="2252"/>
      <c r="BA8" s="2252"/>
      <c r="BB8" s="2252"/>
      <c r="BC8" s="2252"/>
      <c r="BD8" s="2252"/>
      <c r="BE8" s="2252"/>
      <c r="BF8" s="2252"/>
      <c r="BG8" s="2252"/>
      <c r="BH8" s="2252"/>
      <c r="BI8" s="2252"/>
      <c r="BJ8" s="2252"/>
      <c r="BK8" s="2252"/>
      <c r="BL8" s="2252"/>
      <c r="BM8" s="2252"/>
      <c r="BN8" s="2252"/>
      <c r="BO8" s="2252"/>
    </row>
    <row r="9" spans="1:67" s="2010" customFormat="1" ht="14.25">
      <c r="A9" s="2279">
        <f>'数据-汇总表'!C22</f>
        <v>0</v>
      </c>
      <c r="B9" s="2280" t="str">
        <f t="shared" si="1"/>
        <v/>
      </c>
      <c r="C9" s="2281" t="s">
        <v>1366</v>
      </c>
      <c r="D9" s="1041">
        <f>SUMIF(项目基本情况!D$12:I$12,C9,项目基本情况!D$14:I$14)</f>
        <v>40</v>
      </c>
      <c r="E9" s="1038" t="str">
        <f>IF(B9="","",SUMIF(项目基本情况!D$12:I$12,C9,项目基本情况!D$13:I$13))</f>
        <v/>
      </c>
      <c r="F9" s="72">
        <f>SUMIF(项目基本情况!D$12:I$12,C9,项目基本情况!D$15:I$15)</f>
        <v>37.86</v>
      </c>
      <c r="G9" s="73">
        <f t="shared" si="2"/>
        <v>0.98199999999999998</v>
      </c>
      <c r="H9" s="797">
        <v>0.05</v>
      </c>
      <c r="I9" s="797">
        <v>5.5E-2</v>
      </c>
      <c r="J9" s="74">
        <v>8.5000000000000006E-2</v>
      </c>
      <c r="K9" s="1233">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c r="Z9" s="81"/>
      <c r="AA9" s="74"/>
      <c r="AB9" s="74"/>
      <c r="AC9" s="1243"/>
      <c r="AD9" s="82"/>
      <c r="AE9" s="1244">
        <f t="shared" ca="1" si="6"/>
        <v>0</v>
      </c>
      <c r="AF9" s="1784"/>
      <c r="AG9" s="147">
        <f t="shared" si="7"/>
        <v>0</v>
      </c>
      <c r="AH9" s="2954"/>
      <c r="AI9" s="85"/>
      <c r="AJ9" s="86"/>
      <c r="AK9" s="87"/>
      <c r="AL9" s="88"/>
      <c r="AM9" s="89"/>
      <c r="AN9" s="2282"/>
      <c r="AO9" s="55" t="e">
        <f t="shared" ca="1" si="8"/>
        <v>#REF!</v>
      </c>
      <c r="AP9" s="2283">
        <f t="shared" si="9"/>
        <v>0</v>
      </c>
      <c r="AQ9" s="55">
        <f t="shared" si="10"/>
        <v>0</v>
      </c>
      <c r="AR9" s="55">
        <f t="shared" si="11"/>
        <v>0</v>
      </c>
      <c r="AS9" s="2252"/>
      <c r="AT9" s="2252"/>
      <c r="AU9" s="2252"/>
      <c r="AV9" s="2252"/>
      <c r="AW9" s="2252"/>
      <c r="AX9" s="2252"/>
      <c r="AY9" s="2252"/>
      <c r="AZ9" s="2252"/>
      <c r="BA9" s="2252"/>
      <c r="BB9" s="2252"/>
      <c r="BC9" s="2252"/>
      <c r="BD9" s="2252"/>
      <c r="BE9" s="2252"/>
      <c r="BF9" s="2252"/>
      <c r="BG9" s="2252"/>
      <c r="BH9" s="2252"/>
      <c r="BI9" s="2252"/>
      <c r="BJ9" s="2252"/>
      <c r="BK9" s="2252"/>
      <c r="BL9" s="2252"/>
      <c r="BM9" s="2252"/>
      <c r="BN9" s="2252"/>
      <c r="BO9" s="2252"/>
    </row>
    <row r="10" spans="1:67" s="2010" customFormat="1" ht="14.25">
      <c r="A10" s="2279">
        <f>'数据-汇总表'!C23</f>
        <v>0</v>
      </c>
      <c r="B10" s="2280" t="str">
        <f t="shared" si="1"/>
        <v/>
      </c>
      <c r="C10" s="2281" t="s">
        <v>3397</v>
      </c>
      <c r="D10" s="1041">
        <f>SUMIF(项目基本情况!D$12:I$12,C10,项目基本情况!D$14:I$14)</f>
        <v>50</v>
      </c>
      <c r="E10" s="1038" t="str">
        <f>IF(B10="","",SUMIF(项目基本情况!D$12:I$12,C10,项目基本情况!D$13:I$13))</f>
        <v/>
      </c>
      <c r="F10" s="72">
        <f>SUMIF(项目基本情况!D$12:I$12,C10,项目基本情况!D$15:I$15)</f>
        <v>0</v>
      </c>
      <c r="G10" s="73">
        <f t="shared" si="2"/>
        <v>0</v>
      </c>
      <c r="H10" s="797">
        <v>4.4999999999999998E-2</v>
      </c>
      <c r="I10" s="797">
        <v>0.05</v>
      </c>
      <c r="J10" s="74">
        <v>8.5000000000000006E-2</v>
      </c>
      <c r="K10" s="1233">
        <f>SUMIF('数据-汇总表'!C$19:C$33,A10,'数据-汇总表'!E$19:E$33)</f>
        <v>0</v>
      </c>
      <c r="L10" s="798"/>
      <c r="M10" s="75">
        <f t="shared" si="0"/>
        <v>0</v>
      </c>
      <c r="N10" s="796"/>
      <c r="O10" s="75" t="str">
        <f t="shared" si="3"/>
        <v>——</v>
      </c>
      <c r="P10" s="76" t="str">
        <f t="shared" si="4"/>
        <v>——</v>
      </c>
      <c r="Q10" s="799"/>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c r="Z10" s="81"/>
      <c r="AA10" s="74"/>
      <c r="AB10" s="74"/>
      <c r="AC10" s="1243"/>
      <c r="AD10" s="82"/>
      <c r="AE10" s="1244">
        <f t="shared" ca="1" si="6"/>
        <v>0</v>
      </c>
      <c r="AF10" s="1784"/>
      <c r="AG10" s="147">
        <f t="shared" si="7"/>
        <v>0</v>
      </c>
      <c r="AH10" s="2954"/>
      <c r="AI10" s="85"/>
      <c r="AJ10" s="86"/>
      <c r="AK10" s="87"/>
      <c r="AL10" s="88"/>
      <c r="AM10" s="89"/>
      <c r="AN10" s="2282"/>
      <c r="AO10" s="55" t="e">
        <f t="shared" ca="1" si="8"/>
        <v>#REF!</v>
      </c>
      <c r="AP10" s="2283">
        <f t="shared" si="9"/>
        <v>0</v>
      </c>
      <c r="AQ10" s="55">
        <f t="shared" si="10"/>
        <v>0</v>
      </c>
      <c r="AR10" s="55">
        <f t="shared" si="11"/>
        <v>0</v>
      </c>
      <c r="AS10" s="2252"/>
      <c r="AT10" s="2252"/>
      <c r="AU10" s="2252"/>
      <c r="AV10" s="2252"/>
      <c r="AW10" s="2252"/>
      <c r="AX10" s="2252"/>
      <c r="AY10" s="2252"/>
      <c r="AZ10" s="2252"/>
      <c r="BA10" s="2252"/>
      <c r="BB10" s="2252"/>
      <c r="BC10" s="2252"/>
      <c r="BD10" s="2252"/>
      <c r="BE10" s="2252"/>
      <c r="BF10" s="2252"/>
      <c r="BG10" s="2252"/>
      <c r="BH10" s="2252"/>
      <c r="BI10" s="2252"/>
      <c r="BJ10" s="2252"/>
      <c r="BK10" s="2252"/>
      <c r="BL10" s="2252"/>
      <c r="BM10" s="2252"/>
      <c r="BN10" s="2252"/>
      <c r="BO10" s="2252"/>
    </row>
    <row r="11" spans="1:67" s="2010" customFormat="1" ht="14.25">
      <c r="A11" s="2279">
        <f>'数据-汇总表'!C24</f>
        <v>0</v>
      </c>
      <c r="B11" s="2280" t="str">
        <f t="shared" si="1"/>
        <v/>
      </c>
      <c r="C11" s="2281" t="s">
        <v>1366</v>
      </c>
      <c r="D11" s="1041">
        <f>SUMIF(项目基本情况!D$12:I$12,C11,项目基本情况!D$14:I$14)</f>
        <v>40</v>
      </c>
      <c r="E11" s="1038" t="str">
        <f>IF(B11="","",SUMIF(项目基本情况!D$12:I$12,C11,项目基本情况!D$13:I$13))</f>
        <v/>
      </c>
      <c r="F11" s="72">
        <f>SUMIF(项目基本情况!D$12:I$12,C11,项目基本情况!D$15:I$15)</f>
        <v>37.86</v>
      </c>
      <c r="G11" s="73">
        <f t="shared" si="2"/>
        <v>0.98199999999999998</v>
      </c>
      <c r="H11" s="797">
        <v>0.05</v>
      </c>
      <c r="I11" s="797">
        <v>5.5E-2</v>
      </c>
      <c r="J11" s="74">
        <v>8.5000000000000006E-2</v>
      </c>
      <c r="K11" s="1233">
        <f>SUMIF('数据-汇总表'!C$19:C$33,A11,'数据-汇总表'!E$19:E$33)</f>
        <v>0</v>
      </c>
      <c r="L11" s="798"/>
      <c r="M11" s="75">
        <f t="shared" si="0"/>
        <v>0</v>
      </c>
      <c r="N11" s="796"/>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c r="Z11" s="93"/>
      <c r="AA11" s="74"/>
      <c r="AB11" s="74"/>
      <c r="AC11" s="1243"/>
      <c r="AD11" s="82"/>
      <c r="AE11" s="1244">
        <f t="shared" ca="1" si="6"/>
        <v>0</v>
      </c>
      <c r="AF11" s="1784"/>
      <c r="AG11" s="147">
        <f t="shared" si="7"/>
        <v>0</v>
      </c>
      <c r="AH11" s="2954"/>
      <c r="AI11" s="85"/>
      <c r="AJ11" s="86"/>
      <c r="AK11" s="87"/>
      <c r="AL11" s="88"/>
      <c r="AM11" s="89"/>
      <c r="AN11" s="2282"/>
      <c r="AO11" s="55" t="e">
        <f t="shared" ca="1" si="8"/>
        <v>#REF!</v>
      </c>
      <c r="AP11" s="2283">
        <f t="shared" si="9"/>
        <v>0</v>
      </c>
      <c r="AQ11" s="55">
        <f t="shared" si="10"/>
        <v>0</v>
      </c>
      <c r="AR11" s="55">
        <f t="shared" si="11"/>
        <v>0</v>
      </c>
      <c r="AS11" s="2252"/>
      <c r="AT11" s="2252"/>
      <c r="AU11" s="2252"/>
      <c r="AV11" s="2252"/>
      <c r="AW11" s="2252"/>
      <c r="AX11" s="2252"/>
      <c r="AY11" s="2252"/>
      <c r="AZ11" s="2252"/>
      <c r="BA11" s="2252"/>
      <c r="BB11" s="2252"/>
      <c r="BC11" s="2252"/>
      <c r="BD11" s="2252"/>
      <c r="BE11" s="2252"/>
      <c r="BF11" s="2252"/>
      <c r="BG11" s="2252"/>
      <c r="BH11" s="2252"/>
      <c r="BI11" s="2252"/>
      <c r="BJ11" s="2252"/>
      <c r="BK11" s="2252"/>
      <c r="BL11" s="2252"/>
      <c r="BM11" s="2252"/>
      <c r="BN11" s="2252"/>
      <c r="BO11" s="2252"/>
    </row>
    <row r="12" spans="1:67" s="2010" customFormat="1" ht="14.25">
      <c r="A12" s="2279">
        <f>'数据-汇总表'!C25</f>
        <v>0</v>
      </c>
      <c r="B12" s="2280" t="str">
        <f t="shared" si="1"/>
        <v/>
      </c>
      <c r="C12" s="2281"/>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2"/>
      <c r="AO12" s="55" t="e">
        <f t="shared" ca="1" si="8"/>
        <v>#REF!</v>
      </c>
      <c r="AP12" s="2283">
        <f t="shared" si="9"/>
        <v>0</v>
      </c>
      <c r="AQ12" s="55">
        <f t="shared" si="10"/>
        <v>0</v>
      </c>
      <c r="AR12" s="55">
        <f t="shared" si="11"/>
        <v>0</v>
      </c>
      <c r="AS12" s="2252"/>
      <c r="AT12" s="2252"/>
      <c r="AU12" s="2252"/>
      <c r="AV12" s="2252"/>
      <c r="AW12" s="2252"/>
      <c r="AX12" s="2252"/>
      <c r="AY12" s="2252"/>
      <c r="AZ12" s="2252"/>
      <c r="BA12" s="2252"/>
      <c r="BB12" s="2252"/>
      <c r="BC12" s="2252"/>
      <c r="BD12" s="2252"/>
      <c r="BE12" s="2252"/>
      <c r="BF12" s="2252"/>
      <c r="BG12" s="2252"/>
      <c r="BH12" s="2252"/>
      <c r="BI12" s="2252"/>
      <c r="BJ12" s="2252"/>
      <c r="BK12" s="2252"/>
      <c r="BL12" s="2252"/>
      <c r="BM12" s="2252"/>
      <c r="BN12" s="2252"/>
      <c r="BO12" s="2252"/>
    </row>
    <row r="13" spans="1:67" s="2010" customFormat="1" ht="14.25">
      <c r="A13" s="2279">
        <f>'数据-汇总表'!C26</f>
        <v>0</v>
      </c>
      <c r="B13" s="2280" t="str">
        <f t="shared" si="1"/>
        <v/>
      </c>
      <c r="C13" s="2281"/>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2"/>
      <c r="AO13" s="55" t="e">
        <f t="shared" ca="1" si="8"/>
        <v>#REF!</v>
      </c>
      <c r="AP13" s="2283">
        <f t="shared" si="9"/>
        <v>0</v>
      </c>
      <c r="AQ13" s="55">
        <f t="shared" si="10"/>
        <v>0</v>
      </c>
      <c r="AR13" s="55">
        <f t="shared" si="11"/>
        <v>0</v>
      </c>
      <c r="AS13" s="2252"/>
      <c r="AT13" s="2252"/>
      <c r="AU13" s="2252"/>
      <c r="AV13" s="2252"/>
      <c r="AW13" s="2252"/>
      <c r="AX13" s="2252"/>
      <c r="AY13" s="2252"/>
      <c r="AZ13" s="2252"/>
      <c r="BA13" s="2252"/>
      <c r="BB13" s="2252"/>
      <c r="BC13" s="2252"/>
      <c r="BD13" s="2252"/>
      <c r="BE13" s="2252"/>
      <c r="BF13" s="2252"/>
      <c r="BG13" s="2252"/>
      <c r="BH13" s="2252"/>
      <c r="BI13" s="2252"/>
      <c r="BJ13" s="2252"/>
      <c r="BK13" s="2252"/>
      <c r="BL13" s="2252"/>
      <c r="BM13" s="2252"/>
      <c r="BN13" s="2252"/>
      <c r="BO13" s="2252"/>
    </row>
    <row r="14" spans="1:67" s="2010" customFormat="1" ht="14.25">
      <c r="A14" s="2284" t="s">
        <v>2001</v>
      </c>
      <c r="B14" s="2280" t="s">
        <v>2002</v>
      </c>
      <c r="C14" s="2285"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7"/>
      <c r="AO14" s="2252"/>
      <c r="AP14" s="2252"/>
      <c r="AQ14" s="2252"/>
      <c r="AR14" s="2252"/>
      <c r="AS14" s="2252"/>
      <c r="AT14" s="2252"/>
      <c r="AU14" s="2252"/>
      <c r="AV14" s="2252"/>
      <c r="AW14" s="2252"/>
      <c r="AX14" s="2252"/>
      <c r="AY14" s="2252"/>
      <c r="AZ14" s="2252"/>
      <c r="BA14" s="2252"/>
      <c r="BB14" s="2252"/>
      <c r="BC14" s="2252"/>
      <c r="BD14" s="2252"/>
      <c r="BE14" s="2252"/>
      <c r="BF14" s="2252"/>
      <c r="BG14" s="2252"/>
      <c r="BH14" s="2252"/>
      <c r="BI14" s="2252"/>
      <c r="BJ14" s="2252"/>
      <c r="BK14" s="2252"/>
      <c r="BL14" s="2252"/>
      <c r="BM14" s="2252"/>
      <c r="BN14" s="2252"/>
      <c r="BO14" s="2252"/>
    </row>
    <row r="15" spans="1:67" s="2010" customFormat="1" ht="27">
      <c r="A15" s="2284" t="s">
        <v>2003</v>
      </c>
      <c r="B15" s="2280" t="s">
        <v>2002</v>
      </c>
      <c r="C15" s="2285"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7"/>
      <c r="AO15" s="2252"/>
      <c r="AP15" s="2252"/>
      <c r="AQ15" s="2252"/>
      <c r="AR15" s="2252"/>
      <c r="AS15" s="2252"/>
      <c r="AT15" s="2252"/>
      <c r="AU15" s="2252"/>
      <c r="AV15" s="2252"/>
      <c r="AW15" s="2252"/>
      <c r="AX15" s="2252"/>
      <c r="AY15" s="2252"/>
      <c r="AZ15" s="2252"/>
      <c r="BA15" s="2252"/>
      <c r="BB15" s="2252"/>
      <c r="BC15" s="2252"/>
      <c r="BD15" s="2252"/>
      <c r="BE15" s="2252"/>
      <c r="BF15" s="2252"/>
      <c r="BG15" s="2252"/>
      <c r="BH15" s="2252"/>
      <c r="BI15" s="2252"/>
      <c r="BJ15" s="2252"/>
      <c r="BK15" s="2252"/>
      <c r="BL15" s="2252"/>
      <c r="BM15" s="2252"/>
      <c r="BN15" s="2252"/>
      <c r="BO15" s="2252"/>
    </row>
    <row r="16" spans="1:67" s="2010" customFormat="1" ht="15.75" thickBot="1">
      <c r="A16" s="2286" t="s">
        <v>2005</v>
      </c>
      <c r="B16" s="97"/>
      <c r="C16" s="995"/>
      <c r="D16" s="2287"/>
      <c r="E16" s="97"/>
      <c r="F16" s="97"/>
      <c r="G16" s="98">
        <f>ROUND(SUMPRODUCT(G6:G13,K6:K13)/SUMPRODUCT((G6:G13&gt;0)*(K6:K13)),3)</f>
        <v>0.98399999999999999</v>
      </c>
      <c r="H16" s="99">
        <f>ROUND(SUMPRODUCT(H6:H13,K6:K13)/SUMPRODUCT((H6:H13&gt;0)*(K6:K13)),3)</f>
        <v>5.5E-2</v>
      </c>
      <c r="I16" s="100"/>
      <c r="J16" s="100"/>
      <c r="K16" s="101">
        <f>SUM(K6:K15)</f>
        <v>24348.570000000003</v>
      </c>
      <c r="L16" s="102">
        <f>ROUND(M16*10000/SUM(K6:K14),0)</f>
        <v>3200</v>
      </c>
      <c r="M16" s="102">
        <f>SUM(M6:M14)</f>
        <v>7792</v>
      </c>
      <c r="N16" s="103">
        <f>ROUND(SUMPRODUCT(M6:M14,N6:N14)/M16,3)</f>
        <v>0.98</v>
      </c>
      <c r="O16" s="102">
        <f>SUM(O6:O14)</f>
        <v>0</v>
      </c>
      <c r="P16" s="102">
        <f>SUM(P6:P14)</f>
        <v>0</v>
      </c>
      <c r="Q16" s="104">
        <f>ROUND(SUMPRODUCT(Q6:Q13,K6:K13)/SUMPRODUCT((Q6:Q13&gt;0)*(K6:K13)),2)</f>
        <v>0.2</v>
      </c>
      <c r="R16" s="1237">
        <f ca="1">SUM(R6:R13)</f>
        <v>15134.65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7"/>
      <c r="AO16" s="2252"/>
      <c r="AP16" s="2252"/>
      <c r="AQ16" s="2252"/>
      <c r="AR16" s="2252"/>
      <c r="AS16" s="2252"/>
      <c r="AT16" s="2252"/>
      <c r="AU16" s="2252"/>
      <c r="AV16" s="2252"/>
      <c r="AW16" s="2252"/>
      <c r="AX16" s="2252"/>
      <c r="AY16" s="2252"/>
      <c r="AZ16" s="2252"/>
      <c r="BA16" s="2252"/>
      <c r="BB16" s="2252"/>
      <c r="BC16" s="2252"/>
      <c r="BD16" s="2252"/>
      <c r="BE16" s="2252"/>
      <c r="BF16" s="2252"/>
      <c r="BG16" s="2252"/>
      <c r="BH16" s="2252"/>
      <c r="BI16" s="2252"/>
      <c r="BJ16" s="2252"/>
      <c r="BK16" s="2252"/>
      <c r="BL16" s="2252"/>
      <c r="BM16" s="2252"/>
      <c r="BN16" s="2252"/>
      <c r="BO16" s="2252"/>
    </row>
    <row r="17" spans="1:67" ht="13.5" thickBot="1">
      <c r="A17" s="2288"/>
      <c r="B17" s="728"/>
      <c r="C17" s="1561"/>
      <c r="D17" s="2246"/>
      <c r="E17" s="2246"/>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3"/>
      <c r="C18" s="2250"/>
      <c r="D18" s="2251"/>
      <c r="E18" s="2250"/>
      <c r="F18" s="2250"/>
      <c r="G18" s="2250"/>
      <c r="H18" s="2250"/>
      <c r="I18" s="2250"/>
      <c r="J18" s="2250"/>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89" t="s">
        <v>2007</v>
      </c>
      <c r="B19" s="112">
        <v>0</v>
      </c>
      <c r="C19" s="2250" t="s">
        <v>2008</v>
      </c>
      <c r="D19" s="2251"/>
      <c r="E19" s="2250"/>
      <c r="F19" s="2250"/>
      <c r="G19" s="2250"/>
      <c r="H19" s="2250"/>
      <c r="I19" s="2250"/>
      <c r="J19" s="2250"/>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0" t="s">
        <v>2009</v>
      </c>
      <c r="B20" s="113">
        <v>2</v>
      </c>
      <c r="C20" s="2250" t="s">
        <v>2010</v>
      </c>
      <c r="D20" s="2251"/>
      <c r="E20" s="2250"/>
      <c r="F20" s="2250"/>
      <c r="G20" s="2250"/>
      <c r="H20" s="2250"/>
      <c r="I20" s="2250"/>
      <c r="J20" s="2250"/>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1" t="s">
        <v>2011</v>
      </c>
      <c r="B21" s="113">
        <v>2</v>
      </c>
      <c r="C21" s="2250"/>
      <c r="D21" s="2251"/>
      <c r="E21" s="2250"/>
      <c r="F21" s="2250"/>
      <c r="G21" s="2250"/>
      <c r="H21" s="2250"/>
      <c r="I21" s="2250"/>
      <c r="J21" s="2250"/>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0" t="s">
        <v>2012</v>
      </c>
      <c r="B22" s="114">
        <f>B19+B20</f>
        <v>2</v>
      </c>
      <c r="C22" s="2250"/>
      <c r="D22" s="2251"/>
      <c r="E22" s="2250"/>
      <c r="F22" s="2250"/>
      <c r="G22" s="2250"/>
      <c r="H22" s="2250"/>
      <c r="I22" s="2250"/>
      <c r="J22" s="2250"/>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1" t="s">
        <v>2013</v>
      </c>
      <c r="B23" s="114">
        <f>B19+B21</f>
        <v>2</v>
      </c>
      <c r="C23" s="2250"/>
      <c r="D23" s="2251"/>
      <c r="E23" s="2250"/>
      <c r="F23" s="2250"/>
      <c r="G23" s="2250"/>
      <c r="H23" s="2250"/>
      <c r="I23" s="2250"/>
      <c r="J23" s="2250"/>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2" t="s">
        <v>2014</v>
      </c>
      <c r="B24" s="115">
        <f>B20-B21</f>
        <v>0</v>
      </c>
      <c r="C24" s="2250"/>
      <c r="D24" s="2251"/>
      <c r="E24" s="2250"/>
      <c r="F24" s="2250"/>
      <c r="G24" s="2250"/>
      <c r="H24" s="2250"/>
      <c r="I24" s="2250"/>
      <c r="J24" s="2250"/>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3"/>
      <c r="C25" s="2250"/>
      <c r="D25" s="2251"/>
      <c r="E25" s="2250"/>
      <c r="F25" s="2250"/>
      <c r="G25" s="2250"/>
      <c r="H25" s="2250"/>
      <c r="I25" s="2250"/>
      <c r="J25" s="2250"/>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49" t="s">
        <v>2015</v>
      </c>
      <c r="B26" s="2293" t="s">
        <v>2016</v>
      </c>
      <c r="C26" s="2294" t="s">
        <v>2017</v>
      </c>
      <c r="D26" s="2251"/>
      <c r="E26" s="2250"/>
      <c r="F26" s="2250"/>
      <c r="G26" s="2250"/>
      <c r="H26" s="2250"/>
      <c r="I26" s="2250"/>
      <c r="J26" s="2250"/>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7" customFormat="1" ht="27.75">
      <c r="A27" s="2295" t="s">
        <v>2018</v>
      </c>
      <c r="B27" s="116">
        <v>100</v>
      </c>
      <c r="C27" s="1744" t="s">
        <v>2019</v>
      </c>
      <c r="D27" s="2296"/>
      <c r="E27" s="1408"/>
      <c r="F27" s="1408"/>
      <c r="G27" s="2250"/>
      <c r="H27" s="2250"/>
      <c r="I27" s="2250"/>
      <c r="J27" s="2250"/>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7" customFormat="1" ht="27.75">
      <c r="A28" s="2298" t="s">
        <v>2020</v>
      </c>
      <c r="B28" s="119">
        <v>100</v>
      </c>
      <c r="C28" s="2299"/>
      <c r="D28" s="2296"/>
      <c r="E28" s="1408"/>
      <c r="F28" s="1408"/>
      <c r="G28" s="2250"/>
      <c r="H28" s="2250"/>
      <c r="I28" s="2250"/>
      <c r="J28" s="2250"/>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7" customFormat="1" ht="28.5" thickBot="1">
      <c r="A29" s="2300" t="s">
        <v>2021</v>
      </c>
      <c r="B29" s="121">
        <f ca="1">成本法!C10</f>
        <v>243</v>
      </c>
      <c r="C29" s="1744" t="s">
        <v>2022</v>
      </c>
      <c r="D29" s="2296"/>
      <c r="E29" s="1408"/>
      <c r="F29" s="1408"/>
      <c r="G29" s="2250"/>
      <c r="H29" s="2250"/>
      <c r="I29" s="2250"/>
      <c r="J29" s="2250"/>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7" customFormat="1" ht="27">
      <c r="A30" s="2301" t="s">
        <v>2023</v>
      </c>
      <c r="B30" s="720">
        <v>150</v>
      </c>
      <c r="C30" s="2299"/>
      <c r="D30" s="2296"/>
      <c r="E30" s="1408"/>
      <c r="F30" s="1408"/>
      <c r="G30" s="2250"/>
      <c r="H30" s="2250"/>
      <c r="I30" s="2250"/>
      <c r="J30" s="2250"/>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7" customFormat="1" ht="27">
      <c r="A31" s="2298" t="s">
        <v>2024</v>
      </c>
      <c r="B31" s="120">
        <f>B30-B32</f>
        <v>150</v>
      </c>
      <c r="C31" s="1744"/>
      <c r="D31" s="2296"/>
      <c r="E31" s="1408"/>
      <c r="F31" s="1408"/>
      <c r="G31" s="2250"/>
      <c r="H31" s="2250"/>
      <c r="I31" s="2250"/>
      <c r="J31" s="2250"/>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7" customFormat="1" ht="27.75" thickBot="1">
      <c r="A32" s="2302" t="s">
        <v>2025</v>
      </c>
      <c r="B32" s="721">
        <v>0</v>
      </c>
      <c r="C32" s="2299"/>
      <c r="D32" s="2251"/>
      <c r="E32" s="2250"/>
      <c r="F32" s="2250"/>
      <c r="G32" s="2250"/>
      <c r="H32" s="2250"/>
      <c r="I32" s="2250"/>
      <c r="J32" s="2250"/>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7" customFormat="1" ht="14.25">
      <c r="A33" s="2295" t="s">
        <v>2026</v>
      </c>
      <c r="B33" s="722">
        <v>0.03</v>
      </c>
      <c r="C33" s="1743" t="s">
        <v>2027</v>
      </c>
      <c r="D33" s="2251"/>
      <c r="E33" s="2250"/>
      <c r="F33" s="2250"/>
      <c r="G33" s="2250"/>
      <c r="H33" s="2250"/>
      <c r="I33" s="2250"/>
      <c r="J33" s="2250"/>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7" customFormat="1" ht="14.25">
      <c r="A34" s="2298" t="s">
        <v>2028</v>
      </c>
      <c r="B34" s="122">
        <v>0</v>
      </c>
      <c r="C34" s="1743" t="s">
        <v>2029</v>
      </c>
      <c r="D34" s="2251" t="s">
        <v>2030</v>
      </c>
      <c r="E34" s="728"/>
      <c r="F34" s="2250"/>
      <c r="G34" s="2250"/>
      <c r="H34" s="2250"/>
      <c r="I34" s="2250"/>
      <c r="J34" s="2250"/>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7" customFormat="1" ht="14.25">
      <c r="A35" s="2298" t="s">
        <v>2031</v>
      </c>
      <c r="B35" s="119">
        <v>150</v>
      </c>
      <c r="C35" s="1743" t="s">
        <v>2032</v>
      </c>
      <c r="D35" s="2296"/>
      <c r="E35" s="1408"/>
      <c r="F35" s="1408"/>
      <c r="G35" s="2250"/>
      <c r="H35" s="2250"/>
      <c r="I35" s="2250"/>
      <c r="J35" s="2250"/>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0" t="s">
        <v>2033</v>
      </c>
      <c r="B36" s="123">
        <v>1.4999999999999999E-2</v>
      </c>
      <c r="C36" s="1743" t="s">
        <v>2034</v>
      </c>
      <c r="D36" s="2251"/>
      <c r="E36" s="2250"/>
      <c r="F36" s="2250"/>
      <c r="G36" s="2250"/>
      <c r="H36" s="2250"/>
      <c r="I36" s="2250"/>
      <c r="J36" s="2250"/>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1" t="s">
        <v>2035</v>
      </c>
      <c r="B37" s="124">
        <v>0.02</v>
      </c>
      <c r="C37" s="1743" t="s">
        <v>2036</v>
      </c>
      <c r="D37" s="2251"/>
      <c r="E37" s="2250"/>
      <c r="F37" s="2250"/>
      <c r="G37" s="2250"/>
      <c r="H37" s="2250"/>
      <c r="I37" s="2250"/>
      <c r="J37" s="2250"/>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8" t="s">
        <v>2037</v>
      </c>
      <c r="B38" s="122">
        <v>0.02</v>
      </c>
      <c r="C38" s="1743" t="s">
        <v>2036</v>
      </c>
      <c r="D38" s="2251"/>
      <c r="E38" s="2250"/>
      <c r="F38" s="2250"/>
      <c r="G38" s="2250"/>
      <c r="H38" s="2250"/>
      <c r="I38" s="2250"/>
      <c r="J38" s="2250"/>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2" t="s">
        <v>2038</v>
      </c>
      <c r="B39" s="362">
        <f ca="1">存贷款利率!I1</f>
        <v>1.4999999999999999E-2</v>
      </c>
      <c r="C39" s="1743"/>
      <c r="D39" s="2251"/>
      <c r="E39" s="2250"/>
      <c r="F39" s="2250"/>
      <c r="G39" s="2250"/>
      <c r="H39" s="2250"/>
      <c r="I39" s="2250"/>
      <c r="J39" s="2250"/>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2" t="s">
        <v>2039</v>
      </c>
      <c r="B40" s="1282">
        <f ca="1">存贷款利率!G1</f>
        <v>4.7500000000000001E-2</v>
      </c>
      <c r="C40" s="1743" t="s">
        <v>2040</v>
      </c>
      <c r="D40" s="1561"/>
      <c r="E40" s="2251"/>
      <c r="F40" s="2250"/>
      <c r="G40" s="2250"/>
      <c r="H40" s="2250"/>
      <c r="I40" s="2250"/>
      <c r="J40" s="2250"/>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5" t="s">
        <v>2041</v>
      </c>
      <c r="B41" s="125">
        <f>B42+B43</f>
        <v>5.6000000000000001E-2</v>
      </c>
      <c r="C41" s="1744"/>
      <c r="D41" s="1561"/>
      <c r="E41" s="2251"/>
      <c r="F41" s="2250"/>
      <c r="G41" s="2250"/>
      <c r="H41" s="2250"/>
      <c r="I41" s="2250"/>
      <c r="J41" s="2250"/>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3" t="s">
        <v>2042</v>
      </c>
      <c r="B42" s="126">
        <v>0.05</v>
      </c>
      <c r="C42" s="2304">
        <f>IF(B2&lt;DATE(2016,5,1),0,B42)</f>
        <v>0.05</v>
      </c>
      <c r="D42" s="2251"/>
      <c r="E42" s="2250"/>
      <c r="F42" s="2250"/>
      <c r="G42" s="2250"/>
      <c r="H42" s="2250"/>
      <c r="I42" s="2250"/>
      <c r="J42" s="2250"/>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3" t="s">
        <v>2043</v>
      </c>
      <c r="B43" s="127">
        <f>B42*(B44+B45+B46)+B47</f>
        <v>6.000000000000001E-3</v>
      </c>
      <c r="C43" s="1744"/>
      <c r="D43" s="2251"/>
      <c r="E43" s="2250"/>
      <c r="F43" s="2250"/>
      <c r="G43" s="2250"/>
      <c r="H43" s="2250"/>
      <c r="I43" s="2250"/>
      <c r="J43" s="2250"/>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5" t="s">
        <v>2044</v>
      </c>
      <c r="B44" s="128">
        <v>7.0000000000000007E-2</v>
      </c>
      <c r="C44" s="1743" t="s">
        <v>2045</v>
      </c>
      <c r="D44" s="2251"/>
      <c r="E44" s="2250"/>
      <c r="F44" s="2250"/>
      <c r="G44" s="2250"/>
      <c r="H44" s="2250"/>
      <c r="I44" s="2250"/>
      <c r="J44" s="2250"/>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5" t="s">
        <v>2046</v>
      </c>
      <c r="B45" s="126">
        <v>0.03</v>
      </c>
      <c r="C45" s="1744" t="s">
        <v>2047</v>
      </c>
      <c r="D45" s="2251"/>
      <c r="E45" s="2250"/>
      <c r="F45" s="2250"/>
      <c r="G45" s="2250"/>
      <c r="H45" s="2250"/>
      <c r="I45" s="2250"/>
      <c r="J45" s="2250"/>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5" t="s">
        <v>2048</v>
      </c>
      <c r="B46" s="126">
        <v>0.02</v>
      </c>
      <c r="C46" s="1744" t="s">
        <v>2049</v>
      </c>
      <c r="D46" s="2251"/>
      <c r="E46" s="2250"/>
      <c r="F46" s="2250"/>
      <c r="G46" s="2250"/>
      <c r="H46" s="2250"/>
      <c r="I46" s="2250"/>
      <c r="J46" s="2250"/>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6" t="s">
        <v>2050</v>
      </c>
      <c r="B47" s="129"/>
      <c r="C47" s="1744" t="s">
        <v>2051</v>
      </c>
      <c r="D47" s="2251"/>
      <c r="E47" s="2250"/>
      <c r="F47" s="2250"/>
      <c r="G47" s="2250"/>
      <c r="H47" s="2250"/>
      <c r="I47" s="2250"/>
      <c r="J47" s="2250"/>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7" t="s">
        <v>2052</v>
      </c>
      <c r="B48" s="130">
        <v>0.03</v>
      </c>
      <c r="C48" s="1751" t="s">
        <v>2053</v>
      </c>
      <c r="D48" s="2251"/>
      <c r="E48" s="2250"/>
      <c r="F48" s="2250"/>
      <c r="G48" s="2250"/>
      <c r="H48" s="2250"/>
      <c r="I48" s="2250"/>
      <c r="J48" s="2250"/>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2" t="s">
        <v>2054</v>
      </c>
      <c r="B49" s="126">
        <v>5.0000000000000001E-4</v>
      </c>
      <c r="C49" s="1751" t="s">
        <v>2055</v>
      </c>
      <c r="D49" s="2251"/>
      <c r="E49" s="2250"/>
      <c r="F49" s="2250"/>
      <c r="G49" s="2250"/>
      <c r="H49" s="2250"/>
      <c r="I49" s="2250"/>
      <c r="J49" s="2250"/>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8" t="s">
        <v>2056</v>
      </c>
      <c r="B50" s="131">
        <v>1.2E-2</v>
      </c>
      <c r="C50" s="1408"/>
      <c r="D50" s="2251"/>
      <c r="E50" s="2250"/>
      <c r="F50" s="2250"/>
      <c r="G50" s="2250"/>
      <c r="H50" s="2250"/>
      <c r="I50" s="2250"/>
      <c r="J50" s="2250"/>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0" t="s">
        <v>2057</v>
      </c>
      <c r="B51" s="132">
        <v>0.12</v>
      </c>
      <c r="C51" s="1408"/>
      <c r="D51" s="2251"/>
      <c r="E51" s="2250"/>
      <c r="F51" s="2250"/>
      <c r="G51" s="2250"/>
      <c r="H51" s="2250"/>
      <c r="I51" s="2250"/>
      <c r="J51" s="2250"/>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8" t="s">
        <v>2058</v>
      </c>
      <c r="B52" s="133">
        <f>SUMIF(A54:A63,B53,B54:B63)</f>
        <v>3</v>
      </c>
      <c r="C52" s="1408"/>
      <c r="D52" s="2251"/>
      <c r="E52" s="2250"/>
      <c r="F52" s="2250"/>
      <c r="G52" s="2250"/>
      <c r="H52" s="2250"/>
      <c r="I52" s="2250"/>
      <c r="J52" s="2250"/>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8" t="s">
        <v>2059</v>
      </c>
      <c r="B53" s="2309" t="s">
        <v>523</v>
      </c>
      <c r="C53" s="1408" t="s">
        <v>2060</v>
      </c>
      <c r="D53" s="2310" t="s">
        <v>2061</v>
      </c>
      <c r="E53" s="2250"/>
      <c r="F53" s="2250"/>
      <c r="G53" s="2250"/>
      <c r="H53" s="2250"/>
      <c r="I53" s="2250"/>
      <c r="J53" s="2250"/>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1" t="s">
        <v>2062</v>
      </c>
      <c r="B54" s="84">
        <v>30</v>
      </c>
      <c r="C54" s="1408">
        <v>30</v>
      </c>
      <c r="D54" s="2251"/>
      <c r="E54" s="2250"/>
      <c r="F54" s="2250"/>
      <c r="G54" s="2250"/>
      <c r="H54" s="2250"/>
      <c r="I54" s="2250"/>
      <c r="J54" s="2250"/>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1" t="s">
        <v>2063</v>
      </c>
      <c r="B55" s="84">
        <v>24</v>
      </c>
      <c r="C55" s="1408">
        <v>24</v>
      </c>
      <c r="D55" s="2251"/>
      <c r="E55" s="2250"/>
      <c r="F55" s="2250"/>
      <c r="G55" s="2250"/>
      <c r="H55" s="2250"/>
      <c r="I55" s="2312"/>
      <c r="J55" s="2250"/>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1" t="s">
        <v>2064</v>
      </c>
      <c r="B56" s="84">
        <v>18</v>
      </c>
      <c r="C56" s="1408">
        <v>18</v>
      </c>
      <c r="D56" s="2251"/>
      <c r="E56" s="2250"/>
      <c r="F56" s="2250"/>
      <c r="G56" s="2250"/>
      <c r="H56" s="2250"/>
      <c r="I56" s="2250"/>
      <c r="J56" s="2250"/>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1" t="s">
        <v>2065</v>
      </c>
      <c r="B57" s="84">
        <v>12</v>
      </c>
      <c r="C57" s="1408">
        <v>12</v>
      </c>
      <c r="D57" s="2251"/>
      <c r="E57" s="2250"/>
      <c r="F57" s="2250"/>
      <c r="G57" s="2250"/>
      <c r="H57" s="2250"/>
      <c r="I57" s="2250"/>
      <c r="J57" s="2250"/>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1" t="s">
        <v>2066</v>
      </c>
      <c r="B58" s="84">
        <v>3</v>
      </c>
      <c r="C58" s="1408">
        <v>3</v>
      </c>
      <c r="D58" s="2251"/>
      <c r="E58" s="2250"/>
      <c r="F58" s="2250"/>
      <c r="G58" s="2250"/>
      <c r="H58" s="2250"/>
      <c r="I58" s="2250"/>
      <c r="J58" s="2250"/>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1" t="s">
        <v>2067</v>
      </c>
      <c r="B59" s="84">
        <v>1.5</v>
      </c>
      <c r="C59" s="1408">
        <v>1.5</v>
      </c>
      <c r="D59" s="2251"/>
      <c r="E59" s="2250"/>
      <c r="F59" s="2250"/>
      <c r="G59" s="2250"/>
      <c r="H59" s="2250"/>
      <c r="I59" s="2250"/>
      <c r="J59" s="2250"/>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1" t="s">
        <v>2068</v>
      </c>
      <c r="B60" s="84"/>
      <c r="C60" s="2250"/>
      <c r="D60" s="2251"/>
      <c r="E60" s="2250"/>
      <c r="F60" s="2250"/>
      <c r="G60" s="2250"/>
      <c r="H60" s="2250"/>
      <c r="I60" s="2250"/>
      <c r="J60" s="2250"/>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1" t="s">
        <v>2069</v>
      </c>
      <c r="B61" s="84"/>
      <c r="C61" s="2250"/>
      <c r="D61" s="2251"/>
      <c r="E61" s="2250"/>
      <c r="F61" s="2250"/>
      <c r="G61" s="2250"/>
      <c r="H61" s="2250"/>
      <c r="I61" s="2250"/>
      <c r="J61" s="2250"/>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1" t="s">
        <v>2070</v>
      </c>
      <c r="B62" s="84"/>
      <c r="C62" s="2250"/>
      <c r="D62" s="2251"/>
      <c r="E62" s="2250"/>
      <c r="F62" s="2250"/>
      <c r="G62" s="2250"/>
      <c r="H62" s="2250"/>
      <c r="I62" s="2250"/>
      <c r="J62" s="2250"/>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3" t="s">
        <v>2071</v>
      </c>
      <c r="B63" s="134"/>
      <c r="C63" s="2250"/>
      <c r="D63" s="2251"/>
      <c r="E63" s="2250"/>
      <c r="F63" s="2250"/>
      <c r="G63" s="2250"/>
      <c r="H63" s="2250"/>
      <c r="I63" s="2250"/>
      <c r="J63" s="2250"/>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4"/>
      <c r="D64" s="2315"/>
      <c r="K64" s="793"/>
      <c r="L64" s="793"/>
    </row>
    <row r="65" spans="1:12" s="954" customFormat="1">
      <c r="A65" s="2314"/>
      <c r="D65" s="2315"/>
      <c r="K65" s="793"/>
      <c r="L65" s="793"/>
    </row>
    <row r="66" spans="1:12" s="954" customFormat="1">
      <c r="A66" s="2314"/>
      <c r="D66" s="2315"/>
      <c r="K66" s="793"/>
      <c r="L66" s="793"/>
    </row>
    <row r="67" spans="1:12" s="954" customFormat="1">
      <c r="A67" s="2314"/>
      <c r="D67" s="2315"/>
      <c r="K67" s="793"/>
      <c r="L67" s="793"/>
    </row>
    <row r="68" spans="1:12" s="954" customFormat="1">
      <c r="A68" s="2314"/>
      <c r="D68" s="2315"/>
      <c r="K68" s="793"/>
      <c r="L68" s="793"/>
    </row>
    <row r="69" spans="1:12" s="954" customFormat="1">
      <c r="A69" s="2314"/>
      <c r="D69" s="2315"/>
      <c r="K69" s="793"/>
      <c r="L69" s="793"/>
    </row>
    <row r="70" spans="1:12" s="954" customFormat="1">
      <c r="A70" s="2314"/>
      <c r="D70" s="2315"/>
      <c r="K70" s="793"/>
      <c r="L70" s="793"/>
    </row>
    <row r="71" spans="1:12" s="954" customFormat="1">
      <c r="A71" s="2314"/>
      <c r="D71" s="2315"/>
      <c r="K71" s="793"/>
      <c r="L71" s="793"/>
    </row>
    <row r="72" spans="1:12" s="954" customFormat="1">
      <c r="A72" s="2314"/>
      <c r="D72" s="2315"/>
      <c r="K72" s="793"/>
      <c r="L72" s="793"/>
    </row>
    <row r="73" spans="1:12" s="954" customFormat="1">
      <c r="A73" s="2314"/>
      <c r="D73" s="2315"/>
      <c r="K73" s="793"/>
      <c r="L73" s="793"/>
    </row>
    <row r="74" spans="1:12" s="954" customFormat="1">
      <c r="A74" s="2314"/>
      <c r="D74" s="2315"/>
      <c r="K74" s="793"/>
      <c r="L74" s="793"/>
    </row>
    <row r="75" spans="1:12" s="954" customFormat="1">
      <c r="A75" s="2314"/>
      <c r="D75" s="2315"/>
      <c r="K75" s="793"/>
      <c r="L75" s="793"/>
    </row>
    <row r="76" spans="1:12" s="954" customFormat="1">
      <c r="A76" s="2314"/>
      <c r="D76" s="2315"/>
      <c r="K76" s="793"/>
      <c r="L76" s="793"/>
    </row>
    <row r="77" spans="1:12" s="954" customFormat="1">
      <c r="A77" s="2314"/>
      <c r="D77" s="2315"/>
      <c r="K77" s="793"/>
      <c r="L77" s="793"/>
    </row>
    <row r="78" spans="1:12" s="954" customFormat="1">
      <c r="A78" s="2314"/>
      <c r="D78" s="2315"/>
      <c r="K78" s="793"/>
      <c r="L78" s="793"/>
    </row>
    <row r="79" spans="1:12" s="954" customFormat="1">
      <c r="A79" s="2314"/>
      <c r="D79" s="2315"/>
      <c r="K79" s="793"/>
      <c r="L79" s="793"/>
    </row>
    <row r="80" spans="1:12" s="954" customFormat="1">
      <c r="A80" s="2314"/>
      <c r="D80" s="2315"/>
      <c r="K80" s="793"/>
      <c r="L80" s="793"/>
    </row>
    <row r="81" spans="1:12" s="954" customFormat="1">
      <c r="A81" s="2314"/>
      <c r="D81" s="2315"/>
      <c r="K81" s="793"/>
      <c r="L81" s="793"/>
    </row>
    <row r="82" spans="1:12" s="954" customFormat="1">
      <c r="A82" s="2314"/>
      <c r="D82" s="2315"/>
      <c r="K82" s="793"/>
      <c r="L82" s="793"/>
    </row>
    <row r="83" spans="1:12" s="954" customFormat="1">
      <c r="A83" s="2314"/>
      <c r="D83" s="2315"/>
      <c r="K83" s="793"/>
      <c r="L83" s="793"/>
    </row>
    <row r="84" spans="1:12" s="954" customFormat="1">
      <c r="A84" s="2314"/>
      <c r="D84" s="2315"/>
      <c r="K84" s="793"/>
      <c r="L84" s="793"/>
    </row>
    <row r="85" spans="1:12" s="954" customFormat="1">
      <c r="A85" s="2314"/>
      <c r="D85" s="2315"/>
      <c r="K85" s="793"/>
      <c r="L85" s="793"/>
    </row>
    <row r="86" spans="1:12" s="954" customFormat="1">
      <c r="A86" s="2314"/>
      <c r="D86" s="2315"/>
      <c r="K86" s="793"/>
      <c r="L86" s="793"/>
    </row>
    <row r="87" spans="1:12" s="954" customFormat="1">
      <c r="A87" s="2314"/>
      <c r="D87" s="2315"/>
      <c r="K87" s="793"/>
      <c r="L87" s="793"/>
    </row>
    <row r="88" spans="1:12" s="954" customFormat="1">
      <c r="A88" s="2314"/>
      <c r="D88" s="2315"/>
      <c r="K88" s="793"/>
      <c r="L88" s="793"/>
    </row>
    <row r="89" spans="1:12" s="954" customFormat="1">
      <c r="A89" s="2314"/>
      <c r="D89" s="2315"/>
      <c r="K89" s="793"/>
      <c r="L89" s="793"/>
    </row>
    <row r="90" spans="1:12" s="954" customFormat="1">
      <c r="A90" s="2314"/>
      <c r="D90" s="2315"/>
      <c r="K90" s="793"/>
      <c r="L90" s="793"/>
    </row>
    <row r="91" spans="1:12" s="954" customFormat="1">
      <c r="A91" s="2314"/>
      <c r="D91" s="2315"/>
      <c r="K91" s="793"/>
      <c r="L91" s="793"/>
    </row>
    <row r="92" spans="1:12" s="954" customFormat="1">
      <c r="A92" s="2314"/>
      <c r="D92" s="2315"/>
      <c r="K92" s="793"/>
      <c r="L92" s="793"/>
    </row>
    <row r="93" spans="1:12" s="954" customFormat="1">
      <c r="A93" s="2314"/>
      <c r="D93" s="2315"/>
      <c r="K93" s="793"/>
      <c r="L93" s="793"/>
    </row>
    <row r="94" spans="1:12" s="954" customFormat="1">
      <c r="A94" s="2314"/>
      <c r="D94" s="2315"/>
      <c r="K94" s="793"/>
      <c r="L94" s="793"/>
    </row>
    <row r="95" spans="1:12" s="954" customFormat="1">
      <c r="A95" s="2314"/>
      <c r="D95" s="2315"/>
      <c r="K95" s="793"/>
      <c r="L95" s="793"/>
    </row>
    <row r="96" spans="1:12" s="954" customFormat="1">
      <c r="A96" s="2314"/>
      <c r="D96" s="2315"/>
      <c r="K96" s="793"/>
      <c r="L96" s="793"/>
    </row>
    <row r="97" spans="1:12" s="954" customFormat="1">
      <c r="A97" s="2314"/>
      <c r="D97" s="2315"/>
      <c r="K97" s="793"/>
      <c r="L97" s="793"/>
    </row>
    <row r="98" spans="1:12" s="954" customFormat="1">
      <c r="A98" s="2314"/>
      <c r="D98" s="2315"/>
      <c r="K98" s="793"/>
      <c r="L98" s="793"/>
    </row>
    <row r="99" spans="1:12" s="954" customFormat="1">
      <c r="A99" s="2314"/>
      <c r="D99" s="2315"/>
      <c r="K99" s="793"/>
      <c r="L99" s="793"/>
    </row>
    <row r="100" spans="1:12" s="954" customFormat="1">
      <c r="A100" s="2314"/>
      <c r="D100" s="2315"/>
      <c r="K100" s="793"/>
      <c r="L100" s="793"/>
    </row>
    <row r="101" spans="1:12" s="954" customFormat="1">
      <c r="A101" s="2314"/>
      <c r="D101" s="2315"/>
      <c r="K101" s="793"/>
      <c r="L101" s="793"/>
    </row>
    <row r="102" spans="1:12" s="954" customFormat="1">
      <c r="A102" s="2314"/>
      <c r="D102" s="2315"/>
      <c r="K102" s="793"/>
      <c r="L102" s="793"/>
    </row>
    <row r="103" spans="1:12" s="954" customFormat="1">
      <c r="A103" s="2314"/>
      <c r="D103" s="2315"/>
      <c r="K103" s="793"/>
      <c r="L103" s="793"/>
    </row>
    <row r="104" spans="1:12" s="954" customFormat="1">
      <c r="A104" s="2314"/>
      <c r="D104" s="2315"/>
      <c r="K104" s="793"/>
      <c r="L104" s="793"/>
    </row>
    <row r="105" spans="1:12" s="954" customFormat="1">
      <c r="A105" s="2314"/>
      <c r="D105" s="2315"/>
      <c r="K105" s="793"/>
      <c r="L105" s="793"/>
    </row>
    <row r="106" spans="1:12" s="954" customFormat="1">
      <c r="A106" s="2314"/>
      <c r="D106" s="2315"/>
      <c r="K106" s="793"/>
      <c r="L106" s="793"/>
    </row>
    <row r="107" spans="1:12" s="954" customFormat="1">
      <c r="A107" s="2314"/>
      <c r="D107" s="2315"/>
      <c r="K107" s="793"/>
      <c r="L107" s="793"/>
    </row>
    <row r="108" spans="1:12" s="954" customFormat="1">
      <c r="A108" s="2314"/>
      <c r="D108" s="2315"/>
      <c r="K108" s="793"/>
      <c r="L108" s="793"/>
    </row>
    <row r="109" spans="1:12" s="954" customFormat="1">
      <c r="A109" s="2314"/>
      <c r="D109" s="2315"/>
      <c r="K109" s="793"/>
      <c r="L109" s="793"/>
    </row>
    <row r="110" spans="1:12" s="954" customFormat="1">
      <c r="A110" s="2314"/>
      <c r="D110" s="2315"/>
      <c r="K110" s="793"/>
      <c r="L110" s="793"/>
    </row>
    <row r="111" spans="1:12" s="954" customFormat="1">
      <c r="A111" s="2314"/>
      <c r="D111" s="2315"/>
      <c r="K111" s="793"/>
      <c r="L111" s="793"/>
    </row>
    <row r="112" spans="1:12" s="954" customFormat="1">
      <c r="A112" s="2314"/>
      <c r="D112" s="2315"/>
      <c r="K112" s="793"/>
      <c r="L112" s="793"/>
    </row>
    <row r="113" spans="1:12" s="954" customFormat="1">
      <c r="A113" s="2314"/>
      <c r="D113" s="2315"/>
      <c r="K113" s="793"/>
      <c r="L113" s="793"/>
    </row>
    <row r="114" spans="1:12" s="954" customFormat="1">
      <c r="A114" s="2314"/>
      <c r="D114" s="2315"/>
      <c r="K114" s="793"/>
      <c r="L114" s="793"/>
    </row>
    <row r="115" spans="1:12" s="954" customFormat="1">
      <c r="A115" s="2314"/>
      <c r="D115" s="2315"/>
      <c r="K115" s="793"/>
      <c r="L115" s="793"/>
    </row>
    <row r="116" spans="1:12" s="954" customFormat="1">
      <c r="A116" s="2314"/>
      <c r="D116" s="2315"/>
      <c r="K116" s="793"/>
      <c r="L116" s="793"/>
    </row>
    <row r="117" spans="1:12" s="954" customFormat="1">
      <c r="A117" s="2314"/>
      <c r="D117" s="2315"/>
      <c r="K117" s="793"/>
      <c r="L117" s="793"/>
    </row>
    <row r="118" spans="1:12" s="954" customFormat="1">
      <c r="A118" s="2314"/>
      <c r="D118" s="2315"/>
      <c r="K118" s="793"/>
      <c r="L118" s="793"/>
    </row>
    <row r="119" spans="1:12" s="954" customFormat="1">
      <c r="A119" s="2314"/>
      <c r="D119" s="2315"/>
      <c r="K119" s="793"/>
      <c r="L119" s="793"/>
    </row>
    <row r="120" spans="1:12" s="954" customFormat="1">
      <c r="A120" s="2314"/>
      <c r="D120" s="2315"/>
      <c r="K120" s="793"/>
      <c r="L120" s="793"/>
    </row>
    <row r="121" spans="1:12" s="954" customFormat="1">
      <c r="A121" s="2314"/>
      <c r="D121" s="2315"/>
      <c r="K121" s="793"/>
      <c r="L121" s="793"/>
    </row>
    <row r="122" spans="1:12" s="954" customFormat="1">
      <c r="A122" s="2314"/>
      <c r="D122" s="2315"/>
      <c r="K122" s="793"/>
      <c r="L122" s="793"/>
    </row>
    <row r="123" spans="1:12" s="954" customFormat="1">
      <c r="A123" s="2314"/>
      <c r="D123" s="2315"/>
      <c r="K123" s="793"/>
      <c r="L123" s="793"/>
    </row>
    <row r="124" spans="1:12" s="954" customFormat="1">
      <c r="A124" s="2314"/>
      <c r="D124" s="2315"/>
      <c r="K124" s="793"/>
      <c r="L124" s="793"/>
    </row>
    <row r="125" spans="1:12" s="954" customFormat="1">
      <c r="A125" s="2314"/>
      <c r="D125" s="2315"/>
      <c r="K125" s="793"/>
      <c r="L125" s="793"/>
    </row>
    <row r="126" spans="1:12" s="954" customFormat="1">
      <c r="A126" s="2314"/>
      <c r="D126" s="2315"/>
      <c r="K126" s="793"/>
      <c r="L126" s="793"/>
    </row>
    <row r="127" spans="1:12" s="954" customFormat="1">
      <c r="A127" s="2314"/>
      <c r="D127" s="2315"/>
      <c r="K127" s="793"/>
      <c r="L127" s="793"/>
    </row>
    <row r="128" spans="1:12" s="954" customFormat="1">
      <c r="A128" s="2314"/>
      <c r="D128" s="2315"/>
      <c r="K128" s="793"/>
      <c r="L128" s="793"/>
    </row>
    <row r="129" spans="1:12" s="954" customFormat="1">
      <c r="A129" s="2314"/>
      <c r="D129" s="2315"/>
      <c r="K129" s="793"/>
      <c r="L129" s="793"/>
    </row>
    <row r="130" spans="1:12" s="954" customFormat="1">
      <c r="A130" s="2314"/>
      <c r="D130" s="2315"/>
      <c r="K130" s="793"/>
      <c r="L130" s="793"/>
    </row>
    <row r="131" spans="1:12" s="954" customFormat="1">
      <c r="A131" s="2314"/>
      <c r="D131" s="2315"/>
      <c r="K131" s="793"/>
      <c r="L131" s="793"/>
    </row>
    <row r="132" spans="1:12" s="954" customFormat="1">
      <c r="A132" s="2314"/>
      <c r="D132" s="2315"/>
      <c r="K132" s="793"/>
      <c r="L132" s="793"/>
    </row>
    <row r="133" spans="1:12" s="954" customFormat="1">
      <c r="A133" s="2314"/>
      <c r="D133" s="2315"/>
      <c r="K133" s="793"/>
      <c r="L133" s="793"/>
    </row>
    <row r="134" spans="1:12" s="2247" customFormat="1">
      <c r="A134" s="2316"/>
      <c r="D134" s="2317"/>
      <c r="K134" s="27"/>
      <c r="L134" s="27"/>
    </row>
    <row r="135" spans="1:12" s="2247" customFormat="1">
      <c r="A135" s="2316"/>
      <c r="D135" s="2317"/>
      <c r="K135" s="27"/>
      <c r="L135" s="27"/>
    </row>
    <row r="136" spans="1:12" s="2247" customFormat="1">
      <c r="A136" s="2316"/>
      <c r="D136" s="2317"/>
      <c r="K136" s="27"/>
      <c r="L136" s="27"/>
    </row>
    <row r="137" spans="1:12" s="2247" customFormat="1">
      <c r="A137" s="2316"/>
      <c r="D137" s="2317"/>
      <c r="K137" s="27"/>
      <c r="L137" s="27"/>
    </row>
    <row r="138" spans="1:12" s="2247" customFormat="1">
      <c r="A138" s="2316"/>
      <c r="D138" s="2317"/>
      <c r="K138" s="27"/>
      <c r="L138" s="27"/>
    </row>
    <row r="139" spans="1:12" s="2247" customFormat="1">
      <c r="A139" s="2316"/>
      <c r="D139" s="2317"/>
      <c r="K139" s="27"/>
      <c r="L139" s="27"/>
    </row>
    <row r="140" spans="1:12" s="2247" customFormat="1">
      <c r="A140" s="2316"/>
      <c r="D140" s="2317"/>
      <c r="K140" s="27"/>
      <c r="L140" s="27"/>
    </row>
    <row r="141" spans="1:12" s="2247" customFormat="1">
      <c r="A141" s="2316"/>
      <c r="D141" s="2317"/>
      <c r="K141" s="27"/>
      <c r="L141" s="27"/>
    </row>
    <row r="142" spans="1:12" s="2247" customFormat="1">
      <c r="A142" s="2316"/>
      <c r="D142" s="2317"/>
      <c r="K142" s="27"/>
      <c r="L142" s="27"/>
    </row>
    <row r="143" spans="1:12" s="2247" customFormat="1">
      <c r="A143" s="2316"/>
      <c r="D143" s="2317"/>
      <c r="K143" s="27"/>
      <c r="L143" s="27"/>
    </row>
    <row r="144" spans="1:12" s="2247" customFormat="1">
      <c r="A144" s="2316"/>
      <c r="D144" s="2317"/>
      <c r="K144" s="27"/>
      <c r="L144" s="27"/>
    </row>
    <row r="145" spans="1:12" s="2247" customFormat="1">
      <c r="A145" s="2316"/>
      <c r="D145" s="2317"/>
      <c r="K145" s="27"/>
      <c r="L145" s="27"/>
    </row>
    <row r="146" spans="1:12" s="2247" customFormat="1">
      <c r="A146" s="2316"/>
      <c r="D146" s="2317"/>
      <c r="K146" s="27"/>
      <c r="L146" s="27"/>
    </row>
    <row r="147" spans="1:12" s="2247" customFormat="1">
      <c r="A147" s="2316"/>
      <c r="D147" s="2317"/>
      <c r="K147" s="27"/>
      <c r="L147" s="27"/>
    </row>
    <row r="148" spans="1:12" s="2247" customFormat="1">
      <c r="A148" s="2316"/>
      <c r="D148" s="2317"/>
      <c r="K148" s="27"/>
      <c r="L148" s="27"/>
    </row>
    <row r="149" spans="1:12" s="2247" customFormat="1">
      <c r="A149" s="2316"/>
      <c r="D149" s="2317"/>
      <c r="K149" s="27"/>
      <c r="L149" s="27"/>
    </row>
    <row r="150" spans="1:12" s="2247" customFormat="1">
      <c r="A150" s="2316"/>
      <c r="D150" s="2317"/>
      <c r="K150" s="27"/>
      <c r="L150" s="27"/>
    </row>
    <row r="151" spans="1:12" s="2247" customFormat="1">
      <c r="A151" s="2316"/>
      <c r="D151" s="2317"/>
      <c r="K151" s="27"/>
      <c r="L151" s="27"/>
    </row>
    <row r="152" spans="1:12" s="2247" customFormat="1">
      <c r="A152" s="2316"/>
      <c r="D152" s="2317"/>
      <c r="K152" s="27"/>
      <c r="L152" s="27"/>
    </row>
    <row r="153" spans="1:12" s="2247" customFormat="1">
      <c r="A153" s="2316"/>
      <c r="D153" s="2317"/>
      <c r="K153" s="27"/>
      <c r="L153" s="27"/>
    </row>
    <row r="154" spans="1:12" s="2247" customFormat="1">
      <c r="A154" s="2316"/>
      <c r="D154" s="2317"/>
      <c r="K154" s="27"/>
      <c r="L154" s="27"/>
    </row>
    <row r="155" spans="1:12" s="2247" customFormat="1">
      <c r="A155" s="2316"/>
      <c r="D155" s="2317"/>
      <c r="K155" s="27"/>
      <c r="L155" s="27"/>
    </row>
    <row r="156" spans="1:12" s="2247" customFormat="1">
      <c r="A156" s="2316"/>
      <c r="D156" s="2317"/>
      <c r="K156" s="27"/>
      <c r="L156" s="27"/>
    </row>
    <row r="157" spans="1:12" s="2247" customFormat="1">
      <c r="A157" s="2316"/>
      <c r="D157" s="2317"/>
      <c r="K157" s="27"/>
      <c r="L157" s="27"/>
    </row>
    <row r="158" spans="1:12" s="2247" customFormat="1">
      <c r="A158" s="2316"/>
      <c r="D158" s="2317"/>
      <c r="K158" s="27"/>
      <c r="L158" s="27"/>
    </row>
    <row r="159" spans="1:12" s="2247" customFormat="1">
      <c r="A159" s="2316"/>
      <c r="D159" s="2317"/>
      <c r="K159" s="27"/>
      <c r="L159" s="27"/>
    </row>
    <row r="160" spans="1:12" s="2247" customFormat="1">
      <c r="A160" s="2316"/>
      <c r="D160" s="2317"/>
      <c r="K160" s="27"/>
      <c r="L160" s="27"/>
    </row>
    <row r="161" spans="1:12" s="2247" customFormat="1">
      <c r="A161" s="2316"/>
      <c r="D161" s="2317"/>
      <c r="K161" s="27"/>
      <c r="L161" s="27"/>
    </row>
    <row r="162" spans="1:12" s="2247" customFormat="1">
      <c r="A162" s="2316"/>
      <c r="D162" s="2317"/>
      <c r="K162" s="27"/>
      <c r="L162" s="27"/>
    </row>
    <row r="163" spans="1:12" s="2247" customFormat="1">
      <c r="A163" s="2316"/>
      <c r="D163" s="2317"/>
      <c r="K163" s="27"/>
      <c r="L163" s="27"/>
    </row>
    <row r="164" spans="1:12" s="2247" customFormat="1">
      <c r="A164" s="2316"/>
      <c r="D164" s="2317"/>
      <c r="K164" s="27"/>
      <c r="L164" s="27"/>
    </row>
    <row r="165" spans="1:12" s="2247" customFormat="1">
      <c r="A165" s="2316"/>
      <c r="D165" s="2317"/>
      <c r="K165" s="27"/>
      <c r="L165" s="27"/>
    </row>
    <row r="166" spans="1:12" s="2247" customFormat="1">
      <c r="A166" s="2316"/>
      <c r="D166" s="2317"/>
      <c r="K166" s="27"/>
      <c r="L166" s="27"/>
    </row>
    <row r="167" spans="1:12" s="2247" customFormat="1">
      <c r="A167" s="2316"/>
      <c r="D167" s="2317"/>
      <c r="K167" s="27"/>
      <c r="L167" s="27"/>
    </row>
    <row r="168" spans="1:12" s="2247" customFormat="1">
      <c r="A168" s="2316"/>
      <c r="D168" s="2317"/>
      <c r="K168" s="27"/>
      <c r="L168" s="27"/>
    </row>
    <row r="169" spans="1:12" s="2247" customFormat="1">
      <c r="A169" s="2316"/>
      <c r="D169" s="2317"/>
      <c r="K169" s="27"/>
      <c r="L169" s="27"/>
    </row>
    <row r="170" spans="1:12" s="2247" customFormat="1">
      <c r="A170" s="2316"/>
      <c r="D170" s="2317"/>
      <c r="K170" s="27"/>
      <c r="L170" s="27"/>
    </row>
    <row r="171" spans="1:12" s="2247" customFormat="1">
      <c r="A171" s="2316"/>
      <c r="D171" s="2317"/>
      <c r="K171" s="27"/>
      <c r="L171" s="27"/>
    </row>
    <row r="172" spans="1:12" s="2247" customFormat="1">
      <c r="A172" s="2316"/>
      <c r="D172" s="2317"/>
      <c r="K172" s="27"/>
      <c r="L172" s="27"/>
    </row>
    <row r="173" spans="1:12" s="2247" customFormat="1">
      <c r="A173" s="2316"/>
      <c r="D173" s="2317"/>
      <c r="K173" s="27"/>
      <c r="L173" s="27"/>
    </row>
    <row r="174" spans="1:12" s="2247" customFormat="1">
      <c r="A174" s="2316"/>
      <c r="D174" s="231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1" customWidth="1"/>
    <col min="2" max="2" width="24.5" style="2386" customWidth="1"/>
    <col min="3" max="3" width="24.5" style="2385" customWidth="1"/>
    <col min="4" max="4" width="2.625" style="2385" customWidth="1"/>
    <col min="5" max="5" width="5.875" style="2385" customWidth="1"/>
    <col min="6" max="6" width="27" style="2386" customWidth="1"/>
    <col min="7" max="7" width="27" style="2387" customWidth="1"/>
    <col min="8" max="8" width="11.875" style="2365" customWidth="1"/>
    <col min="9" max="9" width="16.75" style="2366" customWidth="1"/>
    <col min="10" max="10" width="2.625" style="2365" customWidth="1"/>
    <col min="11" max="11" width="11.875" style="2365" customWidth="1"/>
    <col min="12" max="12" width="16.75" style="2366" customWidth="1"/>
    <col min="13" max="13" width="2.625" style="2365" customWidth="1"/>
    <col min="14" max="14" width="11.875" style="2365" customWidth="1"/>
    <col min="15" max="15" width="16.75" style="2366" customWidth="1"/>
    <col min="16" max="16" width="2.625" style="2365" customWidth="1"/>
    <col min="17" max="17" width="11.875" style="2365" customWidth="1"/>
    <col min="18" max="18" width="16.75" style="2367" customWidth="1"/>
    <col min="19" max="29" width="9" style="2340"/>
    <col min="30" max="16384" width="9" style="2341"/>
  </cols>
  <sheetData>
    <row r="1" spans="1:29" s="2334" customFormat="1" ht="19.5" thickBot="1">
      <c r="A1" s="3514" t="s">
        <v>2072</v>
      </c>
      <c r="B1" s="3515"/>
      <c r="C1" s="3515"/>
      <c r="D1" s="3515"/>
      <c r="E1" s="3515"/>
      <c r="F1" s="3515"/>
      <c r="G1" s="3515"/>
      <c r="H1" s="2329"/>
      <c r="I1" s="2330"/>
      <c r="J1" s="2329"/>
      <c r="K1" s="2329"/>
      <c r="L1" s="2330"/>
      <c r="M1" s="2329"/>
      <c r="N1" s="2329"/>
      <c r="O1" s="2330"/>
      <c r="P1" s="2329"/>
      <c r="Q1" s="2331"/>
      <c r="R1" s="2332"/>
      <c r="S1" s="2333"/>
      <c r="T1" s="2333"/>
      <c r="U1" s="2333"/>
      <c r="V1" s="2333"/>
      <c r="W1" s="2333"/>
      <c r="X1" s="2333"/>
      <c r="Y1" s="2333"/>
      <c r="Z1" s="2333"/>
      <c r="AA1" s="2333"/>
      <c r="AB1" s="2333"/>
      <c r="AC1" s="2333"/>
    </row>
    <row r="2" spans="1:29" ht="15.75" thickBot="1">
      <c r="A2" s="2335"/>
      <c r="B2" s="2336"/>
      <c r="C2" s="2337" t="s">
        <v>2073</v>
      </c>
      <c r="D2" s="2338"/>
      <c r="E2" s="2339"/>
      <c r="F2" s="2259"/>
      <c r="G2" s="2337" t="s">
        <v>2074</v>
      </c>
      <c r="H2" s="2340"/>
      <c r="I2" s="2340"/>
      <c r="J2" s="2340"/>
      <c r="K2" s="2340"/>
      <c r="L2" s="2340"/>
      <c r="M2" s="2340"/>
      <c r="N2" s="2340"/>
      <c r="O2" s="2340"/>
      <c r="P2" s="2340"/>
      <c r="Q2" s="2340"/>
      <c r="R2" s="2340"/>
    </row>
    <row r="3" spans="1:29" ht="42.75">
      <c r="A3" s="414" t="s">
        <v>2075</v>
      </c>
      <c r="B3" s="1250" t="s">
        <v>2076</v>
      </c>
      <c r="C3" s="2957"/>
      <c r="D3" s="2342"/>
      <c r="E3" s="430" t="s">
        <v>2075</v>
      </c>
      <c r="F3" s="2343" t="s">
        <v>2077</v>
      </c>
      <c r="G3" s="2344" t="s">
        <v>2078</v>
      </c>
      <c r="H3" s="2340"/>
      <c r="I3" s="2340"/>
      <c r="J3" s="2340"/>
      <c r="K3" s="2340"/>
      <c r="L3" s="2340"/>
      <c r="M3" s="2340"/>
      <c r="N3" s="2340"/>
      <c r="O3" s="2340"/>
      <c r="P3" s="2340"/>
      <c r="Q3" s="2340"/>
      <c r="R3" s="2340"/>
    </row>
    <row r="4" spans="1:29" ht="54">
      <c r="A4" s="430"/>
      <c r="B4" s="1775" t="s">
        <v>2079</v>
      </c>
      <c r="C4" s="2958" t="s">
        <v>3406</v>
      </c>
      <c r="D4" s="2342"/>
      <c r="E4" s="2345"/>
      <c r="F4" s="42" t="s">
        <v>2080</v>
      </c>
      <c r="G4" s="2346" t="s">
        <v>2081</v>
      </c>
      <c r="H4" s="2340"/>
      <c r="I4" s="2340"/>
      <c r="J4" s="2340"/>
      <c r="K4" s="2340"/>
      <c r="L4" s="2340"/>
      <c r="M4" s="2340"/>
      <c r="N4" s="2340"/>
      <c r="O4" s="2340"/>
      <c r="P4" s="2340"/>
      <c r="Q4" s="2340"/>
      <c r="R4" s="2340"/>
    </row>
    <row r="5" spans="1:29" ht="54">
      <c r="A5" s="430"/>
      <c r="B5" s="1775" t="s">
        <v>2082</v>
      </c>
      <c r="C5" s="2958" t="s">
        <v>3591</v>
      </c>
      <c r="D5" s="2342"/>
      <c r="E5" s="2345"/>
      <c r="F5" s="1775" t="s">
        <v>2083</v>
      </c>
      <c r="G5" s="2346" t="s">
        <v>2084</v>
      </c>
      <c r="H5" s="2340"/>
      <c r="I5" s="2340"/>
      <c r="J5" s="2340"/>
      <c r="K5" s="2340"/>
      <c r="L5" s="2340"/>
      <c r="M5" s="2340"/>
      <c r="N5" s="2340"/>
      <c r="O5" s="2340"/>
      <c r="P5" s="2340"/>
      <c r="Q5" s="2340"/>
      <c r="R5" s="2340"/>
    </row>
    <row r="6" spans="1:29" ht="67.5">
      <c r="A6" s="430"/>
      <c r="B6" s="1775" t="s">
        <v>2085</v>
      </c>
      <c r="C6" s="2959" t="s">
        <v>3408</v>
      </c>
      <c r="D6" s="2342"/>
      <c r="E6" s="2345"/>
      <c r="F6" s="1775" t="s">
        <v>2086</v>
      </c>
      <c r="G6" s="2346" t="s">
        <v>2087</v>
      </c>
      <c r="H6" s="2340"/>
      <c r="I6" s="2340"/>
      <c r="J6" s="2340"/>
      <c r="K6" s="2340"/>
      <c r="L6" s="2340"/>
      <c r="M6" s="2340"/>
      <c r="N6" s="2340"/>
      <c r="O6" s="2340"/>
      <c r="P6" s="2340"/>
      <c r="Q6" s="2340"/>
      <c r="R6" s="2340"/>
    </row>
    <row r="7" spans="1:29" ht="41.25" thickBot="1">
      <c r="A7" s="430"/>
      <c r="B7" s="1775" t="s">
        <v>2083</v>
      </c>
      <c r="C7" s="2959" t="s">
        <v>3407</v>
      </c>
      <c r="D7" s="2347"/>
      <c r="E7" s="2348"/>
      <c r="F7" s="2349" t="s">
        <v>2088</v>
      </c>
      <c r="G7" s="2350" t="s">
        <v>2089</v>
      </c>
      <c r="H7" s="2340"/>
      <c r="I7" s="2340"/>
      <c r="J7" s="2340"/>
      <c r="K7" s="2340"/>
      <c r="L7" s="2340"/>
      <c r="M7" s="2340"/>
      <c r="N7" s="2340"/>
      <c r="O7" s="2340"/>
      <c r="P7" s="2340"/>
      <c r="Q7" s="2340"/>
      <c r="R7" s="2340"/>
    </row>
    <row r="8" spans="1:29" ht="27">
      <c r="A8" s="430"/>
      <c r="B8" s="1775" t="s">
        <v>2086</v>
      </c>
      <c r="C8" s="2959" t="s">
        <v>3061</v>
      </c>
      <c r="D8" s="2347"/>
      <c r="E8" s="2347"/>
      <c r="F8" s="1116"/>
      <c r="G8" s="1116"/>
      <c r="H8" s="2340"/>
      <c r="I8" s="2340"/>
      <c r="J8" s="2340"/>
      <c r="K8" s="2340"/>
      <c r="L8" s="2340"/>
      <c r="M8" s="2340"/>
      <c r="N8" s="2340"/>
      <c r="O8" s="2340"/>
      <c r="P8" s="2340"/>
      <c r="Q8" s="2340"/>
      <c r="R8" s="2340"/>
    </row>
    <row r="9" spans="1:29" ht="54">
      <c r="A9" s="430"/>
      <c r="B9" s="1775" t="s">
        <v>2090</v>
      </c>
      <c r="C9" s="2958" t="s">
        <v>3409</v>
      </c>
      <c r="D9" s="2342"/>
      <c r="E9" s="2347"/>
      <c r="F9" s="1116"/>
      <c r="G9" s="1116"/>
      <c r="H9" s="2340"/>
      <c r="I9" s="2340"/>
      <c r="J9" s="2340"/>
      <c r="K9" s="2340"/>
      <c r="L9" s="2340"/>
      <c r="M9" s="2340"/>
      <c r="N9" s="2340"/>
      <c r="O9" s="2340"/>
      <c r="P9" s="2340"/>
      <c r="Q9" s="2340"/>
      <c r="R9" s="2340"/>
    </row>
    <row r="10" spans="1:29" s="117" customFormat="1" ht="15.75" thickBot="1">
      <c r="A10" s="2351"/>
      <c r="B10" s="2352" t="s">
        <v>2091</v>
      </c>
      <c r="C10" s="2960" t="s">
        <v>3410</v>
      </c>
      <c r="D10" s="2342"/>
      <c r="E10" s="2342"/>
      <c r="F10" s="1116"/>
      <c r="G10" s="1116"/>
      <c r="H10" s="2353"/>
      <c r="I10" s="2354"/>
      <c r="J10" s="2355"/>
      <c r="K10" s="2353"/>
      <c r="L10" s="2354"/>
      <c r="M10" s="2355"/>
      <c r="N10" s="2353"/>
      <c r="O10" s="2354"/>
      <c r="P10" s="2355"/>
      <c r="Q10" s="2353"/>
      <c r="R10" s="2354"/>
      <c r="S10" s="2340"/>
      <c r="T10" s="2340"/>
      <c r="U10" s="2340"/>
      <c r="V10" s="2340"/>
      <c r="W10" s="2340"/>
      <c r="X10" s="2340"/>
      <c r="Y10" s="2340"/>
      <c r="Z10" s="2340"/>
      <c r="AA10" s="2340"/>
      <c r="AB10" s="2340"/>
      <c r="AC10" s="2340"/>
    </row>
    <row r="11" spans="1:29" s="117" customFormat="1" ht="15">
      <c r="A11" s="2356"/>
      <c r="B11" s="2347"/>
      <c r="C11" s="2342"/>
      <c r="D11" s="2342"/>
      <c r="E11" s="2342"/>
      <c r="F11" s="2347"/>
      <c r="G11" s="1134"/>
      <c r="H11" s="2353"/>
      <c r="I11" s="2354"/>
      <c r="J11" s="2355"/>
      <c r="K11" s="2353"/>
      <c r="L11" s="2354"/>
      <c r="M11" s="2355"/>
      <c r="N11" s="2353"/>
      <c r="O11" s="2354"/>
      <c r="P11" s="2355"/>
      <c r="Q11" s="2353"/>
      <c r="R11" s="2354"/>
      <c r="S11" s="2340"/>
      <c r="T11" s="2340"/>
      <c r="U11" s="2340"/>
      <c r="V11" s="2340"/>
      <c r="W11" s="2340"/>
      <c r="X11" s="2340"/>
      <c r="Y11" s="2340"/>
      <c r="Z11" s="2340"/>
      <c r="AA11" s="2340"/>
      <c r="AB11" s="2340"/>
      <c r="AC11" s="2340"/>
    </row>
    <row r="12" spans="1:29" s="2334" customFormat="1" ht="18">
      <c r="A12" s="2356"/>
      <c r="B12" s="2347"/>
      <c r="C12" s="2342"/>
      <c r="D12" s="2357"/>
      <c r="E12" s="2342"/>
      <c r="F12" s="2347"/>
      <c r="G12" s="1134"/>
      <c r="H12" s="2358"/>
      <c r="I12" s="2359"/>
      <c r="J12" s="2358"/>
      <c r="K12" s="2358"/>
      <c r="L12" s="2360"/>
      <c r="M12" s="2358"/>
      <c r="N12" s="2361"/>
      <c r="O12" s="2362"/>
      <c r="P12" s="2361"/>
      <c r="Q12" s="2361"/>
      <c r="R12" s="2332"/>
      <c r="S12" s="2333"/>
      <c r="T12" s="2333"/>
      <c r="U12" s="2333"/>
      <c r="V12" s="2333"/>
      <c r="W12" s="2333"/>
      <c r="X12" s="2333"/>
      <c r="Y12" s="2333"/>
      <c r="Z12" s="2333"/>
      <c r="AA12" s="2333"/>
      <c r="AB12" s="2333"/>
      <c r="AC12" s="2333"/>
    </row>
    <row r="13" spans="1:29" ht="19.5" thickBot="1">
      <c r="A13" s="2363" t="s">
        <v>2092</v>
      </c>
      <c r="B13" s="2357"/>
      <c r="C13" s="2357"/>
      <c r="D13" s="2364"/>
      <c r="E13" s="2357"/>
      <c r="F13" s="2357"/>
      <c r="G13" s="2357"/>
    </row>
    <row r="14" spans="1:29" ht="15.75" thickBot="1">
      <c r="A14" s="2368"/>
      <c r="B14" s="2369"/>
      <c r="C14" s="2370" t="s">
        <v>2093</v>
      </c>
      <c r="D14" s="2342"/>
      <c r="E14" s="2371"/>
      <c r="F14" s="2371"/>
      <c r="G14" s="2337" t="s">
        <v>2094</v>
      </c>
    </row>
    <row r="15" spans="1:29" ht="42.75">
      <c r="A15" s="68" t="s">
        <v>2095</v>
      </c>
      <c r="B15" s="1249" t="s">
        <v>2076</v>
      </c>
      <c r="C15" s="2372">
        <f>C3</f>
        <v>0</v>
      </c>
      <c r="D15" s="2342"/>
      <c r="E15" s="2373" t="s">
        <v>2096</v>
      </c>
      <c r="F15" s="1249" t="s">
        <v>2097</v>
      </c>
      <c r="G15" s="135" t="str">
        <f>G3</f>
        <v>估价对象位于XX开发区，园区建设成熟度XX，产业集聚程度XX</v>
      </c>
    </row>
    <row r="16" spans="1:29" ht="42.75">
      <c r="A16" s="644"/>
      <c r="B16" s="2374" t="s">
        <v>2079</v>
      </c>
      <c r="C16" s="2375" t="str">
        <f>C4</f>
        <v>估价对象位于望京商圈，周边商业氛围较成熟，人流量较大，商业繁华度较好</v>
      </c>
      <c r="D16" s="2342"/>
      <c r="E16" s="2376"/>
      <c r="F16" s="2377" t="s">
        <v>2080</v>
      </c>
      <c r="G16" s="136" t="str">
        <f>G4</f>
        <v>估价对象周边道路状况、公共交通通达情况、停车便捷程度，综合评价交通便捷度较好</v>
      </c>
    </row>
    <row r="17" spans="1:18" ht="42.75">
      <c r="A17" s="644"/>
      <c r="B17" s="2374" t="s">
        <v>2082</v>
      </c>
      <c r="C17" s="2375" t="str">
        <f>C5</f>
        <v>估价对象位于望京商圈，周边办公楼项目较多，入驻率较高，办公集聚程度较好</v>
      </c>
      <c r="D17" s="2347"/>
      <c r="E17" s="2376"/>
      <c r="F17" s="2377" t="s">
        <v>2098</v>
      </c>
      <c r="G17" s="1549"/>
    </row>
    <row r="18" spans="1:18" ht="71.25">
      <c r="A18" s="644"/>
      <c r="B18" s="2377" t="s">
        <v>2085</v>
      </c>
      <c r="C18" s="136" t="str">
        <f>C6</f>
        <v>估价对象周边道路状况较好、地铁14、15号线通过，公共交通通达情况较好、停车便捷程度较好，综合评价交通便捷度较好</v>
      </c>
      <c r="D18" s="2347"/>
      <c r="E18" s="2376"/>
      <c r="F18" s="2377" t="s">
        <v>2088</v>
      </c>
      <c r="G18" s="136" t="str">
        <f>G7</f>
        <v>该园区内是否有污染型企业，绿化情况，卫生条件，整体环境状况判断</v>
      </c>
    </row>
    <row r="19" spans="1:18" ht="28.5">
      <c r="A19" s="644"/>
      <c r="B19" s="2377" t="s">
        <v>2099</v>
      </c>
      <c r="C19" s="2961" t="s">
        <v>3062</v>
      </c>
      <c r="D19" s="2342"/>
      <c r="E19" s="2376"/>
      <c r="F19" s="1775" t="s">
        <v>2083</v>
      </c>
      <c r="G19" s="136" t="str">
        <f>G5</f>
        <v>估价对象所在区域公共配套设施齐备情况</v>
      </c>
    </row>
    <row r="20" spans="1:18" ht="57">
      <c r="A20" s="644"/>
      <c r="B20" s="2377" t="s">
        <v>2100</v>
      </c>
      <c r="C20" s="2375" t="str">
        <f>C9</f>
        <v>区域自然环境：望湖公园、北小河公园；人文环境：青年政治学院；综合评价环境状况较好</v>
      </c>
      <c r="D20" s="2347"/>
      <c r="E20" s="2376"/>
      <c r="F20" s="1775" t="s">
        <v>2101</v>
      </c>
      <c r="G20" s="136" t="str">
        <f>G6</f>
        <v>估价对象所在区域基础设施水平</v>
      </c>
    </row>
    <row r="21" spans="1:18" ht="28.5">
      <c r="A21" s="644"/>
      <c r="B21" s="1775" t="s">
        <v>2083</v>
      </c>
      <c r="C21" s="136" t="str">
        <f>C7</f>
        <v>估价对象所在区域公共配套设施齐备情况较好</v>
      </c>
      <c r="D21" s="2342"/>
      <c r="E21" s="2376"/>
      <c r="F21" s="2377" t="s">
        <v>2102</v>
      </c>
      <c r="G21" s="2378"/>
    </row>
    <row r="22" spans="1:18" ht="13.5" customHeight="1">
      <c r="A22" s="644"/>
      <c r="B22" s="1775" t="s">
        <v>2086</v>
      </c>
      <c r="C22" s="136" t="str">
        <f>C8</f>
        <v>估价对象所在区域基础设施水平“七通一平</v>
      </c>
      <c r="D22" s="2342"/>
      <c r="E22" s="2376"/>
      <c r="F22" s="2377" t="s">
        <v>2091</v>
      </c>
      <c r="G22" s="1549"/>
    </row>
    <row r="23" spans="1:18" s="2340" customFormat="1" ht="15.75" thickBot="1">
      <c r="A23" s="644"/>
      <c r="B23" s="2377" t="s">
        <v>2102</v>
      </c>
      <c r="C23" s="2962" t="s">
        <v>3063</v>
      </c>
      <c r="D23" s="2365"/>
      <c r="E23" s="2379"/>
      <c r="F23" s="2380" t="s">
        <v>2103</v>
      </c>
      <c r="G23" s="2381"/>
      <c r="H23" s="2365"/>
      <c r="I23" s="2366"/>
      <c r="J23" s="2365"/>
      <c r="K23" s="2365"/>
      <c r="L23" s="2366"/>
      <c r="M23" s="2365"/>
      <c r="N23" s="2365"/>
      <c r="O23" s="2366"/>
      <c r="P23" s="2365"/>
      <c r="Q23" s="2365"/>
      <c r="R23" s="2367"/>
    </row>
    <row r="24" spans="1:18" s="2340" customFormat="1" ht="15.75" thickBot="1">
      <c r="A24" s="2382"/>
      <c r="B24" s="2380" t="s">
        <v>2104</v>
      </c>
      <c r="C24" s="137" t="str">
        <f>C10</f>
        <v>城市主干道——望京北路</v>
      </c>
      <c r="D24" s="2365"/>
      <c r="E24" s="2383"/>
      <c r="F24" s="2383"/>
      <c r="G24" s="2384"/>
      <c r="H24" s="2365"/>
      <c r="I24" s="2366"/>
      <c r="J24" s="2365"/>
      <c r="K24" s="2365"/>
      <c r="L24" s="2366"/>
      <c r="M24" s="2365"/>
      <c r="N24" s="2365"/>
      <c r="O24" s="2366"/>
      <c r="P24" s="2365"/>
      <c r="Q24" s="2365"/>
      <c r="R24" s="2367"/>
    </row>
    <row r="25" spans="1:18" s="2340" customFormat="1">
      <c r="B25" s="2365"/>
      <c r="C25" s="2365"/>
      <c r="D25" s="2365"/>
      <c r="H25" s="2365"/>
      <c r="I25" s="2366"/>
      <c r="J25" s="2365"/>
      <c r="K25" s="2365"/>
      <c r="L25" s="2366"/>
      <c r="M25" s="2365"/>
      <c r="N25" s="2365"/>
      <c r="O25" s="2366"/>
      <c r="P25" s="2365"/>
      <c r="Q25" s="2365"/>
      <c r="R25" s="2367"/>
    </row>
    <row r="26" spans="1:18" s="2340" customFormat="1">
      <c r="B26" s="2365"/>
      <c r="C26" s="2365"/>
      <c r="D26" s="2365"/>
      <c r="H26" s="2365"/>
      <c r="I26" s="2366"/>
      <c r="J26" s="2365"/>
      <c r="K26" s="2365"/>
      <c r="L26" s="2366"/>
      <c r="M26" s="2365"/>
      <c r="N26" s="2365"/>
      <c r="O26" s="2366"/>
      <c r="P26" s="2365"/>
      <c r="Q26" s="2365"/>
      <c r="R26" s="2367"/>
    </row>
    <row r="27" spans="1:18" s="2340" customFormat="1">
      <c r="B27" s="2365"/>
      <c r="C27" s="2365"/>
      <c r="D27" s="2365"/>
      <c r="H27" s="2365"/>
      <c r="I27" s="2366"/>
      <c r="J27" s="2365"/>
      <c r="K27" s="2365"/>
      <c r="L27" s="2366"/>
      <c r="M27" s="2365"/>
      <c r="N27" s="2365"/>
      <c r="O27" s="2366"/>
      <c r="P27" s="2365"/>
      <c r="Q27" s="2365"/>
      <c r="R27" s="2367"/>
    </row>
    <row r="28" spans="1:18" s="2340" customFormat="1">
      <c r="B28" s="2365"/>
      <c r="C28" s="2365"/>
      <c r="D28" s="2365"/>
      <c r="H28" s="2365"/>
      <c r="I28" s="2366"/>
      <c r="J28" s="2365"/>
      <c r="K28" s="2365"/>
      <c r="L28" s="2366"/>
      <c r="M28" s="2365"/>
      <c r="N28" s="2365"/>
      <c r="O28" s="2366"/>
      <c r="P28" s="2365"/>
      <c r="Q28" s="2365"/>
      <c r="R28" s="2367"/>
    </row>
    <row r="29" spans="1:18" s="2340" customFormat="1">
      <c r="B29" s="2365"/>
      <c r="C29" s="2365"/>
      <c r="D29" s="2365"/>
      <c r="H29" s="2365"/>
      <c r="I29" s="2366"/>
      <c r="J29" s="2365"/>
      <c r="K29" s="2365"/>
      <c r="L29" s="2366"/>
      <c r="M29" s="2365"/>
      <c r="N29" s="2365"/>
      <c r="O29" s="2366"/>
      <c r="P29" s="2365"/>
      <c r="Q29" s="2365"/>
      <c r="R29" s="2367"/>
    </row>
    <row r="30" spans="1:18" s="2340" customFormat="1">
      <c r="B30" s="2365"/>
      <c r="C30" s="2365"/>
      <c r="D30" s="2365"/>
      <c r="H30" s="2365"/>
      <c r="I30" s="2366"/>
      <c r="J30" s="2365"/>
      <c r="K30" s="2365"/>
      <c r="L30" s="2366"/>
      <c r="M30" s="2365"/>
      <c r="N30" s="2365"/>
      <c r="O30" s="2366"/>
      <c r="P30" s="2365"/>
      <c r="Q30" s="2365"/>
      <c r="R30" s="2367"/>
    </row>
    <row r="31" spans="1:18" s="2340" customFormat="1">
      <c r="B31" s="2365"/>
      <c r="C31" s="2365"/>
      <c r="D31" s="2365"/>
      <c r="H31" s="2365"/>
      <c r="I31" s="2366"/>
      <c r="J31" s="2365"/>
      <c r="K31" s="2365"/>
      <c r="L31" s="2366"/>
      <c r="M31" s="2365"/>
      <c r="N31" s="2365"/>
      <c r="O31" s="2366"/>
      <c r="P31" s="2365"/>
      <c r="Q31" s="2365"/>
      <c r="R31" s="2367"/>
    </row>
    <row r="32" spans="1:18" s="2340" customFormat="1">
      <c r="B32" s="2365"/>
      <c r="C32" s="2365"/>
      <c r="D32" s="2365"/>
      <c r="H32" s="2365"/>
      <c r="I32" s="2366"/>
      <c r="J32" s="2365"/>
      <c r="K32" s="2365"/>
      <c r="L32" s="2366"/>
      <c r="M32" s="2365"/>
      <c r="N32" s="2365"/>
      <c r="O32" s="2366"/>
      <c r="P32" s="2365"/>
      <c r="Q32" s="2365"/>
      <c r="R32" s="2367"/>
    </row>
    <row r="33" spans="2:18" s="2340" customFormat="1">
      <c r="B33" s="2365"/>
      <c r="C33" s="2365"/>
      <c r="D33" s="2365"/>
      <c r="H33" s="2365"/>
      <c r="I33" s="2366"/>
      <c r="J33" s="2365"/>
      <c r="K33" s="2365"/>
      <c r="L33" s="2366"/>
      <c r="M33" s="2365"/>
      <c r="N33" s="2365"/>
      <c r="O33" s="2366"/>
      <c r="P33" s="2365"/>
      <c r="Q33" s="2365"/>
      <c r="R33" s="2367"/>
    </row>
    <row r="34" spans="2:18" s="2340" customFormat="1">
      <c r="B34" s="2365"/>
      <c r="C34" s="2365"/>
      <c r="D34" s="2365"/>
      <c r="H34" s="2365"/>
      <c r="I34" s="2366"/>
      <c r="J34" s="2365"/>
      <c r="K34" s="2365"/>
      <c r="L34" s="2366"/>
      <c r="M34" s="2365"/>
      <c r="N34" s="2365"/>
      <c r="O34" s="2366"/>
      <c r="P34" s="2365"/>
      <c r="Q34" s="2365"/>
      <c r="R34" s="2367"/>
    </row>
    <row r="35" spans="2:18" s="2340" customFormat="1">
      <c r="B35" s="2365"/>
      <c r="C35" s="2365"/>
      <c r="D35" s="2365"/>
      <c r="H35" s="2365"/>
      <c r="I35" s="2366"/>
      <c r="J35" s="2365"/>
      <c r="K35" s="2365"/>
      <c r="L35" s="2366"/>
      <c r="M35" s="2365"/>
      <c r="N35" s="2365"/>
      <c r="O35" s="2366"/>
      <c r="P35" s="2365"/>
      <c r="Q35" s="2365"/>
      <c r="R35" s="2367"/>
    </row>
    <row r="36" spans="2:18" s="2340" customFormat="1">
      <c r="B36" s="2365"/>
      <c r="C36" s="2365"/>
      <c r="D36" s="2365"/>
      <c r="H36" s="2365"/>
      <c r="I36" s="2366"/>
      <c r="J36" s="2365"/>
      <c r="K36" s="2365"/>
      <c r="L36" s="2366"/>
      <c r="M36" s="2365"/>
      <c r="N36" s="2365"/>
      <c r="O36" s="2366"/>
      <c r="P36" s="2365"/>
      <c r="Q36" s="2365"/>
      <c r="R36" s="2367"/>
    </row>
    <row r="37" spans="2:18" s="2340" customFormat="1">
      <c r="B37" s="2365"/>
      <c r="C37" s="2365"/>
      <c r="D37" s="2365"/>
      <c r="H37" s="2365"/>
      <c r="I37" s="2366"/>
      <c r="J37" s="2365"/>
      <c r="K37" s="2365"/>
      <c r="L37" s="2366"/>
      <c r="M37" s="2365"/>
      <c r="N37" s="2365"/>
      <c r="O37" s="2366"/>
      <c r="P37" s="2365"/>
      <c r="Q37" s="2365"/>
      <c r="R37" s="2367"/>
    </row>
    <row r="38" spans="2:18" s="2340" customFormat="1">
      <c r="B38" s="2365"/>
      <c r="C38" s="2365"/>
      <c r="D38" s="2365"/>
      <c r="E38" s="2365"/>
      <c r="F38" s="2365"/>
      <c r="G38" s="2366"/>
      <c r="H38" s="2365"/>
      <c r="I38" s="2366"/>
      <c r="J38" s="2365"/>
      <c r="K38" s="2365"/>
      <c r="L38" s="2366"/>
      <c r="M38" s="2365"/>
      <c r="N38" s="2365"/>
      <c r="O38" s="2366"/>
      <c r="P38" s="2365"/>
      <c r="Q38" s="2365"/>
      <c r="R38" s="2367"/>
    </row>
    <row r="39" spans="2:18" s="2340" customFormat="1">
      <c r="B39" s="2365"/>
      <c r="C39" s="2365"/>
      <c r="D39" s="2365"/>
      <c r="E39" s="2365"/>
      <c r="F39" s="2365"/>
      <c r="G39" s="2366"/>
      <c r="H39" s="2365"/>
      <c r="I39" s="2366"/>
      <c r="J39" s="2365"/>
      <c r="K39" s="2365"/>
      <c r="L39" s="2366"/>
      <c r="M39" s="2365"/>
      <c r="N39" s="2365"/>
      <c r="O39" s="2366"/>
      <c r="P39" s="2365"/>
      <c r="Q39" s="2365"/>
      <c r="R39" s="2367"/>
    </row>
    <row r="40" spans="2:18" s="2340" customFormat="1">
      <c r="B40" s="2365"/>
      <c r="C40" s="2365"/>
      <c r="D40" s="2365"/>
      <c r="E40" s="2365"/>
      <c r="F40" s="2365"/>
      <c r="G40" s="2366"/>
      <c r="H40" s="2365"/>
      <c r="I40" s="2366"/>
      <c r="J40" s="2365"/>
      <c r="K40" s="2365"/>
      <c r="L40" s="2366"/>
      <c r="M40" s="2365"/>
      <c r="N40" s="2365"/>
      <c r="O40" s="2366"/>
      <c r="P40" s="2365"/>
      <c r="Q40" s="2365"/>
      <c r="R40" s="2367"/>
    </row>
    <row r="41" spans="2:18" s="2340" customFormat="1">
      <c r="B41" s="2365"/>
      <c r="C41" s="2365"/>
      <c r="D41" s="2365"/>
      <c r="E41" s="2365"/>
      <c r="F41" s="2365"/>
      <c r="G41" s="2366"/>
      <c r="H41" s="2365"/>
      <c r="I41" s="2366"/>
      <c r="J41" s="2365"/>
      <c r="K41" s="2365"/>
      <c r="L41" s="2366"/>
      <c r="M41" s="2365"/>
      <c r="N41" s="2365"/>
      <c r="O41" s="2366"/>
      <c r="P41" s="2365"/>
      <c r="Q41" s="2365"/>
      <c r="R41" s="2367"/>
    </row>
    <row r="42" spans="2:18" s="2340" customFormat="1">
      <c r="B42" s="2365"/>
      <c r="C42" s="2365"/>
      <c r="D42" s="2365"/>
      <c r="E42" s="2365"/>
      <c r="F42" s="2365"/>
      <c r="G42" s="2366"/>
      <c r="H42" s="2365"/>
      <c r="I42" s="2366"/>
      <c r="J42" s="2365"/>
      <c r="K42" s="2365"/>
      <c r="L42" s="2366"/>
      <c r="M42" s="2365"/>
      <c r="N42" s="2365"/>
      <c r="O42" s="2366"/>
      <c r="P42" s="2365"/>
      <c r="Q42" s="2365"/>
      <c r="R42" s="2367"/>
    </row>
    <row r="43" spans="2:18" s="2340" customFormat="1">
      <c r="B43" s="2365"/>
      <c r="C43" s="2365"/>
      <c r="D43" s="2365"/>
      <c r="E43" s="2365"/>
      <c r="F43" s="2365"/>
      <c r="G43" s="2366"/>
      <c r="H43" s="2365"/>
      <c r="I43" s="2366"/>
      <c r="J43" s="2365"/>
      <c r="K43" s="2365"/>
      <c r="L43" s="2366"/>
      <c r="M43" s="2365"/>
      <c r="N43" s="2365"/>
      <c r="O43" s="2366"/>
      <c r="P43" s="2365"/>
      <c r="Q43" s="2365"/>
      <c r="R43" s="2367"/>
    </row>
    <row r="44" spans="2:18" s="2340" customFormat="1">
      <c r="B44" s="2365"/>
      <c r="C44" s="2365"/>
      <c r="D44" s="2365"/>
      <c r="E44" s="2365"/>
      <c r="F44" s="2365"/>
      <c r="G44" s="2366"/>
      <c r="H44" s="2365"/>
      <c r="I44" s="2366"/>
      <c r="J44" s="2365"/>
      <c r="K44" s="2365"/>
      <c r="L44" s="2366"/>
      <c r="M44" s="2365"/>
      <c r="N44" s="2365"/>
      <c r="O44" s="2366"/>
      <c r="P44" s="2365"/>
      <c r="Q44" s="2365"/>
      <c r="R44" s="2367"/>
    </row>
    <row r="45" spans="2:18" s="2340" customFormat="1">
      <c r="B45" s="2365"/>
      <c r="C45" s="2365"/>
      <c r="D45" s="2365"/>
      <c r="E45" s="2365"/>
      <c r="F45" s="2365"/>
      <c r="G45" s="2366"/>
      <c r="H45" s="2365"/>
      <c r="I45" s="2366"/>
      <c r="J45" s="2365"/>
      <c r="K45" s="2365"/>
      <c r="L45" s="2366"/>
      <c r="M45" s="2365"/>
      <c r="N45" s="2365"/>
      <c r="O45" s="2366"/>
      <c r="P45" s="2365"/>
      <c r="Q45" s="2365"/>
      <c r="R45" s="2367"/>
    </row>
    <row r="46" spans="2:18" s="2340" customFormat="1">
      <c r="B46" s="2365"/>
      <c r="C46" s="2365"/>
      <c r="D46" s="2365"/>
      <c r="E46" s="2365"/>
      <c r="F46" s="2365"/>
      <c r="G46" s="2366"/>
      <c r="H46" s="2365"/>
      <c r="I46" s="2366"/>
      <c r="J46" s="2365"/>
      <c r="K46" s="2365"/>
      <c r="L46" s="2366"/>
      <c r="M46" s="2365"/>
      <c r="N46" s="2365"/>
      <c r="O46" s="2366"/>
      <c r="P46" s="2365"/>
      <c r="Q46" s="2365"/>
      <c r="R46" s="2367"/>
    </row>
    <row r="47" spans="2:18" s="2340" customFormat="1">
      <c r="B47" s="2365"/>
      <c r="C47" s="2365"/>
      <c r="D47" s="2365"/>
      <c r="E47" s="2365"/>
      <c r="F47" s="2365"/>
      <c r="G47" s="2366"/>
      <c r="H47" s="2365"/>
      <c r="I47" s="2366"/>
      <c r="J47" s="2365"/>
      <c r="K47" s="2365"/>
      <c r="L47" s="2366"/>
      <c r="M47" s="2365"/>
      <c r="N47" s="2365"/>
      <c r="O47" s="2366"/>
      <c r="P47" s="2365"/>
      <c r="Q47" s="2365"/>
      <c r="R47" s="2367"/>
    </row>
    <row r="48" spans="2:18" s="2340" customFormat="1">
      <c r="B48" s="2365"/>
      <c r="C48" s="2365"/>
      <c r="D48" s="2365"/>
      <c r="E48" s="2365"/>
      <c r="F48" s="2365"/>
      <c r="G48" s="2366"/>
      <c r="H48" s="2365"/>
      <c r="I48" s="2366"/>
      <c r="J48" s="2365"/>
      <c r="K48" s="2365"/>
      <c r="L48" s="2366"/>
      <c r="M48" s="2365"/>
      <c r="N48" s="2365"/>
      <c r="O48" s="2366"/>
      <c r="P48" s="2365"/>
      <c r="Q48" s="2365"/>
      <c r="R48" s="2367"/>
    </row>
    <row r="49" spans="2:18" s="2340" customFormat="1">
      <c r="B49" s="2365"/>
      <c r="C49" s="2365"/>
      <c r="D49" s="2365"/>
      <c r="E49" s="2365"/>
      <c r="F49" s="2365"/>
      <c r="G49" s="2366"/>
      <c r="H49" s="2365"/>
      <c r="I49" s="2366"/>
      <c r="J49" s="2365"/>
      <c r="K49" s="2365"/>
      <c r="L49" s="2366"/>
      <c r="M49" s="2365"/>
      <c r="N49" s="2365"/>
      <c r="O49" s="2366"/>
      <c r="P49" s="2365"/>
      <c r="Q49" s="2365"/>
      <c r="R49" s="2367"/>
    </row>
    <row r="50" spans="2:18" s="2340" customFormat="1">
      <c r="B50" s="2365"/>
      <c r="C50" s="2365"/>
      <c r="D50" s="2365"/>
      <c r="E50" s="2365"/>
      <c r="F50" s="2365"/>
      <c r="G50" s="2366"/>
      <c r="H50" s="2365"/>
      <c r="I50" s="2366"/>
      <c r="J50" s="2365"/>
      <c r="K50" s="2365"/>
      <c r="L50" s="2366"/>
      <c r="M50" s="2365"/>
      <c r="N50" s="2365"/>
      <c r="O50" s="2366"/>
      <c r="P50" s="2365"/>
      <c r="Q50" s="2365"/>
      <c r="R50" s="2367"/>
    </row>
    <row r="51" spans="2:18" s="2340" customFormat="1">
      <c r="B51" s="2365"/>
      <c r="C51" s="2365"/>
      <c r="D51" s="2365"/>
      <c r="E51" s="2365"/>
      <c r="F51" s="2365"/>
      <c r="G51" s="2366"/>
      <c r="H51" s="2365"/>
      <c r="I51" s="2366"/>
      <c r="J51" s="2365"/>
      <c r="K51" s="2365"/>
      <c r="L51" s="2366"/>
      <c r="M51" s="2365"/>
      <c r="N51" s="2365"/>
      <c r="O51" s="2366"/>
      <c r="P51" s="2365"/>
      <c r="Q51" s="2365"/>
      <c r="R51" s="2367"/>
    </row>
    <row r="52" spans="2:18" s="2340" customFormat="1">
      <c r="B52" s="2365"/>
      <c r="C52" s="2365"/>
      <c r="D52" s="2365"/>
      <c r="E52" s="2365"/>
      <c r="F52" s="2365"/>
      <c r="G52" s="2366"/>
      <c r="H52" s="2365"/>
      <c r="I52" s="2366"/>
      <c r="J52" s="2365"/>
      <c r="K52" s="2365"/>
      <c r="L52" s="2366"/>
      <c r="M52" s="2365"/>
      <c r="N52" s="2365"/>
      <c r="O52" s="2366"/>
      <c r="P52" s="2365"/>
      <c r="Q52" s="2365"/>
      <c r="R52" s="2367"/>
    </row>
    <row r="53" spans="2:18" s="2340" customFormat="1">
      <c r="B53" s="2365"/>
      <c r="C53" s="2365"/>
      <c r="D53" s="2365"/>
      <c r="E53" s="2365"/>
      <c r="F53" s="2365"/>
      <c r="G53" s="2366"/>
      <c r="H53" s="2365"/>
      <c r="I53" s="2366"/>
      <c r="J53" s="2365"/>
      <c r="K53" s="2365"/>
      <c r="L53" s="2366"/>
      <c r="M53" s="2365"/>
      <c r="N53" s="2365"/>
      <c r="O53" s="2366"/>
      <c r="P53" s="2365"/>
      <c r="Q53" s="2365"/>
      <c r="R53" s="2367"/>
    </row>
    <row r="54" spans="2:18" s="2340" customFormat="1">
      <c r="B54" s="2365"/>
      <c r="C54" s="2365"/>
      <c r="D54" s="2365"/>
      <c r="E54" s="2365"/>
      <c r="F54" s="2365"/>
      <c r="G54" s="2366"/>
      <c r="H54" s="2365"/>
      <c r="I54" s="2366"/>
      <c r="J54" s="2365"/>
      <c r="K54" s="2365"/>
      <c r="L54" s="2366"/>
      <c r="M54" s="2365"/>
      <c r="N54" s="2365"/>
      <c r="O54" s="2366"/>
      <c r="P54" s="2365"/>
      <c r="Q54" s="2365"/>
      <c r="R54" s="2367"/>
    </row>
    <row r="55" spans="2:18" s="2340" customFormat="1">
      <c r="B55" s="2365"/>
      <c r="C55" s="2365"/>
      <c r="D55" s="2365"/>
      <c r="E55" s="2365"/>
      <c r="F55" s="2365"/>
      <c r="G55" s="2366"/>
      <c r="H55" s="2365"/>
      <c r="I55" s="2366"/>
      <c r="J55" s="2365"/>
      <c r="K55" s="2365"/>
      <c r="L55" s="2366"/>
      <c r="M55" s="2365"/>
      <c r="N55" s="2365"/>
      <c r="O55" s="2366"/>
      <c r="P55" s="2365"/>
      <c r="Q55" s="2365"/>
      <c r="R55" s="2367"/>
    </row>
    <row r="56" spans="2:18" s="2340" customFormat="1">
      <c r="B56" s="2365"/>
      <c r="C56" s="2365"/>
      <c r="D56" s="2365"/>
      <c r="E56" s="2365"/>
      <c r="F56" s="2365"/>
      <c r="G56" s="2366"/>
      <c r="H56" s="2365"/>
      <c r="I56" s="2366"/>
      <c r="J56" s="2365"/>
      <c r="K56" s="2365"/>
      <c r="L56" s="2366"/>
      <c r="M56" s="2365"/>
      <c r="N56" s="2365"/>
      <c r="O56" s="2366"/>
      <c r="P56" s="2365"/>
      <c r="Q56" s="2365"/>
      <c r="R56" s="2367"/>
    </row>
    <row r="57" spans="2:18" s="2340" customFormat="1">
      <c r="B57" s="2365"/>
      <c r="C57" s="2365"/>
      <c r="D57" s="2365"/>
      <c r="E57" s="2365"/>
      <c r="F57" s="2365"/>
      <c r="G57" s="2366"/>
      <c r="H57" s="2365"/>
      <c r="I57" s="2366"/>
      <c r="J57" s="2365"/>
      <c r="K57" s="2365"/>
      <c r="L57" s="2366"/>
      <c r="M57" s="2365"/>
      <c r="N57" s="2365"/>
      <c r="O57" s="2366"/>
      <c r="P57" s="2365"/>
      <c r="Q57" s="2365"/>
      <c r="R57" s="2367"/>
    </row>
    <row r="58" spans="2:18" s="2340" customFormat="1">
      <c r="B58" s="2365"/>
      <c r="C58" s="2365"/>
      <c r="D58" s="2365"/>
      <c r="E58" s="2365"/>
      <c r="F58" s="2365"/>
      <c r="G58" s="2366"/>
      <c r="H58" s="2365"/>
      <c r="I58" s="2366"/>
      <c r="J58" s="2365"/>
      <c r="K58" s="2365"/>
      <c r="L58" s="2366"/>
      <c r="M58" s="2365"/>
      <c r="N58" s="2365"/>
      <c r="O58" s="2366"/>
      <c r="P58" s="2365"/>
      <c r="Q58" s="2365"/>
      <c r="R58" s="2367"/>
    </row>
    <row r="59" spans="2:18" s="2340" customFormat="1">
      <c r="B59" s="2365"/>
      <c r="C59" s="2365"/>
      <c r="D59" s="2365"/>
      <c r="E59" s="2365"/>
      <c r="F59" s="2365"/>
      <c r="G59" s="2366"/>
      <c r="H59" s="2365"/>
      <c r="I59" s="2366"/>
      <c r="J59" s="2365"/>
      <c r="K59" s="2365"/>
      <c r="L59" s="2366"/>
      <c r="M59" s="2365"/>
      <c r="N59" s="2365"/>
      <c r="O59" s="2366"/>
      <c r="P59" s="2365"/>
      <c r="Q59" s="2365"/>
      <c r="R59" s="2367"/>
    </row>
    <row r="60" spans="2:18" s="2340" customFormat="1">
      <c r="B60" s="2365"/>
      <c r="C60" s="2365"/>
      <c r="D60" s="2365"/>
      <c r="E60" s="2365"/>
      <c r="F60" s="2365"/>
      <c r="G60" s="2366"/>
      <c r="H60" s="2365"/>
      <c r="I60" s="2366"/>
      <c r="J60" s="2365"/>
      <c r="K60" s="2365"/>
      <c r="L60" s="2366"/>
      <c r="M60" s="2365"/>
      <c r="N60" s="2365"/>
      <c r="O60" s="2366"/>
      <c r="P60" s="2365"/>
      <c r="Q60" s="2365"/>
      <c r="R60" s="2367"/>
    </row>
    <row r="61" spans="2:18" s="2340" customFormat="1">
      <c r="B61" s="2365"/>
      <c r="C61" s="2365"/>
      <c r="D61" s="2365"/>
      <c r="E61" s="2365"/>
      <c r="F61" s="2365"/>
      <c r="G61" s="2366"/>
      <c r="H61" s="2365"/>
      <c r="I61" s="2366"/>
      <c r="J61" s="2365"/>
      <c r="K61" s="2365"/>
      <c r="L61" s="2366"/>
      <c r="M61" s="2365"/>
      <c r="N61" s="2365"/>
      <c r="O61" s="2366"/>
      <c r="P61" s="2365"/>
      <c r="Q61" s="2365"/>
      <c r="R61" s="2367"/>
    </row>
    <row r="62" spans="2:18" s="2340" customFormat="1">
      <c r="B62" s="2365"/>
      <c r="C62" s="2365"/>
      <c r="D62" s="2365"/>
      <c r="E62" s="2365"/>
      <c r="F62" s="2365"/>
      <c r="G62" s="2366"/>
      <c r="H62" s="2365"/>
      <c r="I62" s="2366"/>
      <c r="J62" s="2365"/>
      <c r="K62" s="2365"/>
      <c r="L62" s="2366"/>
      <c r="M62" s="2365"/>
      <c r="N62" s="2365"/>
      <c r="O62" s="2366"/>
      <c r="P62" s="2365"/>
      <c r="Q62" s="2365"/>
      <c r="R62" s="2367"/>
    </row>
    <row r="63" spans="2:18" s="2340" customFormat="1">
      <c r="B63" s="2365"/>
      <c r="C63" s="2365"/>
      <c r="D63" s="2365"/>
      <c r="E63" s="2365"/>
      <c r="F63" s="2365"/>
      <c r="G63" s="2366"/>
      <c r="H63" s="2365"/>
      <c r="I63" s="2366"/>
      <c r="J63" s="2365"/>
      <c r="K63" s="2365"/>
      <c r="L63" s="2366"/>
      <c r="M63" s="2365"/>
      <c r="N63" s="2365"/>
      <c r="O63" s="2366"/>
      <c r="P63" s="2365"/>
      <c r="Q63" s="2365"/>
      <c r="R63" s="2367"/>
    </row>
    <row r="64" spans="2:18" s="2340" customFormat="1">
      <c r="B64" s="2365"/>
      <c r="C64" s="2365"/>
      <c r="D64" s="2365"/>
      <c r="E64" s="2365"/>
      <c r="F64" s="2365"/>
      <c r="G64" s="2366"/>
      <c r="H64" s="2365"/>
      <c r="I64" s="2366"/>
      <c r="J64" s="2365"/>
      <c r="K64" s="2365"/>
      <c r="L64" s="2366"/>
      <c r="M64" s="2365"/>
      <c r="N64" s="2365"/>
      <c r="O64" s="2366"/>
      <c r="P64" s="2365"/>
      <c r="Q64" s="2365"/>
      <c r="R64" s="2367"/>
    </row>
    <row r="65" spans="2:18" s="2340" customFormat="1">
      <c r="B65" s="2365"/>
      <c r="C65" s="2365"/>
      <c r="D65" s="2365"/>
      <c r="E65" s="2365"/>
      <c r="F65" s="2365"/>
      <c r="G65" s="2366"/>
      <c r="H65" s="2365"/>
      <c r="I65" s="2366"/>
      <c r="J65" s="2365"/>
      <c r="K65" s="2365"/>
      <c r="L65" s="2366"/>
      <c r="M65" s="2365"/>
      <c r="N65" s="2365"/>
      <c r="O65" s="2366"/>
      <c r="P65" s="2365"/>
      <c r="Q65" s="2365"/>
      <c r="R65" s="2367"/>
    </row>
    <row r="66" spans="2:18" s="2340" customFormat="1">
      <c r="B66" s="2365"/>
      <c r="C66" s="2365"/>
      <c r="D66" s="2365"/>
      <c r="E66" s="2365"/>
      <c r="F66" s="2365"/>
      <c r="G66" s="2366"/>
      <c r="H66" s="2365"/>
      <c r="I66" s="2366"/>
      <c r="J66" s="2365"/>
      <c r="K66" s="2365"/>
      <c r="L66" s="2366"/>
      <c r="M66" s="2365"/>
      <c r="N66" s="2365"/>
      <c r="O66" s="2366"/>
      <c r="P66" s="2365"/>
      <c r="Q66" s="2365"/>
      <c r="R66" s="2367"/>
    </row>
    <row r="67" spans="2:18" s="2340" customFormat="1">
      <c r="B67" s="2365"/>
      <c r="C67" s="2365"/>
      <c r="D67" s="2365"/>
      <c r="E67" s="2365"/>
      <c r="F67" s="2365"/>
      <c r="G67" s="2366"/>
      <c r="H67" s="2365"/>
      <c r="I67" s="2366"/>
      <c r="J67" s="2365"/>
      <c r="K67" s="2365"/>
      <c r="L67" s="2366"/>
      <c r="M67" s="2365"/>
      <c r="N67" s="2365"/>
      <c r="O67" s="2366"/>
      <c r="P67" s="2365"/>
      <c r="Q67" s="2365"/>
      <c r="R67" s="2367"/>
    </row>
    <row r="68" spans="2:18" s="2340" customFormat="1">
      <c r="B68" s="2365"/>
      <c r="C68" s="2365"/>
      <c r="D68" s="2365"/>
      <c r="E68" s="2365"/>
      <c r="F68" s="2365"/>
      <c r="G68" s="2366"/>
      <c r="H68" s="2365"/>
      <c r="I68" s="2366"/>
      <c r="J68" s="2365"/>
      <c r="K68" s="2365"/>
      <c r="L68" s="2366"/>
      <c r="M68" s="2365"/>
      <c r="N68" s="2365"/>
      <c r="O68" s="2366"/>
      <c r="P68" s="2365"/>
      <c r="Q68" s="2365"/>
      <c r="R68" s="2367"/>
    </row>
    <row r="69" spans="2:18" s="2340" customFormat="1">
      <c r="B69" s="2365"/>
      <c r="C69" s="2365"/>
      <c r="D69" s="2365"/>
      <c r="E69" s="2365"/>
      <c r="F69" s="2365"/>
      <c r="G69" s="2366"/>
      <c r="H69" s="2365"/>
      <c r="I69" s="2366"/>
      <c r="J69" s="2365"/>
      <c r="K69" s="2365"/>
      <c r="L69" s="2366"/>
      <c r="M69" s="2365"/>
      <c r="N69" s="2365"/>
      <c r="O69" s="2366"/>
      <c r="P69" s="2365"/>
      <c r="Q69" s="2365"/>
      <c r="R69" s="2367"/>
    </row>
    <row r="70" spans="2:18" s="2340" customFormat="1">
      <c r="B70" s="2365"/>
      <c r="C70" s="2365"/>
      <c r="D70" s="2365"/>
      <c r="E70" s="2365"/>
      <c r="F70" s="2365"/>
      <c r="G70" s="2366"/>
      <c r="H70" s="2365"/>
      <c r="I70" s="2366"/>
      <c r="J70" s="2365"/>
      <c r="K70" s="2365"/>
      <c r="L70" s="2366"/>
      <c r="M70" s="2365"/>
      <c r="N70" s="2365"/>
      <c r="O70" s="2366"/>
      <c r="P70" s="2365"/>
      <c r="Q70" s="2365"/>
      <c r="R70" s="2367"/>
    </row>
    <row r="71" spans="2:18" s="2340" customFormat="1">
      <c r="B71" s="2365"/>
      <c r="C71" s="2365"/>
      <c r="D71" s="2365"/>
      <c r="E71" s="2365"/>
      <c r="F71" s="2365"/>
      <c r="G71" s="2366"/>
      <c r="H71" s="2365"/>
      <c r="I71" s="2366"/>
      <c r="J71" s="2365"/>
      <c r="K71" s="2365"/>
      <c r="L71" s="2366"/>
      <c r="M71" s="2365"/>
      <c r="N71" s="2365"/>
      <c r="O71" s="2366"/>
      <c r="P71" s="2365"/>
      <c r="Q71" s="2365"/>
      <c r="R71" s="2367"/>
    </row>
    <row r="72" spans="2:18" s="2340" customFormat="1">
      <c r="B72" s="2365"/>
      <c r="C72" s="2365"/>
      <c r="D72" s="2365"/>
      <c r="E72" s="2365"/>
      <c r="F72" s="2365"/>
      <c r="G72" s="2366"/>
      <c r="H72" s="2365"/>
      <c r="I72" s="2366"/>
      <c r="J72" s="2365"/>
      <c r="K72" s="2365"/>
      <c r="L72" s="2366"/>
      <c r="M72" s="2365"/>
      <c r="N72" s="2365"/>
      <c r="O72" s="2366"/>
      <c r="P72" s="2365"/>
      <c r="Q72" s="2365"/>
      <c r="R72" s="2367"/>
    </row>
    <row r="73" spans="2:18" s="2340" customFormat="1">
      <c r="B73" s="2365"/>
      <c r="C73" s="2365"/>
      <c r="D73" s="2365"/>
      <c r="E73" s="2365"/>
      <c r="F73" s="2365"/>
      <c r="G73" s="2366"/>
      <c r="H73" s="2365"/>
      <c r="I73" s="2366"/>
      <c r="J73" s="2365"/>
      <c r="K73" s="2365"/>
      <c r="L73" s="2366"/>
      <c r="M73" s="2365"/>
      <c r="N73" s="2365"/>
      <c r="O73" s="2366"/>
      <c r="P73" s="2365"/>
      <c r="Q73" s="2365"/>
      <c r="R73" s="2367"/>
    </row>
    <row r="74" spans="2:18" s="2340" customFormat="1">
      <c r="B74" s="2365"/>
      <c r="C74" s="2365"/>
      <c r="D74" s="2365"/>
      <c r="E74" s="2365"/>
      <c r="F74" s="2365"/>
      <c r="G74" s="2366"/>
      <c r="H74" s="2365"/>
      <c r="I74" s="2366"/>
      <c r="J74" s="2365"/>
      <c r="K74" s="2365"/>
      <c r="L74" s="2366"/>
      <c r="M74" s="2365"/>
      <c r="N74" s="2365"/>
      <c r="O74" s="2366"/>
      <c r="P74" s="2365"/>
      <c r="Q74" s="2365"/>
      <c r="R74" s="2367"/>
    </row>
    <row r="75" spans="2:18" s="2340" customFormat="1">
      <c r="B75" s="2365"/>
      <c r="C75" s="2365"/>
      <c r="D75" s="2365"/>
      <c r="E75" s="2365"/>
      <c r="F75" s="2365"/>
      <c r="G75" s="2366"/>
      <c r="H75" s="2365"/>
      <c r="I75" s="2366"/>
      <c r="J75" s="2365"/>
      <c r="K75" s="2365"/>
      <c r="L75" s="2366"/>
      <c r="M75" s="2365"/>
      <c r="N75" s="2365"/>
      <c r="O75" s="2366"/>
      <c r="P75" s="2365"/>
      <c r="Q75" s="2365"/>
      <c r="R75" s="2367"/>
    </row>
    <row r="76" spans="2:18" s="2340" customFormat="1">
      <c r="B76" s="2365"/>
      <c r="C76" s="2365"/>
      <c r="D76" s="2365"/>
      <c r="E76" s="2365"/>
      <c r="F76" s="2365"/>
      <c r="G76" s="2366"/>
      <c r="H76" s="2365"/>
      <c r="I76" s="2366"/>
      <c r="J76" s="2365"/>
      <c r="K76" s="2365"/>
      <c r="L76" s="2366"/>
      <c r="M76" s="2365"/>
      <c r="N76" s="2365"/>
      <c r="O76" s="2366"/>
      <c r="P76" s="2365"/>
      <c r="Q76" s="2365"/>
      <c r="R76" s="2367"/>
    </row>
    <row r="77" spans="2:18" s="2340" customFormat="1">
      <c r="B77" s="2365"/>
      <c r="C77" s="2365"/>
      <c r="D77" s="2365"/>
      <c r="E77" s="2365"/>
      <c r="F77" s="2365"/>
      <c r="G77" s="2366"/>
      <c r="H77" s="2365"/>
      <c r="I77" s="2366"/>
      <c r="J77" s="2365"/>
      <c r="K77" s="2365"/>
      <c r="L77" s="2366"/>
      <c r="M77" s="2365"/>
      <c r="N77" s="2365"/>
      <c r="O77" s="2366"/>
      <c r="P77" s="2365"/>
      <c r="Q77" s="2365"/>
      <c r="R77" s="2367"/>
    </row>
    <row r="78" spans="2:18" s="2340" customFormat="1">
      <c r="B78" s="2365"/>
      <c r="C78" s="2365"/>
      <c r="D78" s="2365"/>
      <c r="E78" s="2365"/>
      <c r="F78" s="2365"/>
      <c r="G78" s="2366"/>
      <c r="H78" s="2365"/>
      <c r="I78" s="2366"/>
      <c r="J78" s="2365"/>
      <c r="K78" s="2365"/>
      <c r="L78" s="2366"/>
      <c r="M78" s="2365"/>
      <c r="N78" s="2365"/>
      <c r="O78" s="2366"/>
      <c r="P78" s="2365"/>
      <c r="Q78" s="2365"/>
      <c r="R78" s="2367"/>
    </row>
    <row r="79" spans="2:18" s="2340" customFormat="1">
      <c r="B79" s="2365"/>
      <c r="C79" s="2365"/>
      <c r="D79" s="2365"/>
      <c r="E79" s="2365"/>
      <c r="F79" s="2365"/>
      <c r="G79" s="2366"/>
      <c r="H79" s="2365"/>
      <c r="I79" s="2366"/>
      <c r="J79" s="2365"/>
      <c r="K79" s="2365"/>
      <c r="L79" s="2366"/>
      <c r="M79" s="2365"/>
      <c r="N79" s="2365"/>
      <c r="O79" s="2366"/>
      <c r="P79" s="2365"/>
      <c r="Q79" s="2365"/>
      <c r="R79" s="2367"/>
    </row>
    <row r="80" spans="2:18" s="2340" customFormat="1">
      <c r="B80" s="2365"/>
      <c r="C80" s="2365"/>
      <c r="D80" s="2365"/>
      <c r="E80" s="2365"/>
      <c r="F80" s="2365"/>
      <c r="G80" s="2366"/>
      <c r="H80" s="2365"/>
      <c r="I80" s="2366"/>
      <c r="J80" s="2365"/>
      <c r="K80" s="2365"/>
      <c r="L80" s="2366"/>
      <c r="M80" s="2365"/>
      <c r="N80" s="2365"/>
      <c r="O80" s="2366"/>
      <c r="P80" s="2365"/>
      <c r="Q80" s="2365"/>
      <c r="R80" s="2367"/>
    </row>
    <row r="81" spans="2:18" s="2340" customFormat="1">
      <c r="B81" s="2365"/>
      <c r="C81" s="2365"/>
      <c r="D81" s="2365"/>
      <c r="E81" s="2365"/>
      <c r="F81" s="2365"/>
      <c r="G81" s="2366"/>
      <c r="H81" s="2365"/>
      <c r="I81" s="2366"/>
      <c r="J81" s="2365"/>
      <c r="K81" s="2365"/>
      <c r="L81" s="2366"/>
      <c r="M81" s="2365"/>
      <c r="N81" s="2365"/>
      <c r="O81" s="2366"/>
      <c r="P81" s="2365"/>
      <c r="Q81" s="2365"/>
      <c r="R81" s="2367"/>
    </row>
    <row r="82" spans="2:18" s="2340" customFormat="1">
      <c r="B82" s="2365"/>
      <c r="C82" s="2365"/>
      <c r="D82" s="2365"/>
      <c r="E82" s="2365"/>
      <c r="F82" s="2365"/>
      <c r="G82" s="2366"/>
      <c r="H82" s="2365"/>
      <c r="I82" s="2366"/>
      <c r="J82" s="2365"/>
      <c r="K82" s="2365"/>
      <c r="L82" s="2366"/>
      <c r="M82" s="2365"/>
      <c r="N82" s="2365"/>
      <c r="O82" s="2366"/>
      <c r="P82" s="2365"/>
      <c r="Q82" s="2365"/>
      <c r="R82" s="2367"/>
    </row>
    <row r="83" spans="2:18" s="2340" customFormat="1">
      <c r="B83" s="2365"/>
      <c r="C83" s="2365"/>
      <c r="D83" s="2365"/>
      <c r="E83" s="2365"/>
      <c r="F83" s="2365"/>
      <c r="G83" s="2366"/>
      <c r="H83" s="2365"/>
      <c r="I83" s="2366"/>
      <c r="J83" s="2365"/>
      <c r="K83" s="2365"/>
      <c r="L83" s="2366"/>
      <c r="M83" s="2365"/>
      <c r="N83" s="2365"/>
      <c r="O83" s="2366"/>
      <c r="P83" s="2365"/>
      <c r="Q83" s="2365"/>
      <c r="R83" s="2367"/>
    </row>
    <row r="84" spans="2:18" s="2340" customFormat="1">
      <c r="B84" s="2365"/>
      <c r="C84" s="2365"/>
      <c r="D84" s="2365"/>
      <c r="E84" s="2365"/>
      <c r="F84" s="2365"/>
      <c r="G84" s="2366"/>
      <c r="H84" s="2365"/>
      <c r="I84" s="2366"/>
      <c r="J84" s="2365"/>
      <c r="K84" s="2365"/>
      <c r="L84" s="2366"/>
      <c r="M84" s="2365"/>
      <c r="N84" s="2365"/>
      <c r="O84" s="2366"/>
      <c r="P84" s="2365"/>
      <c r="Q84" s="2365"/>
      <c r="R84" s="2367"/>
    </row>
    <row r="85" spans="2:18" s="2340" customFormat="1">
      <c r="B85" s="2365"/>
      <c r="C85" s="2365"/>
      <c r="D85" s="2365"/>
      <c r="E85" s="2365"/>
      <c r="F85" s="2365"/>
      <c r="G85" s="2366"/>
      <c r="H85" s="2365"/>
      <c r="I85" s="2366"/>
      <c r="J85" s="2365"/>
      <c r="K85" s="2365"/>
      <c r="L85" s="2366"/>
      <c r="M85" s="2365"/>
      <c r="N85" s="2365"/>
      <c r="O85" s="2366"/>
      <c r="P85" s="2365"/>
      <c r="Q85" s="2365"/>
      <c r="R85" s="2367"/>
    </row>
    <row r="86" spans="2:18" s="2340" customFormat="1">
      <c r="B86" s="2365"/>
      <c r="C86" s="2365"/>
      <c r="D86" s="2365"/>
      <c r="E86" s="2365"/>
      <c r="F86" s="2365"/>
      <c r="G86" s="2366"/>
      <c r="H86" s="2365"/>
      <c r="I86" s="2366"/>
      <c r="J86" s="2365"/>
      <c r="K86" s="2365"/>
      <c r="L86" s="2366"/>
      <c r="M86" s="2365"/>
      <c r="N86" s="2365"/>
      <c r="O86" s="2366"/>
      <c r="P86" s="2365"/>
      <c r="Q86" s="2365"/>
      <c r="R86" s="2367"/>
    </row>
    <row r="87" spans="2:18" s="2340" customFormat="1">
      <c r="B87" s="2365"/>
      <c r="C87" s="2365"/>
      <c r="D87" s="2365"/>
      <c r="E87" s="2365"/>
      <c r="F87" s="2365"/>
      <c r="G87" s="2366"/>
      <c r="H87" s="2365"/>
      <c r="I87" s="2366"/>
      <c r="J87" s="2365"/>
      <c r="K87" s="2365"/>
      <c r="L87" s="2366"/>
      <c r="M87" s="2365"/>
      <c r="N87" s="2365"/>
      <c r="O87" s="2366"/>
      <c r="P87" s="2365"/>
      <c r="Q87" s="2365"/>
      <c r="R87" s="2367"/>
    </row>
    <row r="88" spans="2:18" s="2340" customFormat="1">
      <c r="B88" s="2365"/>
      <c r="C88" s="2365"/>
      <c r="D88" s="2365"/>
      <c r="E88" s="2365"/>
      <c r="F88" s="2365"/>
      <c r="G88" s="2366"/>
      <c r="H88" s="2365"/>
      <c r="I88" s="2366"/>
      <c r="J88" s="2365"/>
      <c r="K88" s="2365"/>
      <c r="L88" s="2366"/>
      <c r="M88" s="2365"/>
      <c r="N88" s="2365"/>
      <c r="O88" s="2366"/>
      <c r="P88" s="2365"/>
      <c r="Q88" s="2365"/>
      <c r="R88" s="2367"/>
    </row>
    <row r="89" spans="2:18" s="2340" customFormat="1">
      <c r="B89" s="2365"/>
      <c r="C89" s="2365"/>
      <c r="D89" s="2365"/>
      <c r="E89" s="2365"/>
      <c r="F89" s="2365"/>
      <c r="G89" s="2366"/>
      <c r="H89" s="2365"/>
      <c r="I89" s="2366"/>
      <c r="J89" s="2365"/>
      <c r="K89" s="2365"/>
      <c r="L89" s="2366"/>
      <c r="M89" s="2365"/>
      <c r="N89" s="2365"/>
      <c r="O89" s="2366"/>
      <c r="P89" s="2365"/>
      <c r="Q89" s="2365"/>
      <c r="R89" s="2367"/>
    </row>
    <row r="90" spans="2:18" s="2340" customFormat="1">
      <c r="B90" s="2365"/>
      <c r="C90" s="2365"/>
      <c r="D90" s="2365"/>
      <c r="E90" s="2365"/>
      <c r="F90" s="2365"/>
      <c r="G90" s="2366"/>
      <c r="H90" s="2365"/>
      <c r="I90" s="2366"/>
      <c r="J90" s="2365"/>
      <c r="K90" s="2365"/>
      <c r="L90" s="2366"/>
      <c r="M90" s="2365"/>
      <c r="N90" s="2365"/>
      <c r="O90" s="2366"/>
      <c r="P90" s="2365"/>
      <c r="Q90" s="2365"/>
      <c r="R90" s="2367"/>
    </row>
    <row r="91" spans="2:18" s="2340" customFormat="1">
      <c r="B91" s="2365"/>
      <c r="C91" s="2365"/>
      <c r="D91" s="2365"/>
      <c r="E91" s="2365"/>
      <c r="F91" s="2365"/>
      <c r="G91" s="2366"/>
      <c r="H91" s="2365"/>
      <c r="I91" s="2366"/>
      <c r="J91" s="2365"/>
      <c r="K91" s="2365"/>
      <c r="L91" s="2366"/>
      <c r="M91" s="2365"/>
      <c r="N91" s="2365"/>
      <c r="O91" s="2366"/>
      <c r="P91" s="2365"/>
      <c r="Q91" s="2365"/>
      <c r="R91" s="2367"/>
    </row>
    <row r="92" spans="2:18" s="2340" customFormat="1">
      <c r="B92" s="2365"/>
      <c r="C92" s="2365"/>
      <c r="D92" s="2365"/>
      <c r="E92" s="2365"/>
      <c r="F92" s="2365"/>
      <c r="G92" s="2366"/>
      <c r="H92" s="2365"/>
      <c r="I92" s="2366"/>
      <c r="J92" s="2365"/>
      <c r="K92" s="2365"/>
      <c r="L92" s="2366"/>
      <c r="M92" s="2365"/>
      <c r="N92" s="2365"/>
      <c r="O92" s="2366"/>
      <c r="P92" s="2365"/>
      <c r="Q92" s="2365"/>
      <c r="R92" s="2367"/>
    </row>
    <row r="93" spans="2:18" s="2340" customFormat="1">
      <c r="B93" s="2365"/>
      <c r="C93" s="2365"/>
      <c r="D93" s="2365"/>
      <c r="E93" s="2365"/>
      <c r="F93" s="2365"/>
      <c r="G93" s="2366"/>
      <c r="H93" s="2365"/>
      <c r="I93" s="2366"/>
      <c r="J93" s="2365"/>
      <c r="K93" s="2365"/>
      <c r="L93" s="2366"/>
      <c r="M93" s="2365"/>
      <c r="N93" s="2365"/>
      <c r="O93" s="2366"/>
      <c r="P93" s="2365"/>
      <c r="Q93" s="2365"/>
      <c r="R93" s="2367"/>
    </row>
    <row r="94" spans="2:18" s="2340" customFormat="1">
      <c r="B94" s="2365"/>
      <c r="C94" s="2365"/>
      <c r="D94" s="2365"/>
      <c r="E94" s="2365"/>
      <c r="F94" s="2365"/>
      <c r="G94" s="2366"/>
      <c r="H94" s="2365"/>
      <c r="I94" s="2366"/>
      <c r="J94" s="2365"/>
      <c r="K94" s="2365"/>
      <c r="L94" s="2366"/>
      <c r="M94" s="2365"/>
      <c r="N94" s="2365"/>
      <c r="O94" s="2366"/>
      <c r="P94" s="2365"/>
      <c r="Q94" s="2365"/>
      <c r="R94" s="2367"/>
    </row>
    <row r="95" spans="2:18" s="2340" customFormat="1">
      <c r="B95" s="2365"/>
      <c r="C95" s="2365"/>
      <c r="D95" s="2365"/>
      <c r="E95" s="2365"/>
      <c r="F95" s="2365"/>
      <c r="G95" s="2366"/>
      <c r="H95" s="2365"/>
      <c r="I95" s="2366"/>
      <c r="J95" s="2365"/>
      <c r="K95" s="2365"/>
      <c r="L95" s="2366"/>
      <c r="M95" s="2365"/>
      <c r="N95" s="2365"/>
      <c r="O95" s="2366"/>
      <c r="P95" s="2365"/>
      <c r="Q95" s="2365"/>
      <c r="R95" s="2367"/>
    </row>
    <row r="96" spans="2:18" s="2340" customFormat="1">
      <c r="B96" s="2365"/>
      <c r="C96" s="2365"/>
      <c r="D96" s="2365"/>
      <c r="E96" s="2365"/>
      <c r="F96" s="2365"/>
      <c r="G96" s="2366"/>
      <c r="H96" s="2365"/>
      <c r="I96" s="2366"/>
      <c r="J96" s="2365"/>
      <c r="K96" s="2365"/>
      <c r="L96" s="2366"/>
      <c r="M96" s="2365"/>
      <c r="N96" s="2365"/>
      <c r="O96" s="2366"/>
      <c r="P96" s="2365"/>
      <c r="Q96" s="2365"/>
      <c r="R96" s="2367"/>
    </row>
    <row r="97" spans="2:18" s="2340" customFormat="1">
      <c r="B97" s="2365"/>
      <c r="C97" s="2365"/>
      <c r="D97" s="2365"/>
      <c r="E97" s="2365"/>
      <c r="F97" s="2365"/>
      <c r="G97" s="2366"/>
      <c r="H97" s="2365"/>
      <c r="I97" s="2366"/>
      <c r="J97" s="2365"/>
      <c r="K97" s="2365"/>
      <c r="L97" s="2366"/>
      <c r="M97" s="2365"/>
      <c r="N97" s="2365"/>
      <c r="O97" s="2366"/>
      <c r="P97" s="2365"/>
      <c r="Q97" s="2365"/>
      <c r="R97" s="2367"/>
    </row>
    <row r="98" spans="2:18" s="2340" customFormat="1">
      <c r="B98" s="2365"/>
      <c r="C98" s="2365"/>
      <c r="D98" s="2365"/>
      <c r="E98" s="2365"/>
      <c r="F98" s="2365"/>
      <c r="G98" s="2366"/>
      <c r="H98" s="2365"/>
      <c r="I98" s="2366"/>
      <c r="J98" s="2365"/>
      <c r="K98" s="2365"/>
      <c r="L98" s="2366"/>
      <c r="M98" s="2365"/>
      <c r="N98" s="2365"/>
      <c r="O98" s="2366"/>
      <c r="P98" s="2365"/>
      <c r="Q98" s="2365"/>
      <c r="R98" s="2367"/>
    </row>
    <row r="99" spans="2:18" s="2340" customFormat="1">
      <c r="B99" s="2365"/>
      <c r="C99" s="2365"/>
      <c r="D99" s="2365"/>
      <c r="E99" s="2365"/>
      <c r="F99" s="2365"/>
      <c r="G99" s="2366"/>
      <c r="H99" s="2365"/>
      <c r="I99" s="2366"/>
      <c r="J99" s="2365"/>
      <c r="K99" s="2365"/>
      <c r="L99" s="2366"/>
      <c r="M99" s="2365"/>
      <c r="N99" s="2365"/>
      <c r="O99" s="2366"/>
      <c r="P99" s="2365"/>
      <c r="Q99" s="2365"/>
      <c r="R99" s="2367"/>
    </row>
    <row r="100" spans="2:18" s="2340" customFormat="1">
      <c r="B100" s="2365"/>
      <c r="C100" s="2365"/>
      <c r="D100" s="2365"/>
      <c r="E100" s="2365"/>
      <c r="F100" s="2365"/>
      <c r="G100" s="2366"/>
      <c r="H100" s="2365"/>
      <c r="I100" s="2366"/>
      <c r="J100" s="2365"/>
      <c r="K100" s="2365"/>
      <c r="L100" s="2366"/>
      <c r="M100" s="2365"/>
      <c r="N100" s="2365"/>
      <c r="O100" s="2366"/>
      <c r="P100" s="2365"/>
      <c r="Q100" s="2365"/>
      <c r="R100" s="2367"/>
    </row>
    <row r="101" spans="2:18" s="2340" customFormat="1">
      <c r="B101" s="2365"/>
      <c r="C101" s="2365"/>
      <c r="D101" s="2365"/>
      <c r="E101" s="2365"/>
      <c r="F101" s="2365"/>
      <c r="G101" s="2366"/>
      <c r="H101" s="2365"/>
      <c r="I101" s="2366"/>
      <c r="J101" s="2365"/>
      <c r="K101" s="2365"/>
      <c r="L101" s="2366"/>
      <c r="M101" s="2365"/>
      <c r="N101" s="2365"/>
      <c r="O101" s="2366"/>
      <c r="P101" s="2365"/>
      <c r="Q101" s="2365"/>
      <c r="R101" s="2367"/>
    </row>
    <row r="102" spans="2:18" s="2340" customFormat="1">
      <c r="B102" s="2365"/>
      <c r="C102" s="2365"/>
      <c r="D102" s="2365"/>
      <c r="E102" s="2365"/>
      <c r="F102" s="2365"/>
      <c r="G102" s="2366"/>
      <c r="H102" s="2365"/>
      <c r="I102" s="2366"/>
      <c r="J102" s="2365"/>
      <c r="K102" s="2365"/>
      <c r="L102" s="2366"/>
      <c r="M102" s="2365"/>
      <c r="N102" s="2365"/>
      <c r="O102" s="2366"/>
      <c r="P102" s="2365"/>
      <c r="Q102" s="2365"/>
      <c r="R102" s="2367"/>
    </row>
    <row r="103" spans="2:18" s="2340" customFormat="1">
      <c r="B103" s="2365"/>
      <c r="C103" s="2365"/>
      <c r="D103" s="2365"/>
      <c r="E103" s="2365"/>
      <c r="F103" s="2365"/>
      <c r="G103" s="2366"/>
      <c r="H103" s="2365"/>
      <c r="I103" s="2366"/>
      <c r="J103" s="2365"/>
      <c r="K103" s="2365"/>
      <c r="L103" s="2366"/>
      <c r="M103" s="2365"/>
      <c r="N103" s="2365"/>
      <c r="O103" s="2366"/>
      <c r="P103" s="2365"/>
      <c r="Q103" s="2365"/>
      <c r="R103" s="2367"/>
    </row>
    <row r="104" spans="2:18" s="2340" customFormat="1">
      <c r="B104" s="2365"/>
      <c r="C104" s="2365"/>
      <c r="D104" s="2365"/>
      <c r="E104" s="2365"/>
      <c r="F104" s="2365"/>
      <c r="G104" s="2366"/>
      <c r="H104" s="2365"/>
      <c r="I104" s="2366"/>
      <c r="J104" s="2365"/>
      <c r="K104" s="2365"/>
      <c r="L104" s="2366"/>
      <c r="M104" s="2365"/>
      <c r="N104" s="2365"/>
      <c r="O104" s="2366"/>
      <c r="P104" s="2365"/>
      <c r="Q104" s="2365"/>
      <c r="R104" s="2367"/>
    </row>
    <row r="105" spans="2:18" s="2340" customFormat="1">
      <c r="B105" s="2365"/>
      <c r="C105" s="2365"/>
      <c r="D105" s="2365"/>
      <c r="E105" s="2365"/>
      <c r="F105" s="2365"/>
      <c r="G105" s="2366"/>
      <c r="H105" s="2365"/>
      <c r="I105" s="2366"/>
      <c r="J105" s="2365"/>
      <c r="K105" s="2365"/>
      <c r="L105" s="2366"/>
      <c r="M105" s="2365"/>
      <c r="N105" s="2365"/>
      <c r="O105" s="2366"/>
      <c r="P105" s="2365"/>
      <c r="Q105" s="2365"/>
      <c r="R105" s="2367"/>
    </row>
    <row r="106" spans="2:18" s="2340" customFormat="1">
      <c r="B106" s="2365"/>
      <c r="C106" s="2365"/>
      <c r="D106" s="2365"/>
      <c r="E106" s="2365"/>
      <c r="F106" s="2365"/>
      <c r="G106" s="2366"/>
      <c r="H106" s="2365"/>
      <c r="I106" s="2366"/>
      <c r="J106" s="2365"/>
      <c r="K106" s="2365"/>
      <c r="L106" s="2366"/>
      <c r="M106" s="2365"/>
      <c r="N106" s="2365"/>
      <c r="O106" s="2366"/>
      <c r="P106" s="2365"/>
      <c r="Q106" s="2365"/>
      <c r="R106" s="2367"/>
    </row>
    <row r="107" spans="2:18" s="2340" customFormat="1">
      <c r="B107" s="2365"/>
      <c r="C107" s="2365"/>
      <c r="D107" s="2365"/>
      <c r="E107" s="2365"/>
      <c r="F107" s="2365"/>
      <c r="G107" s="2366"/>
      <c r="H107" s="2365"/>
      <c r="I107" s="2366"/>
      <c r="J107" s="2365"/>
      <c r="K107" s="2365"/>
      <c r="L107" s="2366"/>
      <c r="M107" s="2365"/>
      <c r="N107" s="2365"/>
      <c r="O107" s="2366"/>
      <c r="P107" s="2365"/>
      <c r="Q107" s="2365"/>
      <c r="R107" s="2367"/>
    </row>
    <row r="108" spans="2:18" s="2340" customFormat="1">
      <c r="B108" s="2365"/>
      <c r="C108" s="2365"/>
      <c r="D108" s="2365"/>
      <c r="E108" s="2365"/>
      <c r="F108" s="2365"/>
      <c r="G108" s="2366"/>
      <c r="H108" s="2365"/>
      <c r="I108" s="2366"/>
      <c r="J108" s="2365"/>
      <c r="K108" s="2365"/>
      <c r="L108" s="2366"/>
      <c r="M108" s="2365"/>
      <c r="N108" s="2365"/>
      <c r="O108" s="2366"/>
      <c r="P108" s="2365"/>
      <c r="Q108" s="2365"/>
      <c r="R108" s="2367"/>
    </row>
    <row r="109" spans="2:18" s="2340" customFormat="1">
      <c r="B109" s="2365"/>
      <c r="C109" s="2365"/>
      <c r="D109" s="2365"/>
      <c r="E109" s="2365"/>
      <c r="F109" s="2365"/>
      <c r="G109" s="2366"/>
      <c r="H109" s="2365"/>
      <c r="I109" s="2366"/>
      <c r="J109" s="2365"/>
      <c r="K109" s="2365"/>
      <c r="L109" s="2366"/>
      <c r="M109" s="2365"/>
      <c r="N109" s="2365"/>
      <c r="O109" s="2366"/>
      <c r="P109" s="2365"/>
      <c r="Q109" s="2365"/>
      <c r="R109" s="2367"/>
    </row>
    <row r="110" spans="2:18" s="2340" customFormat="1">
      <c r="B110" s="2365"/>
      <c r="C110" s="2365"/>
      <c r="D110" s="2365"/>
      <c r="E110" s="2365"/>
      <c r="F110" s="2365"/>
      <c r="G110" s="2366"/>
      <c r="H110" s="2365"/>
      <c r="I110" s="2366"/>
      <c r="J110" s="2365"/>
      <c r="K110" s="2365"/>
      <c r="L110" s="2366"/>
      <c r="M110" s="2365"/>
      <c r="N110" s="2365"/>
      <c r="O110" s="2366"/>
      <c r="P110" s="2365"/>
      <c r="Q110" s="2365"/>
      <c r="R110" s="2367"/>
    </row>
    <row r="111" spans="2:18" s="2340" customFormat="1">
      <c r="B111" s="2365"/>
      <c r="C111" s="2365"/>
      <c r="D111" s="2365"/>
      <c r="E111" s="2365"/>
      <c r="F111" s="2365"/>
      <c r="G111" s="2366"/>
      <c r="H111" s="2365"/>
      <c r="I111" s="2366"/>
      <c r="J111" s="2365"/>
      <c r="K111" s="2365"/>
      <c r="L111" s="2366"/>
      <c r="M111" s="2365"/>
      <c r="N111" s="2365"/>
      <c r="O111" s="2366"/>
      <c r="P111" s="2365"/>
      <c r="Q111" s="2365"/>
      <c r="R111" s="2367"/>
    </row>
    <row r="112" spans="2:18" s="2340" customFormat="1">
      <c r="B112" s="2365"/>
      <c r="C112" s="2365"/>
      <c r="D112" s="2365"/>
      <c r="E112" s="2365"/>
      <c r="F112" s="2365"/>
      <c r="G112" s="2366"/>
      <c r="H112" s="2365"/>
      <c r="I112" s="2366"/>
      <c r="J112" s="2365"/>
      <c r="K112" s="2365"/>
      <c r="L112" s="2366"/>
      <c r="M112" s="2365"/>
      <c r="N112" s="2365"/>
      <c r="O112" s="2366"/>
      <c r="P112" s="2365"/>
      <c r="Q112" s="2365"/>
      <c r="R112" s="2367"/>
    </row>
    <row r="113" spans="2:18" s="2340" customFormat="1">
      <c r="B113" s="2365"/>
      <c r="C113" s="2365"/>
      <c r="D113" s="2365"/>
      <c r="E113" s="2365"/>
      <c r="F113" s="2365"/>
      <c r="G113" s="2366"/>
      <c r="H113" s="2365"/>
      <c r="I113" s="2366"/>
      <c r="J113" s="2365"/>
      <c r="K113" s="2365"/>
      <c r="L113" s="2366"/>
      <c r="M113" s="2365"/>
      <c r="N113" s="2365"/>
      <c r="O113" s="2366"/>
      <c r="P113" s="2365"/>
      <c r="Q113" s="2365"/>
      <c r="R113" s="2367"/>
    </row>
    <row r="114" spans="2:18" s="2340" customFormat="1">
      <c r="B114" s="2365"/>
      <c r="C114" s="2365"/>
      <c r="D114" s="2365"/>
      <c r="E114" s="2365"/>
      <c r="F114" s="2365"/>
      <c r="G114" s="2366"/>
      <c r="H114" s="2365"/>
      <c r="I114" s="2366"/>
      <c r="J114" s="2365"/>
      <c r="K114" s="2365"/>
      <c r="L114" s="2366"/>
      <c r="M114" s="2365"/>
      <c r="N114" s="2365"/>
      <c r="O114" s="2366"/>
      <c r="P114" s="2365"/>
      <c r="Q114" s="2365"/>
      <c r="R114" s="2367"/>
    </row>
    <row r="115" spans="2:18" s="2340" customFormat="1">
      <c r="B115" s="2365"/>
      <c r="C115" s="2365"/>
      <c r="D115" s="2365"/>
      <c r="E115" s="2365"/>
      <c r="F115" s="2365"/>
      <c r="G115" s="2366"/>
      <c r="H115" s="2365"/>
      <c r="I115" s="2366"/>
      <c r="J115" s="2365"/>
      <c r="K115" s="2365"/>
      <c r="L115" s="2366"/>
      <c r="M115" s="2365"/>
      <c r="N115" s="2365"/>
      <c r="O115" s="2366"/>
      <c r="P115" s="2365"/>
      <c r="Q115" s="2365"/>
      <c r="R115" s="2367"/>
    </row>
    <row r="116" spans="2:18" s="2340" customFormat="1">
      <c r="B116" s="2365"/>
      <c r="C116" s="2365"/>
      <c r="D116" s="2365"/>
      <c r="E116" s="2365"/>
      <c r="F116" s="2365"/>
      <c r="G116" s="2366"/>
      <c r="H116" s="2365"/>
      <c r="I116" s="2366"/>
      <c r="J116" s="2365"/>
      <c r="K116" s="2365"/>
      <c r="L116" s="2366"/>
      <c r="M116" s="2365"/>
      <c r="N116" s="2365"/>
      <c r="O116" s="2366"/>
      <c r="P116" s="2365"/>
      <c r="Q116" s="2365"/>
      <c r="R116" s="2367"/>
    </row>
    <row r="117" spans="2:18" s="2340" customFormat="1">
      <c r="B117" s="2365"/>
      <c r="C117" s="2365"/>
      <c r="D117" s="2365"/>
      <c r="E117" s="2365"/>
      <c r="F117" s="2365"/>
      <c r="G117" s="2366"/>
      <c r="H117" s="2365"/>
      <c r="I117" s="2366"/>
      <c r="J117" s="2365"/>
      <c r="K117" s="2365"/>
      <c r="L117" s="2366"/>
      <c r="M117" s="2365"/>
      <c r="N117" s="2365"/>
      <c r="O117" s="2366"/>
      <c r="P117" s="2365"/>
      <c r="Q117" s="2365"/>
      <c r="R117" s="2367"/>
    </row>
    <row r="118" spans="2:18" s="2340" customFormat="1">
      <c r="B118" s="2365"/>
      <c r="C118" s="2365"/>
      <c r="D118" s="2365"/>
      <c r="E118" s="2365"/>
      <c r="F118" s="2365"/>
      <c r="G118" s="2366"/>
      <c r="H118" s="2365"/>
      <c r="I118" s="2366"/>
      <c r="J118" s="2365"/>
      <c r="K118" s="2365"/>
      <c r="L118" s="2366"/>
      <c r="M118" s="2365"/>
      <c r="N118" s="2365"/>
      <c r="O118" s="2366"/>
      <c r="P118" s="2365"/>
      <c r="Q118" s="2365"/>
      <c r="R118" s="2367"/>
    </row>
    <row r="119" spans="2:18" s="2340" customFormat="1">
      <c r="B119" s="2365"/>
      <c r="C119" s="2365"/>
      <c r="D119" s="2365"/>
      <c r="E119" s="2365"/>
      <c r="F119" s="2365"/>
      <c r="G119" s="2366"/>
      <c r="H119" s="2365"/>
      <c r="I119" s="2366"/>
      <c r="J119" s="2365"/>
      <c r="K119" s="2365"/>
      <c r="L119" s="2366"/>
      <c r="M119" s="2365"/>
      <c r="N119" s="2365"/>
      <c r="O119" s="2366"/>
      <c r="P119" s="2365"/>
      <c r="Q119" s="2365"/>
      <c r="R119" s="2367"/>
    </row>
    <row r="120" spans="2:18" s="2340" customFormat="1">
      <c r="B120" s="2365"/>
      <c r="C120" s="2365"/>
      <c r="D120" s="2365"/>
      <c r="E120" s="2365"/>
      <c r="F120" s="2365"/>
      <c r="G120" s="2366"/>
      <c r="H120" s="2365"/>
      <c r="I120" s="2366"/>
      <c r="J120" s="2365"/>
      <c r="K120" s="2365"/>
      <c r="L120" s="2366"/>
      <c r="M120" s="2365"/>
      <c r="N120" s="2365"/>
      <c r="O120" s="2366"/>
      <c r="P120" s="2365"/>
      <c r="Q120" s="2365"/>
      <c r="R120" s="2367"/>
    </row>
    <row r="121" spans="2:18" s="2340" customFormat="1">
      <c r="B121" s="2365"/>
      <c r="C121" s="2365"/>
      <c r="D121" s="2365"/>
      <c r="E121" s="2365"/>
      <c r="F121" s="2365"/>
      <c r="G121" s="2366"/>
      <c r="H121" s="2365"/>
      <c r="I121" s="2366"/>
      <c r="J121" s="2365"/>
      <c r="K121" s="2365"/>
      <c r="L121" s="2366"/>
      <c r="M121" s="2365"/>
      <c r="N121" s="2365"/>
      <c r="O121" s="2366"/>
      <c r="P121" s="2365"/>
      <c r="Q121" s="2365"/>
      <c r="R121" s="2367"/>
    </row>
    <row r="122" spans="2:18" s="2340" customFormat="1">
      <c r="B122" s="2365"/>
      <c r="C122" s="2365"/>
      <c r="D122" s="2365"/>
      <c r="E122" s="2365"/>
      <c r="F122" s="2365"/>
      <c r="G122" s="2366"/>
      <c r="H122" s="2365"/>
      <c r="I122" s="2366"/>
      <c r="J122" s="2365"/>
      <c r="K122" s="2365"/>
      <c r="L122" s="2366"/>
      <c r="M122" s="2365"/>
      <c r="N122" s="2365"/>
      <c r="O122" s="2366"/>
      <c r="P122" s="2365"/>
      <c r="Q122" s="2365"/>
      <c r="R122" s="2367"/>
    </row>
    <row r="123" spans="2:18" s="2340" customFormat="1">
      <c r="B123" s="2365"/>
      <c r="C123" s="2365"/>
      <c r="D123" s="2365"/>
      <c r="E123" s="2365"/>
      <c r="F123" s="2365"/>
      <c r="G123" s="2366"/>
      <c r="H123" s="2365"/>
      <c r="I123" s="2366"/>
      <c r="J123" s="2365"/>
      <c r="K123" s="2365"/>
      <c r="L123" s="2366"/>
      <c r="M123" s="2365"/>
      <c r="N123" s="2365"/>
      <c r="O123" s="2366"/>
      <c r="P123" s="2365"/>
      <c r="Q123" s="2365"/>
      <c r="R123" s="2367"/>
    </row>
    <row r="124" spans="2:18" s="2340" customFormat="1">
      <c r="B124" s="2365"/>
      <c r="C124" s="2365"/>
      <c r="D124" s="2365"/>
      <c r="E124" s="2365"/>
      <c r="F124" s="2365"/>
      <c r="G124" s="2366"/>
      <c r="H124" s="2365"/>
      <c r="I124" s="2366"/>
      <c r="J124" s="2365"/>
      <c r="K124" s="2365"/>
      <c r="L124" s="2366"/>
      <c r="M124" s="2365"/>
      <c r="N124" s="2365"/>
      <c r="O124" s="2366"/>
      <c r="P124" s="2365"/>
      <c r="Q124" s="2365"/>
      <c r="R124" s="2367"/>
    </row>
    <row r="125" spans="2:18" s="2340" customFormat="1">
      <c r="B125" s="2365"/>
      <c r="C125" s="2365"/>
      <c r="D125" s="2365"/>
      <c r="E125" s="2365"/>
      <c r="F125" s="2365"/>
      <c r="G125" s="2366"/>
      <c r="H125" s="2365"/>
      <c r="I125" s="2366"/>
      <c r="J125" s="2365"/>
      <c r="K125" s="2365"/>
      <c r="L125" s="2366"/>
      <c r="M125" s="2365"/>
      <c r="N125" s="2365"/>
      <c r="O125" s="2366"/>
      <c r="P125" s="2365"/>
      <c r="Q125" s="2365"/>
      <c r="R125" s="2367"/>
    </row>
    <row r="126" spans="2:18" s="2340" customFormat="1">
      <c r="B126" s="2365"/>
      <c r="C126" s="2365"/>
      <c r="D126" s="2365"/>
      <c r="E126" s="2365"/>
      <c r="F126" s="2365"/>
      <c r="G126" s="2366"/>
      <c r="H126" s="2365"/>
      <c r="I126" s="2366"/>
      <c r="J126" s="2365"/>
      <c r="K126" s="2365"/>
      <c r="L126" s="2366"/>
      <c r="M126" s="2365"/>
      <c r="N126" s="2365"/>
      <c r="O126" s="2366"/>
      <c r="P126" s="2365"/>
      <c r="Q126" s="2365"/>
      <c r="R126" s="2367"/>
    </row>
    <row r="127" spans="2:18" s="2340" customFormat="1">
      <c r="B127" s="2365"/>
      <c r="C127" s="2365"/>
      <c r="D127" s="2365"/>
      <c r="E127" s="2365"/>
      <c r="F127" s="2365"/>
      <c r="G127" s="2366"/>
      <c r="H127" s="2365"/>
      <c r="I127" s="2366"/>
      <c r="J127" s="2365"/>
      <c r="K127" s="2365"/>
      <c r="L127" s="2366"/>
      <c r="M127" s="2365"/>
      <c r="N127" s="2365"/>
      <c r="O127" s="2366"/>
      <c r="P127" s="2365"/>
      <c r="Q127" s="2365"/>
      <c r="R127" s="2367"/>
    </row>
    <row r="128" spans="2:18" s="2340" customFormat="1">
      <c r="B128" s="2365"/>
      <c r="C128" s="2365"/>
      <c r="D128" s="2365"/>
      <c r="E128" s="2365"/>
      <c r="F128" s="2365"/>
      <c r="G128" s="2366"/>
      <c r="H128" s="2365"/>
      <c r="I128" s="2366"/>
      <c r="J128" s="2365"/>
      <c r="K128" s="2365"/>
      <c r="L128" s="2366"/>
      <c r="M128" s="2365"/>
      <c r="N128" s="2365"/>
      <c r="O128" s="2366"/>
      <c r="P128" s="2365"/>
      <c r="Q128" s="2365"/>
      <c r="R128" s="2367"/>
    </row>
    <row r="129" spans="2:18" s="2340" customFormat="1">
      <c r="B129" s="2365"/>
      <c r="C129" s="2365"/>
      <c r="D129" s="2365"/>
      <c r="E129" s="2365"/>
      <c r="F129" s="2365"/>
      <c r="G129" s="2366"/>
      <c r="H129" s="2365"/>
      <c r="I129" s="2366"/>
      <c r="J129" s="2365"/>
      <c r="K129" s="2365"/>
      <c r="L129" s="2366"/>
      <c r="M129" s="2365"/>
      <c r="N129" s="2365"/>
      <c r="O129" s="2366"/>
      <c r="P129" s="2365"/>
      <c r="Q129" s="2365"/>
      <c r="R129" s="2367"/>
    </row>
    <row r="130" spans="2:18" s="2340" customFormat="1">
      <c r="B130" s="2365"/>
      <c r="C130" s="2365"/>
      <c r="D130" s="2365"/>
      <c r="E130" s="2365"/>
      <c r="F130" s="2365"/>
      <c r="G130" s="2366"/>
      <c r="H130" s="2365"/>
      <c r="I130" s="2366"/>
      <c r="J130" s="2365"/>
      <c r="K130" s="2365"/>
      <c r="L130" s="2366"/>
      <c r="M130" s="2365"/>
      <c r="N130" s="2365"/>
      <c r="O130" s="2366"/>
      <c r="P130" s="2365"/>
      <c r="Q130" s="2365"/>
      <c r="R130" s="2367"/>
    </row>
    <row r="131" spans="2:18" s="2340" customFormat="1">
      <c r="B131" s="2365"/>
      <c r="C131" s="2365"/>
      <c r="D131" s="2365"/>
      <c r="E131" s="2365"/>
      <c r="F131" s="2365"/>
      <c r="G131" s="2366"/>
      <c r="H131" s="2365"/>
      <c r="I131" s="2366"/>
      <c r="J131" s="2365"/>
      <c r="K131" s="2365"/>
      <c r="L131" s="2366"/>
      <c r="M131" s="2365"/>
      <c r="N131" s="2365"/>
      <c r="O131" s="2366"/>
      <c r="P131" s="2365"/>
      <c r="Q131" s="2365"/>
      <c r="R131" s="2367"/>
    </row>
    <row r="132" spans="2:18" s="2340" customFormat="1">
      <c r="B132" s="2365"/>
      <c r="C132" s="2365"/>
      <c r="D132" s="2365"/>
      <c r="E132" s="2365"/>
      <c r="F132" s="2365"/>
      <c r="G132" s="2366"/>
      <c r="H132" s="2365"/>
      <c r="I132" s="2366"/>
      <c r="J132" s="2365"/>
      <c r="K132" s="2365"/>
      <c r="L132" s="2366"/>
      <c r="M132" s="2365"/>
      <c r="N132" s="2365"/>
      <c r="O132" s="2366"/>
      <c r="P132" s="2365"/>
      <c r="Q132" s="2365"/>
      <c r="R132" s="2367"/>
    </row>
    <row r="133" spans="2:18" s="2340" customFormat="1">
      <c r="B133" s="2365"/>
      <c r="C133" s="2365"/>
      <c r="D133" s="2365"/>
      <c r="E133" s="2365"/>
      <c r="F133" s="2365"/>
      <c r="G133" s="2366"/>
      <c r="H133" s="2365"/>
      <c r="I133" s="2366"/>
      <c r="J133" s="2365"/>
      <c r="K133" s="2365"/>
      <c r="L133" s="2366"/>
      <c r="M133" s="2365"/>
      <c r="N133" s="2365"/>
      <c r="O133" s="2366"/>
      <c r="P133" s="2365"/>
      <c r="Q133" s="2365"/>
      <c r="R133" s="2367"/>
    </row>
    <row r="134" spans="2:18" s="2340" customFormat="1">
      <c r="B134" s="2365"/>
      <c r="C134" s="2365"/>
      <c r="D134" s="2365"/>
      <c r="E134" s="2365"/>
      <c r="F134" s="2365"/>
      <c r="G134" s="2366"/>
      <c r="H134" s="2365"/>
      <c r="I134" s="2366"/>
      <c r="J134" s="2365"/>
      <c r="K134" s="2365"/>
      <c r="L134" s="2366"/>
      <c r="M134" s="2365"/>
      <c r="N134" s="2365"/>
      <c r="O134" s="2366"/>
      <c r="P134" s="2365"/>
      <c r="Q134" s="2365"/>
      <c r="R134" s="2367"/>
    </row>
    <row r="135" spans="2:18" s="2340" customFormat="1">
      <c r="B135" s="2365"/>
      <c r="C135" s="2365"/>
      <c r="D135" s="2365"/>
      <c r="E135" s="2365"/>
      <c r="F135" s="2365"/>
      <c r="G135" s="2366"/>
      <c r="H135" s="2365"/>
      <c r="I135" s="2366"/>
      <c r="J135" s="2365"/>
      <c r="K135" s="2365"/>
      <c r="L135" s="2366"/>
      <c r="M135" s="2365"/>
      <c r="N135" s="2365"/>
      <c r="O135" s="2366"/>
      <c r="P135" s="2365"/>
      <c r="Q135" s="2365"/>
      <c r="R135" s="2367"/>
    </row>
    <row r="136" spans="2:18" s="2340" customFormat="1">
      <c r="B136" s="2365"/>
      <c r="C136" s="2365"/>
      <c r="D136" s="2365"/>
      <c r="E136" s="2365"/>
      <c r="F136" s="2365"/>
      <c r="G136" s="2366"/>
      <c r="H136" s="2365"/>
      <c r="I136" s="2366"/>
      <c r="J136" s="2365"/>
      <c r="K136" s="2365"/>
      <c r="L136" s="2366"/>
      <c r="M136" s="2365"/>
      <c r="N136" s="2365"/>
      <c r="O136" s="2366"/>
      <c r="P136" s="2365"/>
      <c r="Q136" s="2365"/>
      <c r="R136" s="2367"/>
    </row>
    <row r="137" spans="2:18" s="2340" customFormat="1">
      <c r="B137" s="2365"/>
      <c r="C137" s="2365"/>
      <c r="D137" s="2365"/>
      <c r="E137" s="2365"/>
      <c r="F137" s="2365"/>
      <c r="G137" s="2366"/>
      <c r="H137" s="2365"/>
      <c r="I137" s="2366"/>
      <c r="J137" s="2365"/>
      <c r="K137" s="2365"/>
      <c r="L137" s="2366"/>
      <c r="M137" s="2365"/>
      <c r="N137" s="2365"/>
      <c r="O137" s="2366"/>
      <c r="P137" s="2365"/>
      <c r="Q137" s="2365"/>
      <c r="R137" s="2367"/>
    </row>
    <row r="138" spans="2:18" s="2340" customFormat="1">
      <c r="B138" s="2365"/>
      <c r="C138" s="2365"/>
      <c r="D138" s="2365"/>
      <c r="E138" s="2365"/>
      <c r="F138" s="2365"/>
      <c r="G138" s="2366"/>
      <c r="H138" s="2365"/>
      <c r="I138" s="2366"/>
      <c r="J138" s="2365"/>
      <c r="K138" s="2365"/>
      <c r="L138" s="2366"/>
      <c r="M138" s="2365"/>
      <c r="N138" s="2365"/>
      <c r="O138" s="2366"/>
      <c r="P138" s="2365"/>
      <c r="Q138" s="2365"/>
      <c r="R138" s="2367"/>
    </row>
    <row r="139" spans="2:18" s="2340" customFormat="1">
      <c r="B139" s="2365"/>
      <c r="C139" s="2365"/>
      <c r="D139" s="2365"/>
      <c r="E139" s="2365"/>
      <c r="F139" s="2365"/>
      <c r="G139" s="2366"/>
      <c r="H139" s="2365"/>
      <c r="I139" s="2366"/>
      <c r="J139" s="2365"/>
      <c r="K139" s="2365"/>
      <c r="L139" s="2366"/>
      <c r="M139" s="2365"/>
      <c r="N139" s="2365"/>
      <c r="O139" s="2366"/>
      <c r="P139" s="2365"/>
      <c r="Q139" s="2365"/>
      <c r="R139" s="2367"/>
    </row>
    <row r="140" spans="2:18" s="2340" customFormat="1">
      <c r="B140" s="2365"/>
      <c r="C140" s="2365"/>
      <c r="D140" s="2365"/>
      <c r="E140" s="2365"/>
      <c r="F140" s="2365"/>
      <c r="G140" s="2366"/>
      <c r="H140" s="2365"/>
      <c r="I140" s="2366"/>
      <c r="J140" s="2365"/>
      <c r="K140" s="2365"/>
      <c r="L140" s="2366"/>
      <c r="M140" s="2365"/>
      <c r="N140" s="2365"/>
      <c r="O140" s="2366"/>
      <c r="P140" s="2365"/>
      <c r="Q140" s="2365"/>
      <c r="R140" s="2367"/>
    </row>
    <row r="141" spans="2:18" s="2340" customFormat="1">
      <c r="B141" s="2365"/>
      <c r="C141" s="2365"/>
      <c r="D141" s="2365"/>
      <c r="E141" s="2365"/>
      <c r="F141" s="2365"/>
      <c r="G141" s="2366"/>
      <c r="H141" s="2365"/>
      <c r="I141" s="2366"/>
      <c r="J141" s="2365"/>
      <c r="K141" s="2365"/>
      <c r="L141" s="2366"/>
      <c r="M141" s="2365"/>
      <c r="N141" s="2365"/>
      <c r="O141" s="2366"/>
      <c r="P141" s="2365"/>
      <c r="Q141" s="2365"/>
      <c r="R141" s="2367"/>
    </row>
    <row r="142" spans="2:18" s="2340" customFormat="1">
      <c r="B142" s="2365"/>
      <c r="C142" s="2365"/>
      <c r="D142" s="2365"/>
      <c r="E142" s="2365"/>
      <c r="F142" s="2365"/>
      <c r="G142" s="2366"/>
      <c r="H142" s="2365"/>
      <c r="I142" s="2366"/>
      <c r="J142" s="2365"/>
      <c r="K142" s="2365"/>
      <c r="L142" s="2366"/>
      <c r="M142" s="2365"/>
      <c r="N142" s="2365"/>
      <c r="O142" s="2366"/>
      <c r="P142" s="2365"/>
      <c r="Q142" s="2365"/>
      <c r="R142" s="2367"/>
    </row>
    <row r="143" spans="2:18" s="2340" customFormat="1">
      <c r="B143" s="2365"/>
      <c r="C143" s="2365"/>
      <c r="D143" s="2365"/>
      <c r="E143" s="2365"/>
      <c r="F143" s="2365"/>
      <c r="G143" s="2366"/>
      <c r="H143" s="2365"/>
      <c r="I143" s="2366"/>
      <c r="J143" s="2365"/>
      <c r="K143" s="2365"/>
      <c r="L143" s="2366"/>
      <c r="M143" s="2365"/>
      <c r="N143" s="2365"/>
      <c r="O143" s="2366"/>
      <c r="P143" s="2365"/>
      <c r="Q143" s="2365"/>
      <c r="R143" s="2367"/>
    </row>
    <row r="144" spans="2:18" s="2340" customFormat="1">
      <c r="B144" s="2365"/>
      <c r="C144" s="2365"/>
      <c r="D144" s="2365"/>
      <c r="E144" s="2365"/>
      <c r="F144" s="2365"/>
      <c r="G144" s="2366"/>
      <c r="H144" s="2365"/>
      <c r="I144" s="2366"/>
      <c r="J144" s="2365"/>
      <c r="K144" s="2365"/>
      <c r="L144" s="2366"/>
      <c r="M144" s="2365"/>
      <c r="N144" s="2365"/>
      <c r="O144" s="2366"/>
      <c r="P144" s="2365"/>
      <c r="Q144" s="2365"/>
      <c r="R144" s="2367"/>
    </row>
    <row r="145" spans="2:18" s="2340" customFormat="1">
      <c r="B145" s="2365"/>
      <c r="C145" s="2365"/>
      <c r="D145" s="2365"/>
      <c r="E145" s="2365"/>
      <c r="F145" s="2365"/>
      <c r="G145" s="2366"/>
      <c r="H145" s="2365"/>
      <c r="I145" s="2366"/>
      <c r="J145" s="2365"/>
      <c r="K145" s="2365"/>
      <c r="L145" s="2366"/>
      <c r="M145" s="2365"/>
      <c r="N145" s="2365"/>
      <c r="O145" s="2366"/>
      <c r="P145" s="2365"/>
      <c r="Q145" s="2365"/>
      <c r="R145" s="2367"/>
    </row>
    <row r="146" spans="2:18" s="2340" customFormat="1">
      <c r="B146" s="2365"/>
      <c r="C146" s="2365"/>
      <c r="D146" s="2365"/>
      <c r="E146" s="2365"/>
      <c r="F146" s="2365"/>
      <c r="G146" s="2366"/>
      <c r="H146" s="2365"/>
      <c r="I146" s="2366"/>
      <c r="J146" s="2365"/>
      <c r="K146" s="2365"/>
      <c r="L146" s="2366"/>
      <c r="M146" s="2365"/>
      <c r="N146" s="2365"/>
      <c r="O146" s="2366"/>
      <c r="P146" s="2365"/>
      <c r="Q146" s="2365"/>
      <c r="R146" s="2367"/>
    </row>
    <row r="147" spans="2:18" s="2340" customFormat="1">
      <c r="B147" s="2365"/>
      <c r="C147" s="2365"/>
      <c r="D147" s="2365"/>
      <c r="E147" s="2365"/>
      <c r="F147" s="2365"/>
      <c r="G147" s="2366"/>
      <c r="H147" s="2365"/>
      <c r="I147" s="2366"/>
      <c r="J147" s="2365"/>
      <c r="K147" s="2365"/>
      <c r="L147" s="2366"/>
      <c r="M147" s="2365"/>
      <c r="N147" s="2365"/>
      <c r="O147" s="2366"/>
      <c r="P147" s="2365"/>
      <c r="Q147" s="2365"/>
      <c r="R147" s="2367"/>
    </row>
    <row r="148" spans="2:18" s="2340" customFormat="1">
      <c r="B148" s="2365"/>
      <c r="C148" s="2365"/>
      <c r="D148" s="2365"/>
      <c r="E148" s="2365"/>
      <c r="F148" s="2365"/>
      <c r="G148" s="2366"/>
      <c r="H148" s="2365"/>
      <c r="I148" s="2366"/>
      <c r="J148" s="2365"/>
      <c r="K148" s="2365"/>
      <c r="L148" s="2366"/>
      <c r="M148" s="2365"/>
      <c r="N148" s="2365"/>
      <c r="O148" s="2366"/>
      <c r="P148" s="2365"/>
      <c r="Q148" s="2365"/>
      <c r="R148" s="2367"/>
    </row>
    <row r="149" spans="2:18" s="2340" customFormat="1">
      <c r="B149" s="2365"/>
      <c r="C149" s="2365"/>
      <c r="D149" s="2365"/>
      <c r="E149" s="2365"/>
      <c r="F149" s="2365"/>
      <c r="G149" s="2366"/>
      <c r="H149" s="2365"/>
      <c r="I149" s="2366"/>
      <c r="J149" s="2365"/>
      <c r="K149" s="2365"/>
      <c r="L149" s="2366"/>
      <c r="M149" s="2365"/>
      <c r="N149" s="2365"/>
      <c r="O149" s="2366"/>
      <c r="P149" s="2365"/>
      <c r="Q149" s="2365"/>
      <c r="R149" s="2367"/>
    </row>
    <row r="150" spans="2:18" s="2340" customFormat="1">
      <c r="B150" s="2365"/>
      <c r="C150" s="2365"/>
      <c r="D150" s="2365"/>
      <c r="E150" s="2365"/>
      <c r="F150" s="2365"/>
      <c r="G150" s="2366"/>
      <c r="H150" s="2365"/>
      <c r="I150" s="2366"/>
      <c r="J150" s="2365"/>
      <c r="K150" s="2365"/>
      <c r="L150" s="2366"/>
      <c r="M150" s="2365"/>
      <c r="N150" s="2365"/>
      <c r="O150" s="2366"/>
      <c r="P150" s="2365"/>
      <c r="Q150" s="2365"/>
      <c r="R150" s="2367"/>
    </row>
    <row r="151" spans="2:18" s="2340" customFormat="1">
      <c r="B151" s="2365"/>
      <c r="C151" s="2365"/>
      <c r="D151" s="2365"/>
      <c r="E151" s="2365"/>
      <c r="F151" s="2365"/>
      <c r="G151" s="2366"/>
      <c r="H151" s="2365"/>
      <c r="I151" s="2366"/>
      <c r="J151" s="2365"/>
      <c r="K151" s="2365"/>
      <c r="L151" s="2366"/>
      <c r="M151" s="2365"/>
      <c r="N151" s="2365"/>
      <c r="O151" s="2366"/>
      <c r="P151" s="2365"/>
      <c r="Q151" s="2365"/>
      <c r="R151" s="2367"/>
    </row>
    <row r="152" spans="2:18" s="2340" customFormat="1">
      <c r="B152" s="2365"/>
      <c r="C152" s="2365"/>
      <c r="D152" s="2365"/>
      <c r="E152" s="2365"/>
      <c r="F152" s="2365"/>
      <c r="G152" s="2366"/>
      <c r="H152" s="2365"/>
      <c r="I152" s="2366"/>
      <c r="J152" s="2365"/>
      <c r="K152" s="2365"/>
      <c r="L152" s="2366"/>
      <c r="M152" s="2365"/>
      <c r="N152" s="2365"/>
      <c r="O152" s="2366"/>
      <c r="P152" s="2365"/>
      <c r="Q152" s="2365"/>
      <c r="R152" s="2367"/>
    </row>
    <row r="153" spans="2:18" s="2340" customFormat="1">
      <c r="B153" s="2365"/>
      <c r="C153" s="2365"/>
      <c r="D153" s="2365"/>
      <c r="E153" s="2365"/>
      <c r="F153" s="2365"/>
      <c r="G153" s="2366"/>
      <c r="H153" s="2365"/>
      <c r="I153" s="2366"/>
      <c r="J153" s="2365"/>
      <c r="K153" s="2365"/>
      <c r="L153" s="2366"/>
      <c r="M153" s="2365"/>
      <c r="N153" s="2365"/>
      <c r="O153" s="2366"/>
      <c r="P153" s="2365"/>
      <c r="Q153" s="2365"/>
      <c r="R153" s="2367"/>
    </row>
    <row r="154" spans="2:18" s="2340" customFormat="1">
      <c r="B154" s="2365"/>
      <c r="C154" s="2365"/>
      <c r="D154" s="2365"/>
      <c r="E154" s="2365"/>
      <c r="F154" s="2365"/>
      <c r="G154" s="2366"/>
      <c r="H154" s="2365"/>
      <c r="I154" s="2366"/>
      <c r="J154" s="2365"/>
      <c r="K154" s="2365"/>
      <c r="L154" s="2366"/>
      <c r="M154" s="2365"/>
      <c r="N154" s="2365"/>
      <c r="O154" s="2366"/>
      <c r="P154" s="2365"/>
      <c r="Q154" s="2365"/>
      <c r="R154" s="2367"/>
    </row>
    <row r="155" spans="2:18" s="2340" customFormat="1">
      <c r="B155" s="2365"/>
      <c r="C155" s="2365"/>
      <c r="D155" s="2365"/>
      <c r="E155" s="2365"/>
      <c r="F155" s="2365"/>
      <c r="G155" s="2366"/>
      <c r="H155" s="2365"/>
      <c r="I155" s="2366"/>
      <c r="J155" s="2365"/>
      <c r="K155" s="2365"/>
      <c r="L155" s="2366"/>
      <c r="M155" s="2365"/>
      <c r="N155" s="2365"/>
      <c r="O155" s="2366"/>
      <c r="P155" s="2365"/>
      <c r="Q155" s="2365"/>
      <c r="R155" s="2367"/>
    </row>
    <row r="156" spans="2:18" s="2340" customFormat="1">
      <c r="B156" s="2365"/>
      <c r="C156" s="2365"/>
      <c r="D156" s="2365"/>
      <c r="E156" s="2365"/>
      <c r="F156" s="2365"/>
      <c r="G156" s="2366"/>
      <c r="H156" s="2365"/>
      <c r="I156" s="2366"/>
      <c r="J156" s="2365"/>
      <c r="K156" s="2365"/>
      <c r="L156" s="2366"/>
      <c r="M156" s="2365"/>
      <c r="N156" s="2365"/>
      <c r="O156" s="2366"/>
      <c r="P156" s="2365"/>
      <c r="Q156" s="2365"/>
      <c r="R156" s="2367"/>
    </row>
    <row r="157" spans="2:18" s="2340" customFormat="1">
      <c r="B157" s="2365"/>
      <c r="C157" s="2365"/>
      <c r="D157" s="2365"/>
      <c r="E157" s="2365"/>
      <c r="F157" s="2365"/>
      <c r="G157" s="2366"/>
      <c r="H157" s="2365"/>
      <c r="I157" s="2366"/>
      <c r="J157" s="2365"/>
      <c r="K157" s="2365"/>
      <c r="L157" s="2366"/>
      <c r="M157" s="2365"/>
      <c r="N157" s="2365"/>
      <c r="O157" s="2366"/>
      <c r="P157" s="2365"/>
      <c r="Q157" s="2365"/>
      <c r="R157" s="2367"/>
    </row>
    <row r="158" spans="2:18" s="2340" customFormat="1">
      <c r="B158" s="2365"/>
      <c r="C158" s="2365"/>
      <c r="D158" s="2365"/>
      <c r="E158" s="2365"/>
      <c r="F158" s="2365"/>
      <c r="G158" s="2366"/>
      <c r="H158" s="2365"/>
      <c r="I158" s="2366"/>
      <c r="J158" s="2365"/>
      <c r="K158" s="2365"/>
      <c r="L158" s="2366"/>
      <c r="M158" s="2365"/>
      <c r="N158" s="2365"/>
      <c r="O158" s="2366"/>
      <c r="P158" s="2365"/>
      <c r="Q158" s="2365"/>
      <c r="R158" s="2367"/>
    </row>
    <row r="159" spans="2:18" s="2340" customFormat="1">
      <c r="B159" s="2365"/>
      <c r="C159" s="2365"/>
      <c r="D159" s="2365"/>
      <c r="E159" s="2365"/>
      <c r="F159" s="2365"/>
      <c r="G159" s="2366"/>
      <c r="H159" s="2365"/>
      <c r="I159" s="2366"/>
      <c r="J159" s="2365"/>
      <c r="K159" s="2365"/>
      <c r="L159" s="2366"/>
      <c r="M159" s="2365"/>
      <c r="N159" s="2365"/>
      <c r="O159" s="2366"/>
      <c r="P159" s="2365"/>
      <c r="Q159" s="2365"/>
      <c r="R159" s="2367"/>
    </row>
    <row r="160" spans="2:18" s="2340" customFormat="1">
      <c r="B160" s="2365"/>
      <c r="C160" s="2365"/>
      <c r="D160" s="2365"/>
      <c r="E160" s="2365"/>
      <c r="F160" s="2365"/>
      <c r="G160" s="2366"/>
      <c r="H160" s="2365"/>
      <c r="I160" s="2366"/>
      <c r="J160" s="2365"/>
      <c r="K160" s="2365"/>
      <c r="L160" s="2366"/>
      <c r="M160" s="2365"/>
      <c r="N160" s="2365"/>
      <c r="O160" s="2366"/>
      <c r="P160" s="2365"/>
      <c r="Q160" s="2365"/>
      <c r="R160" s="2367"/>
    </row>
    <row r="161" spans="2:18" s="2340" customFormat="1">
      <c r="B161" s="2365"/>
      <c r="C161" s="2365"/>
      <c r="D161" s="2365"/>
      <c r="E161" s="2365"/>
      <c r="F161" s="2365"/>
      <c r="G161" s="2366"/>
      <c r="H161" s="2365"/>
      <c r="I161" s="2366"/>
      <c r="J161" s="2365"/>
      <c r="K161" s="2365"/>
      <c r="L161" s="2366"/>
      <c r="M161" s="2365"/>
      <c r="N161" s="2365"/>
      <c r="O161" s="2366"/>
      <c r="P161" s="2365"/>
      <c r="Q161" s="2365"/>
      <c r="R161" s="2367"/>
    </row>
    <row r="162" spans="2:18" s="2340" customFormat="1">
      <c r="B162" s="2365"/>
      <c r="C162" s="2365"/>
      <c r="D162" s="2365"/>
      <c r="E162" s="2365"/>
      <c r="F162" s="2365"/>
      <c r="G162" s="2366"/>
      <c r="H162" s="2365"/>
      <c r="I162" s="2366"/>
      <c r="J162" s="2365"/>
      <c r="K162" s="2365"/>
      <c r="L162" s="2366"/>
      <c r="M162" s="2365"/>
      <c r="N162" s="2365"/>
      <c r="O162" s="2366"/>
      <c r="P162" s="2365"/>
      <c r="Q162" s="2365"/>
      <c r="R162" s="2367"/>
    </row>
    <row r="163" spans="2:18" s="2340" customFormat="1">
      <c r="B163" s="2365"/>
      <c r="C163" s="2365"/>
      <c r="D163" s="2365"/>
      <c r="E163" s="2365"/>
      <c r="F163" s="2365"/>
      <c r="G163" s="2366"/>
      <c r="H163" s="2365"/>
      <c r="I163" s="2366"/>
      <c r="J163" s="2365"/>
      <c r="K163" s="2365"/>
      <c r="L163" s="2366"/>
      <c r="M163" s="2365"/>
      <c r="N163" s="2365"/>
      <c r="O163" s="2366"/>
      <c r="P163" s="2365"/>
      <c r="Q163" s="2365"/>
      <c r="R163" s="2367"/>
    </row>
    <row r="164" spans="2:18" s="2340" customFormat="1">
      <c r="B164" s="2365"/>
      <c r="C164" s="2365"/>
      <c r="D164" s="2365"/>
      <c r="E164" s="2365"/>
      <c r="F164" s="2365"/>
      <c r="G164" s="2366"/>
      <c r="H164" s="2365"/>
      <c r="I164" s="2366"/>
      <c r="J164" s="2365"/>
      <c r="K164" s="2365"/>
      <c r="L164" s="2366"/>
      <c r="M164" s="2365"/>
      <c r="N164" s="2365"/>
      <c r="O164" s="2366"/>
      <c r="P164" s="2365"/>
      <c r="Q164" s="2365"/>
      <c r="R164" s="2367"/>
    </row>
    <row r="165" spans="2:18" s="2340" customFormat="1">
      <c r="B165" s="2365"/>
      <c r="C165" s="2365"/>
      <c r="D165" s="2365"/>
      <c r="E165" s="2365"/>
      <c r="F165" s="2365"/>
      <c r="G165" s="2366"/>
      <c r="H165" s="2365"/>
      <c r="I165" s="2366"/>
      <c r="J165" s="2365"/>
      <c r="K165" s="2365"/>
      <c r="L165" s="2366"/>
      <c r="M165" s="2365"/>
      <c r="N165" s="2365"/>
      <c r="O165" s="2366"/>
      <c r="P165" s="2365"/>
      <c r="Q165" s="2365"/>
      <c r="R165" s="2367"/>
    </row>
    <row r="166" spans="2:18" s="2340" customFormat="1">
      <c r="B166" s="2365"/>
      <c r="C166" s="2365"/>
      <c r="D166" s="2365"/>
      <c r="E166" s="2365"/>
      <c r="F166" s="2365"/>
      <c r="G166" s="2366"/>
      <c r="H166" s="2365"/>
      <c r="I166" s="2366"/>
      <c r="J166" s="2365"/>
      <c r="K166" s="2365"/>
      <c r="L166" s="2366"/>
      <c r="M166" s="2365"/>
      <c r="N166" s="2365"/>
      <c r="O166" s="2366"/>
      <c r="P166" s="2365"/>
      <c r="Q166" s="2365"/>
      <c r="R166" s="2367"/>
    </row>
    <row r="167" spans="2:18" s="2340" customFormat="1">
      <c r="B167" s="2365"/>
      <c r="C167" s="2365"/>
      <c r="D167" s="2365"/>
      <c r="E167" s="2365"/>
      <c r="F167" s="2365"/>
      <c r="G167" s="2366"/>
      <c r="H167" s="2365"/>
      <c r="I167" s="2366"/>
      <c r="J167" s="2365"/>
      <c r="K167" s="2365"/>
      <c r="L167" s="2366"/>
      <c r="M167" s="2365"/>
      <c r="N167" s="2365"/>
      <c r="O167" s="2366"/>
      <c r="P167" s="2365"/>
      <c r="Q167" s="2365"/>
      <c r="R167" s="2367"/>
    </row>
    <row r="168" spans="2:18" s="2340" customFormat="1">
      <c r="B168" s="2365"/>
      <c r="C168" s="2365"/>
      <c r="D168" s="2365"/>
      <c r="E168" s="2365"/>
      <c r="F168" s="2365"/>
      <c r="G168" s="2366"/>
      <c r="H168" s="2365"/>
      <c r="I168" s="2366"/>
      <c r="J168" s="2365"/>
      <c r="K168" s="2365"/>
      <c r="L168" s="2366"/>
      <c r="M168" s="2365"/>
      <c r="N168" s="2365"/>
      <c r="O168" s="2366"/>
      <c r="P168" s="2365"/>
      <c r="Q168" s="2365"/>
      <c r="R168" s="2367"/>
    </row>
    <row r="169" spans="2:18" s="2340" customFormat="1">
      <c r="B169" s="2365"/>
      <c r="C169" s="2365"/>
      <c r="D169" s="2365"/>
      <c r="E169" s="2365"/>
      <c r="F169" s="2365"/>
      <c r="G169" s="2366"/>
      <c r="H169" s="2365"/>
      <c r="I169" s="2366"/>
      <c r="J169" s="2365"/>
      <c r="K169" s="2365"/>
      <c r="L169" s="2366"/>
      <c r="M169" s="2365"/>
      <c r="N169" s="2365"/>
      <c r="O169" s="2366"/>
      <c r="P169" s="2365"/>
      <c r="Q169" s="2365"/>
      <c r="R169" s="2367"/>
    </row>
    <row r="170" spans="2:18" s="2340" customFormat="1">
      <c r="B170" s="2365"/>
      <c r="C170" s="2365"/>
      <c r="D170" s="2365"/>
      <c r="E170" s="2365"/>
      <c r="F170" s="2365"/>
      <c r="G170" s="2366"/>
      <c r="H170" s="2365"/>
      <c r="I170" s="2366"/>
      <c r="J170" s="2365"/>
      <c r="K170" s="2365"/>
      <c r="L170" s="2366"/>
      <c r="M170" s="2365"/>
      <c r="N170" s="2365"/>
      <c r="O170" s="2366"/>
      <c r="P170" s="2365"/>
      <c r="Q170" s="2365"/>
      <c r="R170" s="2367"/>
    </row>
    <row r="171" spans="2:18" s="2340" customFormat="1">
      <c r="B171" s="2365"/>
      <c r="C171" s="2365"/>
      <c r="D171" s="2365"/>
      <c r="E171" s="2365"/>
      <c r="F171" s="2365"/>
      <c r="G171" s="2366"/>
      <c r="H171" s="2365"/>
      <c r="I171" s="2366"/>
      <c r="J171" s="2365"/>
      <c r="K171" s="2365"/>
      <c r="L171" s="2366"/>
      <c r="M171" s="2365"/>
      <c r="N171" s="2365"/>
      <c r="O171" s="2366"/>
      <c r="P171" s="2365"/>
      <c r="Q171" s="2365"/>
      <c r="R171" s="2367"/>
    </row>
    <row r="172" spans="2:18" s="2340" customFormat="1">
      <c r="B172" s="2365"/>
      <c r="C172" s="2365"/>
      <c r="D172" s="2365"/>
      <c r="E172" s="2365"/>
      <c r="F172" s="2365"/>
      <c r="G172" s="2366"/>
      <c r="H172" s="2365"/>
      <c r="I172" s="2366"/>
      <c r="J172" s="2365"/>
      <c r="K172" s="2365"/>
      <c r="L172" s="2366"/>
      <c r="M172" s="2365"/>
      <c r="N172" s="2365"/>
      <c r="O172" s="2366"/>
      <c r="P172" s="2365"/>
      <c r="Q172" s="2365"/>
      <c r="R172" s="2367"/>
    </row>
    <row r="173" spans="2:18" s="2340" customFormat="1">
      <c r="B173" s="2365"/>
      <c r="C173" s="2365"/>
      <c r="D173" s="2365"/>
      <c r="E173" s="2365"/>
      <c r="F173" s="2365"/>
      <c r="G173" s="2366"/>
      <c r="H173" s="2365"/>
      <c r="I173" s="2366"/>
      <c r="J173" s="2365"/>
      <c r="K173" s="2365"/>
      <c r="L173" s="2366"/>
      <c r="M173" s="2365"/>
      <c r="N173" s="2365"/>
      <c r="O173" s="2366"/>
      <c r="P173" s="2365"/>
      <c r="Q173" s="2365"/>
      <c r="R173" s="2367"/>
    </row>
    <row r="174" spans="2:18" s="2340" customFormat="1">
      <c r="B174" s="2365"/>
      <c r="C174" s="2365"/>
      <c r="D174" s="2365"/>
      <c r="E174" s="2365"/>
      <c r="F174" s="2365"/>
      <c r="G174" s="2366"/>
      <c r="H174" s="2365"/>
      <c r="I174" s="2366"/>
      <c r="J174" s="2365"/>
      <c r="K174" s="2365"/>
      <c r="L174" s="2366"/>
      <c r="M174" s="2365"/>
      <c r="N174" s="2365"/>
      <c r="O174" s="2366"/>
      <c r="P174" s="2365"/>
      <c r="Q174" s="2365"/>
      <c r="R174" s="2367"/>
    </row>
    <row r="175" spans="2:18" s="2340" customFormat="1">
      <c r="B175" s="2365"/>
      <c r="C175" s="2365"/>
      <c r="D175" s="2365"/>
      <c r="E175" s="2365"/>
      <c r="F175" s="2365"/>
      <c r="G175" s="2366"/>
      <c r="H175" s="2365"/>
      <c r="I175" s="2366"/>
      <c r="J175" s="2365"/>
      <c r="K175" s="2365"/>
      <c r="L175" s="2366"/>
      <c r="M175" s="2365"/>
      <c r="N175" s="2365"/>
      <c r="O175" s="2366"/>
      <c r="P175" s="2365"/>
      <c r="Q175" s="2365"/>
      <c r="R175" s="2367"/>
    </row>
    <row r="176" spans="2:18" s="2340" customFormat="1">
      <c r="B176" s="2365"/>
      <c r="C176" s="2365"/>
      <c r="D176" s="2365"/>
      <c r="E176" s="2365"/>
      <c r="F176" s="2365"/>
      <c r="G176" s="2366"/>
      <c r="H176" s="2365"/>
      <c r="I176" s="2366"/>
      <c r="J176" s="2365"/>
      <c r="K176" s="2365"/>
      <c r="L176" s="2366"/>
      <c r="M176" s="2365"/>
      <c r="N176" s="2365"/>
      <c r="O176" s="2366"/>
      <c r="P176" s="2365"/>
      <c r="Q176" s="2365"/>
      <c r="R176" s="2367"/>
    </row>
    <row r="177" spans="1:18" s="2340" customFormat="1">
      <c r="B177" s="2365"/>
      <c r="C177" s="2365"/>
      <c r="D177" s="2365"/>
      <c r="E177" s="2365"/>
      <c r="F177" s="2365"/>
      <c r="G177" s="2366"/>
      <c r="H177" s="2365"/>
      <c r="I177" s="2366"/>
      <c r="J177" s="2365"/>
      <c r="K177" s="2365"/>
      <c r="L177" s="2366"/>
      <c r="M177" s="2365"/>
      <c r="N177" s="2365"/>
      <c r="O177" s="2366"/>
      <c r="P177" s="2365"/>
      <c r="Q177" s="2365"/>
      <c r="R177" s="2367"/>
    </row>
    <row r="178" spans="1:18" s="2340" customFormat="1">
      <c r="B178" s="2365"/>
      <c r="C178" s="2365"/>
      <c r="D178" s="2365"/>
      <c r="E178" s="2365"/>
      <c r="F178" s="2365"/>
      <c r="G178" s="2366"/>
      <c r="H178" s="2365"/>
      <c r="I178" s="2366"/>
      <c r="J178" s="2365"/>
      <c r="K178" s="2365"/>
      <c r="L178" s="2366"/>
      <c r="M178" s="2365"/>
      <c r="N178" s="2365"/>
      <c r="O178" s="2366"/>
      <c r="P178" s="2365"/>
      <c r="Q178" s="2365"/>
      <c r="R178" s="2367"/>
    </row>
    <row r="179" spans="1:18" s="2340" customFormat="1">
      <c r="B179" s="2365"/>
      <c r="C179" s="2365"/>
      <c r="D179" s="2365"/>
      <c r="E179" s="2365"/>
      <c r="F179" s="2365"/>
      <c r="G179" s="2366"/>
      <c r="H179" s="2365"/>
      <c r="I179" s="2366"/>
      <c r="J179" s="2365"/>
      <c r="K179" s="2365"/>
      <c r="L179" s="2366"/>
      <c r="M179" s="2365"/>
      <c r="N179" s="2365"/>
      <c r="O179" s="2366"/>
      <c r="P179" s="2365"/>
      <c r="Q179" s="2365"/>
      <c r="R179" s="2367"/>
    </row>
    <row r="180" spans="1:18" s="2340" customFormat="1">
      <c r="B180" s="2365"/>
      <c r="C180" s="2365"/>
      <c r="D180" s="2365"/>
      <c r="E180" s="2365"/>
      <c r="F180" s="2365"/>
      <c r="G180" s="2366"/>
      <c r="H180" s="2365"/>
      <c r="I180" s="2366"/>
      <c r="J180" s="2365"/>
      <c r="K180" s="2365"/>
      <c r="L180" s="2366"/>
      <c r="M180" s="2365"/>
      <c r="N180" s="2365"/>
      <c r="O180" s="2366"/>
      <c r="P180" s="2365"/>
      <c r="Q180" s="2365"/>
      <c r="R180" s="2367"/>
    </row>
    <row r="181" spans="1:18" s="2340" customFormat="1">
      <c r="B181" s="2365"/>
      <c r="C181" s="2365"/>
      <c r="D181" s="2365"/>
      <c r="E181" s="2365"/>
      <c r="F181" s="2365"/>
      <c r="G181" s="2366"/>
      <c r="H181" s="2365"/>
      <c r="I181" s="2366"/>
      <c r="J181" s="2365"/>
      <c r="K181" s="2365"/>
      <c r="L181" s="2366"/>
      <c r="M181" s="2365"/>
      <c r="N181" s="2365"/>
      <c r="O181" s="2366"/>
      <c r="P181" s="2365"/>
      <c r="Q181" s="2365"/>
      <c r="R181" s="2367"/>
    </row>
    <row r="182" spans="1:18" s="2340" customFormat="1">
      <c r="B182" s="2365"/>
      <c r="C182" s="2365"/>
      <c r="D182" s="2365"/>
      <c r="E182" s="2365"/>
      <c r="F182" s="2365"/>
      <c r="G182" s="2366"/>
      <c r="H182" s="2365"/>
      <c r="I182" s="2366"/>
      <c r="J182" s="2365"/>
      <c r="K182" s="2365"/>
      <c r="L182" s="2366"/>
      <c r="M182" s="2365"/>
      <c r="N182" s="2365"/>
      <c r="O182" s="2366"/>
      <c r="P182" s="2365"/>
      <c r="Q182" s="2365"/>
      <c r="R182" s="2367"/>
    </row>
    <row r="183" spans="1:18" s="2340" customFormat="1">
      <c r="B183" s="2365"/>
      <c r="C183" s="2365"/>
      <c r="D183" s="2365"/>
      <c r="E183" s="2365"/>
      <c r="F183" s="2365"/>
      <c r="G183" s="2366"/>
      <c r="H183" s="2365"/>
      <c r="I183" s="2366"/>
      <c r="J183" s="2365"/>
      <c r="K183" s="2365"/>
      <c r="L183" s="2366"/>
      <c r="M183" s="2365"/>
      <c r="N183" s="2365"/>
      <c r="O183" s="2366"/>
      <c r="P183" s="2365"/>
      <c r="Q183" s="2365"/>
      <c r="R183" s="2367"/>
    </row>
    <row r="184" spans="1:18" s="2340" customFormat="1">
      <c r="B184" s="2365"/>
      <c r="C184" s="2365"/>
      <c r="D184" s="2365"/>
      <c r="E184" s="2365"/>
      <c r="F184" s="2365"/>
      <c r="G184" s="2366"/>
      <c r="H184" s="2365"/>
      <c r="I184" s="2366"/>
      <c r="J184" s="2365"/>
      <c r="K184" s="2365"/>
      <c r="L184" s="2366"/>
      <c r="M184" s="2365"/>
      <c r="N184" s="2365"/>
      <c r="O184" s="2366"/>
      <c r="P184" s="2365"/>
      <c r="Q184" s="2365"/>
      <c r="R184" s="2367"/>
    </row>
    <row r="185" spans="1:18" s="2340" customFormat="1">
      <c r="B185" s="2365"/>
      <c r="C185" s="2365"/>
      <c r="D185" s="2365"/>
      <c r="E185" s="2365"/>
      <c r="F185" s="2365"/>
      <c r="G185" s="2366"/>
      <c r="H185" s="2365"/>
      <c r="I185" s="2366"/>
      <c r="J185" s="2365"/>
      <c r="K185" s="2365"/>
      <c r="L185" s="2366"/>
      <c r="M185" s="2365"/>
      <c r="N185" s="2365"/>
      <c r="O185" s="2366"/>
      <c r="P185" s="2365"/>
      <c r="Q185" s="2365"/>
      <c r="R185" s="2367"/>
    </row>
    <row r="186" spans="1:18">
      <c r="A186" s="2340"/>
      <c r="B186" s="2365"/>
      <c r="C186" s="2365"/>
      <c r="E186" s="2365"/>
      <c r="F186" s="2365"/>
      <c r="G186" s="2366"/>
    </row>
    <row r="187" spans="1:18">
      <c r="A187" s="2340"/>
      <c r="B187" s="2365"/>
      <c r="C187" s="2365"/>
      <c r="E187" s="2365"/>
      <c r="F187" s="2365"/>
      <c r="G187" s="236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1">
        <f>B14+B15+B16+B17</f>
        <v>24348.570000000003</v>
      </c>
      <c r="C1" s="1722"/>
      <c r="D1" s="1722"/>
      <c r="E1" s="1722"/>
      <c r="F1" s="1722"/>
      <c r="G1" s="1720"/>
    </row>
    <row r="2" spans="1:10" ht="16.5">
      <c r="A2" s="1723" t="s">
        <v>1342</v>
      </c>
      <c r="B2" s="1723">
        <f>C14+C15+C16+C17</f>
        <v>15134.65</v>
      </c>
      <c r="C2" s="1722"/>
      <c r="D2" s="1722"/>
      <c r="E2" s="1722"/>
      <c r="F2" s="1722"/>
      <c r="G2" s="1720"/>
    </row>
    <row r="3" spans="1:10" ht="16.5">
      <c r="A3" s="1723" t="s">
        <v>1351</v>
      </c>
      <c r="B3" s="1724">
        <f>项目基本情况!D3</f>
        <v>43840</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1">
        <f ca="1">D14+D15+D16+D17</f>
        <v>41072</v>
      </c>
      <c r="C5" s="1723">
        <f ca="1">ROUND(B5*10000/$B$1,0)</f>
        <v>16868</v>
      </c>
      <c r="D5" s="1723">
        <f ca="1">ROUND(B5*10000/$B$2,0)</f>
        <v>27138</v>
      </c>
      <c r="E5" s="1722"/>
      <c r="F5" s="1720"/>
      <c r="G5" s="1720"/>
    </row>
    <row r="6" spans="1:10" ht="16.5">
      <c r="A6" s="1723" t="s">
        <v>1345</v>
      </c>
      <c r="B6" s="1723">
        <f ca="1">G14+G15+G16+G17</f>
        <v>41072</v>
      </c>
      <c r="C6" s="1723">
        <f ca="1">ROUND(B6*10000/$B$1,0)</f>
        <v>16868</v>
      </c>
      <c r="D6" s="1723">
        <f ca="1">ROUND(B6*10000/$B$2,0)</f>
        <v>27138</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24348.570000000003</v>
      </c>
      <c r="C14" s="1721">
        <f>结果表!C118</f>
        <v>15134.65</v>
      </c>
      <c r="D14" s="1721">
        <f ca="1">结果表!H118</f>
        <v>41072</v>
      </c>
      <c r="E14" s="1721">
        <f ca="1">ROUND(D14*10000/B14,0)</f>
        <v>16868</v>
      </c>
      <c r="F14" s="1721">
        <f ca="1">ROUND(D14*10000/C14,0)</f>
        <v>27138</v>
      </c>
      <c r="G14" s="1721">
        <f ca="1">结果表!D122</f>
        <v>41072</v>
      </c>
      <c r="H14" s="1721" t="str">
        <f>结果表!D124</f>
        <v>——</v>
      </c>
      <c r="I14" s="1721" t="str">
        <f>结果表!D126</f>
        <v>——</v>
      </c>
      <c r="J14" s="1720"/>
    </row>
    <row r="15" spans="1:10" ht="16.5">
      <c r="A15" s="1719" t="s">
        <v>1338</v>
      </c>
      <c r="B15" s="3420"/>
      <c r="C15" s="3420"/>
      <c r="D15" s="3420"/>
      <c r="E15" s="1721" t="e">
        <f t="shared" ref="E15:E23" si="0">ROUND(D15*10000/B15,0)</f>
        <v>#DIV/0!</v>
      </c>
      <c r="F15" s="1721" t="e">
        <f t="shared" ref="F15:F23" si="1">ROUND(D15*10000/C15,0)</f>
        <v>#DIV/0!</v>
      </c>
      <c r="G15" s="3421">
        <f>D15</f>
        <v>0</v>
      </c>
      <c r="H15" s="1727"/>
      <c r="I15" s="1726"/>
      <c r="J15" s="1720"/>
    </row>
    <row r="16" spans="1:10" ht="16.5">
      <c r="A16" s="1719" t="s">
        <v>1337</v>
      </c>
      <c r="B16" s="3420"/>
      <c r="C16" s="3420"/>
      <c r="D16" s="3420"/>
      <c r="E16" s="1721" t="e">
        <f t="shared" si="0"/>
        <v>#DIV/0!</v>
      </c>
      <c r="F16" s="1721" t="e">
        <f t="shared" si="1"/>
        <v>#DIV/0!</v>
      </c>
      <c r="G16" s="3421">
        <f t="shared" ref="G16:G17" si="2">D16</f>
        <v>0</v>
      </c>
      <c r="H16" s="1727"/>
      <c r="I16" s="1726"/>
    </row>
    <row r="17" spans="1:9" ht="16.5">
      <c r="A17" s="1719" t="s">
        <v>1336</v>
      </c>
      <c r="B17" s="3420"/>
      <c r="C17" s="3420"/>
      <c r="D17" s="3420"/>
      <c r="E17" s="1721" t="e">
        <f t="shared" si="0"/>
        <v>#DIV/0!</v>
      </c>
      <c r="F17" s="1721" t="e">
        <f t="shared" si="1"/>
        <v>#DIV/0!</v>
      </c>
      <c r="G17" s="3421">
        <f t="shared" si="2"/>
        <v>0</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79" bestFit="1" customWidth="1"/>
    <col min="2" max="2" width="9.125" style="2979" customWidth="1"/>
    <col min="3" max="3" width="11.75" style="2979" customWidth="1"/>
    <col min="4" max="4" width="9.125" style="2979" bestFit="1" customWidth="1"/>
    <col min="5" max="6" width="10.875" style="2979" customWidth="1"/>
    <col min="7" max="8" width="9.125" style="2979" bestFit="1" customWidth="1"/>
    <col min="9" max="10" width="10.75" style="2979" customWidth="1"/>
    <col min="11" max="16384" width="9" style="2979"/>
  </cols>
  <sheetData>
    <row r="1" spans="1:11" ht="28.5" customHeight="1">
      <c r="A1" s="3518" t="s">
        <v>3153</v>
      </c>
      <c r="B1" s="3518" t="s">
        <v>3154</v>
      </c>
      <c r="C1" s="3518" t="s">
        <v>3155</v>
      </c>
      <c r="D1" s="3518" t="s">
        <v>3156</v>
      </c>
      <c r="E1" s="3518" t="s">
        <v>3157</v>
      </c>
      <c r="F1" s="3518"/>
      <c r="G1" s="3518" t="s">
        <v>3158</v>
      </c>
      <c r="H1" s="3518"/>
      <c r="I1" s="3518" t="s">
        <v>3159</v>
      </c>
      <c r="J1" s="3518"/>
    </row>
    <row r="2" spans="1:11">
      <c r="A2" s="3518"/>
      <c r="B2" s="3518"/>
      <c r="C2" s="3518"/>
      <c r="D2" s="3518"/>
      <c r="E2" s="2980" t="s">
        <v>3160</v>
      </c>
      <c r="F2" s="2980" t="s">
        <v>3161</v>
      </c>
      <c r="G2" s="2980" t="s">
        <v>3162</v>
      </c>
      <c r="H2" s="2980" t="s">
        <v>3161</v>
      </c>
      <c r="I2" s="2980" t="s">
        <v>3162</v>
      </c>
      <c r="J2" s="2980" t="s">
        <v>3161</v>
      </c>
    </row>
    <row r="3" spans="1:11" ht="12.75">
      <c r="A3" s="2956" t="s">
        <v>3103</v>
      </c>
      <c r="B3" s="2956" t="s">
        <v>3163</v>
      </c>
      <c r="C3" s="2981">
        <v>60</v>
      </c>
      <c r="D3" s="2956">
        <v>5.69</v>
      </c>
      <c r="E3" s="2982" t="e">
        <f ca="1">I3-G3</f>
        <v>#REF!</v>
      </c>
      <c r="F3" s="2982" t="e">
        <f ca="1">J3-H3</f>
        <v>#REF!</v>
      </c>
      <c r="G3" s="2982" t="e">
        <f ca="1">ROUND(I3*$K$3,0)</f>
        <v>#REF!</v>
      </c>
      <c r="H3" s="2982" t="e">
        <f ca="1">ROUND(G3/C3*10000,0)</f>
        <v>#REF!</v>
      </c>
      <c r="I3" s="2982" t="e">
        <f>典型户型修正!S24</f>
        <v>#REF!</v>
      </c>
      <c r="J3" s="2982">
        <f>典型户型修正!R24</f>
        <v>22522</v>
      </c>
      <c r="K3" s="2979">
        <f ca="1">收益法!C13/收益法!C40</f>
        <v>0.38617149758454106</v>
      </c>
    </row>
    <row r="4" spans="1:11" ht="12.75">
      <c r="A4" s="2956" t="s">
        <v>3164</v>
      </c>
      <c r="B4" s="2956" t="s">
        <v>3163</v>
      </c>
      <c r="C4" s="2981">
        <v>238.29</v>
      </c>
      <c r="D4" s="2956">
        <v>22.6</v>
      </c>
      <c r="E4" s="2982" t="e">
        <f t="shared" ref="E4:F55" ca="1" si="0">I4-G4</f>
        <v>#REF!</v>
      </c>
      <c r="F4" s="2982" t="e">
        <f t="shared" ca="1" si="0"/>
        <v>#REF!</v>
      </c>
      <c r="G4" s="2982" t="e">
        <f t="shared" ref="G4:G14" ca="1" si="1">ROUND(I4*$K$3,0)</f>
        <v>#REF!</v>
      </c>
      <c r="H4" s="2982" t="e">
        <f t="shared" ref="H4:H13" ca="1" si="2">ROUND(G4/C4*10000,0)</f>
        <v>#REF!</v>
      </c>
      <c r="I4" s="2982" t="e">
        <f>典型户型修正!S25</f>
        <v>#REF!</v>
      </c>
      <c r="J4" s="2982" t="e">
        <f>典型户型修正!R25</f>
        <v>#REF!</v>
      </c>
    </row>
    <row r="5" spans="1:11" ht="12.75">
      <c r="A5" s="2956" t="s">
        <v>3104</v>
      </c>
      <c r="B5" s="2956" t="s">
        <v>3163</v>
      </c>
      <c r="C5" s="2981">
        <v>57.27</v>
      </c>
      <c r="D5" s="2956">
        <v>5.43</v>
      </c>
      <c r="E5" s="2982" t="e">
        <f t="shared" ca="1" si="0"/>
        <v>#REF!</v>
      </c>
      <c r="F5" s="2982" t="e">
        <f t="shared" ca="1" si="0"/>
        <v>#REF!</v>
      </c>
      <c r="G5" s="2982" t="e">
        <f t="shared" ca="1" si="1"/>
        <v>#REF!</v>
      </c>
      <c r="H5" s="2982" t="e">
        <f t="shared" ca="1" si="2"/>
        <v>#REF!</v>
      </c>
      <c r="I5" s="2982" t="e">
        <f>典型户型修正!S26</f>
        <v>#REF!</v>
      </c>
      <c r="J5" s="2982" t="e">
        <f>典型户型修正!R26</f>
        <v>#REF!</v>
      </c>
    </row>
    <row r="6" spans="1:11" ht="12.75">
      <c r="A6" s="2956" t="s">
        <v>3105</v>
      </c>
      <c r="B6" s="2956" t="s">
        <v>3163</v>
      </c>
      <c r="C6" s="2981">
        <v>114.92</v>
      </c>
      <c r="D6" s="2956">
        <v>10.91</v>
      </c>
      <c r="E6" s="2982" t="e">
        <f t="shared" ca="1" si="0"/>
        <v>#REF!</v>
      </c>
      <c r="F6" s="2982" t="e">
        <f t="shared" ca="1" si="0"/>
        <v>#REF!</v>
      </c>
      <c r="G6" s="2982" t="e">
        <f t="shared" ca="1" si="1"/>
        <v>#REF!</v>
      </c>
      <c r="H6" s="2982" t="e">
        <f t="shared" ca="1" si="2"/>
        <v>#REF!</v>
      </c>
      <c r="I6" s="2982" t="e">
        <f>典型户型修正!S27</f>
        <v>#REF!</v>
      </c>
      <c r="J6" s="2982" t="e">
        <f>典型户型修正!R27</f>
        <v>#REF!</v>
      </c>
    </row>
    <row r="7" spans="1:11" ht="12.75">
      <c r="A7" s="2956" t="s">
        <v>3106</v>
      </c>
      <c r="B7" s="2956" t="s">
        <v>3163</v>
      </c>
      <c r="C7" s="2981">
        <v>74.16</v>
      </c>
      <c r="D7" s="2956">
        <v>7.03</v>
      </c>
      <c r="E7" s="2982" t="e">
        <f t="shared" ca="1" si="0"/>
        <v>#REF!</v>
      </c>
      <c r="F7" s="2982" t="e">
        <f t="shared" ca="1" si="0"/>
        <v>#REF!</v>
      </c>
      <c r="G7" s="2982" t="e">
        <f t="shared" ca="1" si="1"/>
        <v>#REF!</v>
      </c>
      <c r="H7" s="2982" t="e">
        <f t="shared" ca="1" si="2"/>
        <v>#REF!</v>
      </c>
      <c r="I7" s="2982" t="e">
        <f>典型户型修正!S28</f>
        <v>#REF!</v>
      </c>
      <c r="J7" s="2982" t="e">
        <f>典型户型修正!R28</f>
        <v>#REF!</v>
      </c>
    </row>
    <row r="8" spans="1:11" ht="12.75">
      <c r="A8" s="2956" t="s">
        <v>3107</v>
      </c>
      <c r="B8" s="2956" t="s">
        <v>3163</v>
      </c>
      <c r="C8" s="2981">
        <v>142.44999999999999</v>
      </c>
      <c r="D8" s="2956">
        <v>13.52</v>
      </c>
      <c r="E8" s="2982" t="e">
        <f t="shared" ca="1" si="0"/>
        <v>#REF!</v>
      </c>
      <c r="F8" s="2982" t="e">
        <f t="shared" ca="1" si="0"/>
        <v>#REF!</v>
      </c>
      <c r="G8" s="2982" t="e">
        <f t="shared" ca="1" si="1"/>
        <v>#REF!</v>
      </c>
      <c r="H8" s="2982" t="e">
        <f t="shared" ca="1" si="2"/>
        <v>#REF!</v>
      </c>
      <c r="I8" s="2982" t="e">
        <f>典型户型修正!S29</f>
        <v>#REF!</v>
      </c>
      <c r="J8" s="2982" t="e">
        <f>典型户型修正!R29</f>
        <v>#REF!</v>
      </c>
    </row>
    <row r="9" spans="1:11" ht="12.75">
      <c r="A9" s="2956" t="s">
        <v>3108</v>
      </c>
      <c r="B9" s="2956" t="s">
        <v>3163</v>
      </c>
      <c r="C9" s="2981">
        <v>238.29</v>
      </c>
      <c r="D9" s="2956">
        <v>22.6</v>
      </c>
      <c r="E9" s="2982" t="e">
        <f t="shared" ca="1" si="0"/>
        <v>#REF!</v>
      </c>
      <c r="F9" s="2982" t="e">
        <f t="shared" ca="1" si="0"/>
        <v>#REF!</v>
      </c>
      <c r="G9" s="2982" t="e">
        <f t="shared" ca="1" si="1"/>
        <v>#REF!</v>
      </c>
      <c r="H9" s="2982" t="e">
        <f t="shared" ca="1" si="2"/>
        <v>#REF!</v>
      </c>
      <c r="I9" s="2982" t="e">
        <f>典型户型修正!S30</f>
        <v>#REF!</v>
      </c>
      <c r="J9" s="2982" t="e">
        <f>典型户型修正!R30</f>
        <v>#REF!</v>
      </c>
    </row>
    <row r="10" spans="1:11" ht="12.75">
      <c r="A10" s="2956" t="s">
        <v>3109</v>
      </c>
      <c r="B10" s="2956" t="s">
        <v>3163</v>
      </c>
      <c r="C10" s="2981">
        <v>149.43</v>
      </c>
      <c r="D10" s="2956">
        <v>14.18</v>
      </c>
      <c r="E10" s="2982" t="e">
        <f t="shared" ca="1" si="0"/>
        <v>#REF!</v>
      </c>
      <c r="F10" s="2982" t="e">
        <f t="shared" ca="1" si="0"/>
        <v>#REF!</v>
      </c>
      <c r="G10" s="2982" t="e">
        <f t="shared" ca="1" si="1"/>
        <v>#REF!</v>
      </c>
      <c r="H10" s="2982" t="e">
        <f t="shared" ca="1" si="2"/>
        <v>#REF!</v>
      </c>
      <c r="I10" s="2982" t="e">
        <f>典型户型修正!S31</f>
        <v>#REF!</v>
      </c>
      <c r="J10" s="2982" t="e">
        <f>典型户型修正!R31</f>
        <v>#REF!</v>
      </c>
    </row>
    <row r="11" spans="1:11" ht="12.75">
      <c r="A11" s="2956" t="s">
        <v>3110</v>
      </c>
      <c r="B11" s="2956" t="s">
        <v>3163</v>
      </c>
      <c r="C11" s="2981">
        <v>84.25</v>
      </c>
      <c r="D11" s="2956">
        <v>7.99</v>
      </c>
      <c r="E11" s="2982" t="e">
        <f t="shared" ca="1" si="0"/>
        <v>#REF!</v>
      </c>
      <c r="F11" s="2982" t="e">
        <f t="shared" ca="1" si="0"/>
        <v>#REF!</v>
      </c>
      <c r="G11" s="2982" t="e">
        <f t="shared" ca="1" si="1"/>
        <v>#REF!</v>
      </c>
      <c r="H11" s="2982" t="e">
        <f t="shared" ca="1" si="2"/>
        <v>#REF!</v>
      </c>
      <c r="I11" s="2982" t="e">
        <f>典型户型修正!S32</f>
        <v>#REF!</v>
      </c>
      <c r="J11" s="2982" t="e">
        <f>典型户型修正!R32</f>
        <v>#REF!</v>
      </c>
    </row>
    <row r="12" spans="1:11" ht="12.75">
      <c r="A12" s="2956" t="s">
        <v>3111</v>
      </c>
      <c r="B12" s="2956" t="s">
        <v>3163</v>
      </c>
      <c r="C12" s="2981">
        <v>2160.11</v>
      </c>
      <c r="D12" s="2956">
        <v>204.91</v>
      </c>
      <c r="E12" s="2982" t="e">
        <f t="shared" ca="1" si="0"/>
        <v>#REF!</v>
      </c>
      <c r="F12" s="2982" t="e">
        <f t="shared" ca="1" si="0"/>
        <v>#REF!</v>
      </c>
      <c r="G12" s="2982" t="e">
        <f t="shared" ca="1" si="1"/>
        <v>#REF!</v>
      </c>
      <c r="H12" s="2982" t="e">
        <f t="shared" ca="1" si="2"/>
        <v>#REF!</v>
      </c>
      <c r="I12" s="2982" t="e">
        <f>典型户型修正!S33</f>
        <v>#REF!</v>
      </c>
      <c r="J12" s="2982" t="e">
        <f>典型户型修正!R33</f>
        <v>#REF!</v>
      </c>
    </row>
    <row r="13" spans="1:11" ht="12.75">
      <c r="A13" s="2956" t="s">
        <v>3112</v>
      </c>
      <c r="B13" s="2956" t="s">
        <v>3163</v>
      </c>
      <c r="C13" s="2981">
        <v>771.83</v>
      </c>
      <c r="D13" s="2956">
        <v>73.209999999999994</v>
      </c>
      <c r="E13" s="2982">
        <f t="shared" ca="1" si="0"/>
        <v>0</v>
      </c>
      <c r="F13" s="2982">
        <f t="shared" ca="1" si="0"/>
        <v>0</v>
      </c>
      <c r="G13" s="2982">
        <f t="shared" ca="1" si="1"/>
        <v>0</v>
      </c>
      <c r="H13" s="2982">
        <f t="shared" ca="1" si="2"/>
        <v>0</v>
      </c>
      <c r="I13" s="2982">
        <f>典型户型修正!S34</f>
        <v>0</v>
      </c>
      <c r="J13" s="2982">
        <f>典型户型修正!R34</f>
        <v>0</v>
      </c>
    </row>
    <row r="14" spans="1:11" ht="12.75">
      <c r="A14" s="2956" t="s">
        <v>3113</v>
      </c>
      <c r="B14" s="2956" t="s">
        <v>3163</v>
      </c>
      <c r="C14" s="2981">
        <v>419.37</v>
      </c>
      <c r="D14" s="2956">
        <v>39.78</v>
      </c>
      <c r="E14" s="2982">
        <f t="shared" ca="1" si="0"/>
        <v>0</v>
      </c>
      <c r="F14" s="2982">
        <f t="shared" ca="1" si="0"/>
        <v>0</v>
      </c>
      <c r="G14" s="2982">
        <f t="shared" ca="1" si="1"/>
        <v>0</v>
      </c>
      <c r="H14" s="2982">
        <f ca="1">ROUND(G14/C14*10000,0)</f>
        <v>0</v>
      </c>
      <c r="I14" s="2982">
        <f>典型户型修正!S35</f>
        <v>0</v>
      </c>
      <c r="J14" s="2982">
        <f>典型户型修正!R35</f>
        <v>0</v>
      </c>
    </row>
    <row r="15" spans="1:11" s="2985" customFormat="1" ht="12.75">
      <c r="A15" s="3519" t="s">
        <v>3165</v>
      </c>
      <c r="B15" s="3520"/>
      <c r="C15" s="2983">
        <f>SUM(C3:C14)</f>
        <v>4510.37</v>
      </c>
      <c r="D15" s="2983">
        <f t="shared" ref="D15" si="3">SUM(D3:D14)</f>
        <v>427.85</v>
      </c>
      <c r="E15" s="2984" t="e">
        <f ca="1">SUM(E3:E14)</f>
        <v>#REF!</v>
      </c>
      <c r="F15" s="2984" t="e">
        <f ca="1">J15-H15</f>
        <v>#REF!</v>
      </c>
      <c r="G15" s="2984" t="e">
        <f ca="1">SUM(G3:G14)</f>
        <v>#REF!</v>
      </c>
      <c r="H15" s="2984" t="e">
        <f ca="1">ROUND(G15/C15*10000,0)</f>
        <v>#REF!</v>
      </c>
      <c r="I15" s="2984" t="e">
        <f>SUM(I3:I14)</f>
        <v>#REF!</v>
      </c>
      <c r="J15" s="2984" t="e">
        <f>ROUND(I15/C15*10000,0)</f>
        <v>#REF!</v>
      </c>
      <c r="K15" s="2985" t="e">
        <f ca="1">G15+E15</f>
        <v>#REF!</v>
      </c>
    </row>
    <row r="16" spans="1:11" ht="12.75">
      <c r="A16" s="2956" t="e">
        <f>#REF!</f>
        <v>#REF!</v>
      </c>
      <c r="B16" s="2956" t="s">
        <v>3166</v>
      </c>
      <c r="C16" s="2981" t="e">
        <f>#REF!</f>
        <v>#REF!</v>
      </c>
      <c r="D16" s="2956" t="e">
        <f>#REF!</f>
        <v>#REF!</v>
      </c>
      <c r="E16" s="2982" t="e">
        <f t="shared" ca="1" si="0"/>
        <v>#REF!</v>
      </c>
      <c r="F16" s="2982" t="e">
        <f t="shared" ca="1" si="0"/>
        <v>#REF!</v>
      </c>
      <c r="G16" s="2982" t="e">
        <f ca="1">ROUND(I16*$K$16,0)</f>
        <v>#REF!</v>
      </c>
      <c r="H16" s="2982" t="e">
        <f ca="1">ROUND(G16/C16*10000,0)</f>
        <v>#REF!</v>
      </c>
      <c r="I16" s="2982" t="e">
        <f>典型户型修正办!S24</f>
        <v>#REF!</v>
      </c>
      <c r="J16" s="2982" t="e">
        <f>典型户型修正办!R24</f>
        <v>#REF!</v>
      </c>
      <c r="K16" s="2979" t="e">
        <f ca="1">收益法办自!C13/收益法办自!C40</f>
        <v>#N/A</v>
      </c>
    </row>
    <row r="17" spans="1:10" ht="12.75">
      <c r="A17" s="2974" t="e">
        <f>#REF!</f>
        <v>#REF!</v>
      </c>
      <c r="B17" s="2974" t="s">
        <v>3166</v>
      </c>
      <c r="C17" s="2981" t="e">
        <f>#REF!</f>
        <v>#REF!</v>
      </c>
      <c r="D17" s="2974" t="e">
        <f>#REF!</f>
        <v>#REF!</v>
      </c>
      <c r="E17" s="2982" t="e">
        <f t="shared" ca="1" si="0"/>
        <v>#REF!</v>
      </c>
      <c r="F17" s="2982" t="e">
        <f t="shared" ca="1" si="0"/>
        <v>#REF!</v>
      </c>
      <c r="G17" s="2982" t="e">
        <f t="shared" ref="G17:G52" ca="1" si="4">ROUND(I17*$K$16,0)</f>
        <v>#REF!</v>
      </c>
      <c r="H17" s="2982" t="e">
        <f t="shared" ref="H17:H52" ca="1" si="5">ROUND(G17/C17*10000,0)</f>
        <v>#REF!</v>
      </c>
      <c r="I17" s="2982" t="e">
        <f>典型户型修正办!S25</f>
        <v>#REF!</v>
      </c>
      <c r="J17" s="2982" t="e">
        <f>典型户型修正办!R25</f>
        <v>#REF!</v>
      </c>
    </row>
    <row r="18" spans="1:10" ht="12.75">
      <c r="A18" s="2974" t="e">
        <f>#REF!</f>
        <v>#REF!</v>
      </c>
      <c r="B18" s="2974" t="s">
        <v>3166</v>
      </c>
      <c r="C18" s="2981" t="e">
        <f>#REF!</f>
        <v>#REF!</v>
      </c>
      <c r="D18" s="2974" t="e">
        <f>#REF!</f>
        <v>#REF!</v>
      </c>
      <c r="E18" s="2982" t="e">
        <f t="shared" ca="1" si="0"/>
        <v>#REF!</v>
      </c>
      <c r="F18" s="2982" t="e">
        <f t="shared" ca="1" si="0"/>
        <v>#REF!</v>
      </c>
      <c r="G18" s="2982" t="e">
        <f t="shared" ca="1" si="4"/>
        <v>#REF!</v>
      </c>
      <c r="H18" s="2982" t="e">
        <f t="shared" ca="1" si="5"/>
        <v>#REF!</v>
      </c>
      <c r="I18" s="2982" t="e">
        <f>典型户型修正办!S26</f>
        <v>#REF!</v>
      </c>
      <c r="J18" s="2982" t="e">
        <f>典型户型修正办!R26</f>
        <v>#REF!</v>
      </c>
    </row>
    <row r="19" spans="1:10" ht="12.75">
      <c r="A19" s="2974" t="e">
        <f>#REF!</f>
        <v>#REF!</v>
      </c>
      <c r="B19" s="2974" t="s">
        <v>3166</v>
      </c>
      <c r="C19" s="2981" t="e">
        <f>#REF!</f>
        <v>#REF!</v>
      </c>
      <c r="D19" s="2974" t="e">
        <f>#REF!</f>
        <v>#REF!</v>
      </c>
      <c r="E19" s="2982" t="e">
        <f t="shared" ca="1" si="0"/>
        <v>#REF!</v>
      </c>
      <c r="F19" s="2982" t="e">
        <f t="shared" ca="1" si="0"/>
        <v>#REF!</v>
      </c>
      <c r="G19" s="2982" t="e">
        <f t="shared" ca="1" si="4"/>
        <v>#REF!</v>
      </c>
      <c r="H19" s="2982" t="e">
        <f t="shared" ca="1" si="5"/>
        <v>#REF!</v>
      </c>
      <c r="I19" s="2982" t="e">
        <f>典型户型修正办!S27</f>
        <v>#REF!</v>
      </c>
      <c r="J19" s="2982" t="e">
        <f>典型户型修正办!R27</f>
        <v>#REF!</v>
      </c>
    </row>
    <row r="20" spans="1:10" ht="12.75">
      <c r="A20" s="2974" t="e">
        <f>#REF!</f>
        <v>#REF!</v>
      </c>
      <c r="B20" s="2974" t="s">
        <v>3166</v>
      </c>
      <c r="C20" s="2981" t="e">
        <f>#REF!</f>
        <v>#REF!</v>
      </c>
      <c r="D20" s="2974" t="e">
        <f>#REF!</f>
        <v>#REF!</v>
      </c>
      <c r="E20" s="2982" t="e">
        <f t="shared" ca="1" si="0"/>
        <v>#REF!</v>
      </c>
      <c r="F20" s="2982" t="e">
        <f t="shared" ca="1" si="0"/>
        <v>#REF!</v>
      </c>
      <c r="G20" s="2982" t="e">
        <f t="shared" ca="1" si="4"/>
        <v>#REF!</v>
      </c>
      <c r="H20" s="2982" t="e">
        <f t="shared" ca="1" si="5"/>
        <v>#REF!</v>
      </c>
      <c r="I20" s="2982" t="e">
        <f>典型户型修正办!S28</f>
        <v>#REF!</v>
      </c>
      <c r="J20" s="2982" t="e">
        <f>典型户型修正办!R28</f>
        <v>#REF!</v>
      </c>
    </row>
    <row r="21" spans="1:10" ht="12.75">
      <c r="A21" s="2974" t="e">
        <f>#REF!</f>
        <v>#REF!</v>
      </c>
      <c r="B21" s="2974" t="s">
        <v>3166</v>
      </c>
      <c r="C21" s="2981" t="e">
        <f>#REF!</f>
        <v>#REF!</v>
      </c>
      <c r="D21" s="2974" t="e">
        <f>#REF!</f>
        <v>#REF!</v>
      </c>
      <c r="E21" s="2982" t="e">
        <f t="shared" ca="1" si="0"/>
        <v>#REF!</v>
      </c>
      <c r="F21" s="2982" t="e">
        <f t="shared" ca="1" si="0"/>
        <v>#REF!</v>
      </c>
      <c r="G21" s="2982" t="e">
        <f t="shared" ca="1" si="4"/>
        <v>#REF!</v>
      </c>
      <c r="H21" s="2982" t="e">
        <f t="shared" ca="1" si="5"/>
        <v>#REF!</v>
      </c>
      <c r="I21" s="2982" t="e">
        <f>典型户型修正办!S29</f>
        <v>#REF!</v>
      </c>
      <c r="J21" s="2982" t="e">
        <f>典型户型修正办!R29</f>
        <v>#REF!</v>
      </c>
    </row>
    <row r="22" spans="1:10" ht="12.75">
      <c r="A22" s="2974" t="e">
        <f>#REF!</f>
        <v>#REF!</v>
      </c>
      <c r="B22" s="2974" t="s">
        <v>3166</v>
      </c>
      <c r="C22" s="2981" t="e">
        <f>#REF!</f>
        <v>#REF!</v>
      </c>
      <c r="D22" s="2974" t="e">
        <f>#REF!</f>
        <v>#REF!</v>
      </c>
      <c r="E22" s="2982" t="e">
        <f t="shared" ca="1" si="0"/>
        <v>#REF!</v>
      </c>
      <c r="F22" s="2982" t="e">
        <f t="shared" ca="1" si="0"/>
        <v>#REF!</v>
      </c>
      <c r="G22" s="2982" t="e">
        <f t="shared" ca="1" si="4"/>
        <v>#REF!</v>
      </c>
      <c r="H22" s="2982" t="e">
        <f t="shared" ca="1" si="5"/>
        <v>#REF!</v>
      </c>
      <c r="I22" s="2982" t="e">
        <f>典型户型修正办!S30</f>
        <v>#REF!</v>
      </c>
      <c r="J22" s="2982" t="e">
        <f>典型户型修正办!R30</f>
        <v>#REF!</v>
      </c>
    </row>
    <row r="23" spans="1:10" ht="12.75">
      <c r="A23" s="2974" t="e">
        <f>#REF!</f>
        <v>#REF!</v>
      </c>
      <c r="B23" s="2974" t="s">
        <v>3166</v>
      </c>
      <c r="C23" s="2981" t="e">
        <f>#REF!</f>
        <v>#REF!</v>
      </c>
      <c r="D23" s="2974" t="e">
        <f>#REF!</f>
        <v>#REF!</v>
      </c>
      <c r="E23" s="2982" t="e">
        <f t="shared" ca="1" si="0"/>
        <v>#REF!</v>
      </c>
      <c r="F23" s="2982" t="e">
        <f t="shared" ca="1" si="0"/>
        <v>#REF!</v>
      </c>
      <c r="G23" s="2982" t="e">
        <f t="shared" ca="1" si="4"/>
        <v>#REF!</v>
      </c>
      <c r="H23" s="2982" t="e">
        <f t="shared" ca="1" si="5"/>
        <v>#REF!</v>
      </c>
      <c r="I23" s="2982" t="e">
        <f>典型户型修正办!S31</f>
        <v>#REF!</v>
      </c>
      <c r="J23" s="2982" t="e">
        <f>典型户型修正办!R31</f>
        <v>#REF!</v>
      </c>
    </row>
    <row r="24" spans="1:10" ht="12.75">
      <c r="A24" s="2974" t="e">
        <f>#REF!</f>
        <v>#REF!</v>
      </c>
      <c r="B24" s="2974" t="s">
        <v>3166</v>
      </c>
      <c r="C24" s="2981" t="e">
        <f>#REF!</f>
        <v>#REF!</v>
      </c>
      <c r="D24" s="2974" t="e">
        <f>#REF!</f>
        <v>#REF!</v>
      </c>
      <c r="E24" s="2982" t="e">
        <f t="shared" ca="1" si="0"/>
        <v>#REF!</v>
      </c>
      <c r="F24" s="2982" t="e">
        <f t="shared" ca="1" si="0"/>
        <v>#REF!</v>
      </c>
      <c r="G24" s="2982" t="e">
        <f t="shared" ca="1" si="4"/>
        <v>#REF!</v>
      </c>
      <c r="H24" s="2982" t="e">
        <f t="shared" ca="1" si="5"/>
        <v>#REF!</v>
      </c>
      <c r="I24" s="2982" t="e">
        <f>典型户型修正办!S32</f>
        <v>#REF!</v>
      </c>
      <c r="J24" s="2982" t="e">
        <f>典型户型修正办!R32</f>
        <v>#REF!</v>
      </c>
    </row>
    <row r="25" spans="1:10" ht="12.75">
      <c r="A25" s="2974" t="e">
        <f>#REF!</f>
        <v>#REF!</v>
      </c>
      <c r="B25" s="2974" t="s">
        <v>3166</v>
      </c>
      <c r="C25" s="2981" t="e">
        <f>#REF!</f>
        <v>#REF!</v>
      </c>
      <c r="D25" s="2974" t="e">
        <f>#REF!</f>
        <v>#REF!</v>
      </c>
      <c r="E25" s="2982" t="e">
        <f t="shared" ca="1" si="0"/>
        <v>#REF!</v>
      </c>
      <c r="F25" s="2982" t="e">
        <f t="shared" ca="1" si="0"/>
        <v>#REF!</v>
      </c>
      <c r="G25" s="2982" t="e">
        <f t="shared" ca="1" si="4"/>
        <v>#REF!</v>
      </c>
      <c r="H25" s="2982" t="e">
        <f t="shared" ca="1" si="5"/>
        <v>#REF!</v>
      </c>
      <c r="I25" s="2982" t="e">
        <f>典型户型修正办!S33</f>
        <v>#REF!</v>
      </c>
      <c r="J25" s="2982" t="e">
        <f>典型户型修正办!R33</f>
        <v>#REF!</v>
      </c>
    </row>
    <row r="26" spans="1:10" ht="12.75">
      <c r="A26" s="2974" t="e">
        <f>#REF!</f>
        <v>#REF!</v>
      </c>
      <c r="B26" s="2974" t="s">
        <v>3166</v>
      </c>
      <c r="C26" s="2981" t="e">
        <f>#REF!</f>
        <v>#REF!</v>
      </c>
      <c r="D26" s="2974" t="e">
        <f>#REF!</f>
        <v>#REF!</v>
      </c>
      <c r="E26" s="2982" t="e">
        <f t="shared" ca="1" si="0"/>
        <v>#REF!</v>
      </c>
      <c r="F26" s="2982" t="e">
        <f t="shared" ca="1" si="0"/>
        <v>#REF!</v>
      </c>
      <c r="G26" s="2982" t="e">
        <f t="shared" ca="1" si="4"/>
        <v>#REF!</v>
      </c>
      <c r="H26" s="2982" t="e">
        <f t="shared" ca="1" si="5"/>
        <v>#REF!</v>
      </c>
      <c r="I26" s="2982" t="e">
        <f>典型户型修正办!S34</f>
        <v>#REF!</v>
      </c>
      <c r="J26" s="2982" t="e">
        <f>典型户型修正办!R34</f>
        <v>#REF!</v>
      </c>
    </row>
    <row r="27" spans="1:10" ht="12.75">
      <c r="A27" s="2974" t="e">
        <f>#REF!</f>
        <v>#REF!</v>
      </c>
      <c r="B27" s="2974" t="s">
        <v>3166</v>
      </c>
      <c r="C27" s="2981" t="e">
        <f>#REF!</f>
        <v>#REF!</v>
      </c>
      <c r="D27" s="2974" t="e">
        <f>#REF!</f>
        <v>#REF!</v>
      </c>
      <c r="E27" s="2982" t="e">
        <f t="shared" ca="1" si="0"/>
        <v>#REF!</v>
      </c>
      <c r="F27" s="2982" t="e">
        <f t="shared" ca="1" si="0"/>
        <v>#REF!</v>
      </c>
      <c r="G27" s="2982" t="e">
        <f t="shared" ca="1" si="4"/>
        <v>#REF!</v>
      </c>
      <c r="H27" s="2982" t="e">
        <f t="shared" ca="1" si="5"/>
        <v>#REF!</v>
      </c>
      <c r="I27" s="2982" t="e">
        <f>典型户型修正办!S35</f>
        <v>#REF!</v>
      </c>
      <c r="J27" s="2982" t="e">
        <f>典型户型修正办!R35</f>
        <v>#REF!</v>
      </c>
    </row>
    <row r="28" spans="1:10" ht="12.75">
      <c r="A28" s="2974" t="e">
        <f>#REF!</f>
        <v>#REF!</v>
      </c>
      <c r="B28" s="2974" t="s">
        <v>3166</v>
      </c>
      <c r="C28" s="2981" t="e">
        <f>#REF!</f>
        <v>#REF!</v>
      </c>
      <c r="D28" s="2974" t="e">
        <f>#REF!</f>
        <v>#REF!</v>
      </c>
      <c r="E28" s="2982" t="e">
        <f t="shared" ca="1" si="0"/>
        <v>#REF!</v>
      </c>
      <c r="F28" s="2982" t="e">
        <f t="shared" ca="1" si="0"/>
        <v>#REF!</v>
      </c>
      <c r="G28" s="2982" t="e">
        <f t="shared" ca="1" si="4"/>
        <v>#REF!</v>
      </c>
      <c r="H28" s="2982" t="e">
        <f t="shared" ca="1" si="5"/>
        <v>#REF!</v>
      </c>
      <c r="I28" s="2982" t="e">
        <f>典型户型修正办!S36</f>
        <v>#REF!</v>
      </c>
      <c r="J28" s="2982" t="e">
        <f>典型户型修正办!R36</f>
        <v>#REF!</v>
      </c>
    </row>
    <row r="29" spans="1:10" ht="12.75">
      <c r="A29" s="2974" t="e">
        <f>#REF!</f>
        <v>#REF!</v>
      </c>
      <c r="B29" s="2974" t="s">
        <v>3166</v>
      </c>
      <c r="C29" s="2981" t="e">
        <f>#REF!</f>
        <v>#REF!</v>
      </c>
      <c r="D29" s="2974" t="e">
        <f>#REF!</f>
        <v>#REF!</v>
      </c>
      <c r="E29" s="2982" t="e">
        <f t="shared" ca="1" si="0"/>
        <v>#REF!</v>
      </c>
      <c r="F29" s="2982" t="e">
        <f t="shared" ca="1" si="0"/>
        <v>#REF!</v>
      </c>
      <c r="G29" s="2982" t="e">
        <f t="shared" ca="1" si="4"/>
        <v>#REF!</v>
      </c>
      <c r="H29" s="2982" t="e">
        <f t="shared" ca="1" si="5"/>
        <v>#REF!</v>
      </c>
      <c r="I29" s="2982" t="e">
        <f>典型户型修正办!S37</f>
        <v>#REF!</v>
      </c>
      <c r="J29" s="2982" t="e">
        <f>典型户型修正办!R37</f>
        <v>#REF!</v>
      </c>
    </row>
    <row r="30" spans="1:10" ht="12.75">
      <c r="A30" s="2974" t="e">
        <f>#REF!</f>
        <v>#REF!</v>
      </c>
      <c r="B30" s="2974" t="s">
        <v>3166</v>
      </c>
      <c r="C30" s="2981" t="e">
        <f>#REF!</f>
        <v>#REF!</v>
      </c>
      <c r="D30" s="2974" t="e">
        <f>#REF!</f>
        <v>#REF!</v>
      </c>
      <c r="E30" s="2982" t="e">
        <f t="shared" ca="1" si="0"/>
        <v>#REF!</v>
      </c>
      <c r="F30" s="2982" t="e">
        <f t="shared" ca="1" si="0"/>
        <v>#REF!</v>
      </c>
      <c r="G30" s="2982" t="e">
        <f t="shared" ca="1" si="4"/>
        <v>#REF!</v>
      </c>
      <c r="H30" s="2982" t="e">
        <f t="shared" ca="1" si="5"/>
        <v>#REF!</v>
      </c>
      <c r="I30" s="2982" t="e">
        <f>典型户型修正办!S38</f>
        <v>#REF!</v>
      </c>
      <c r="J30" s="2982" t="e">
        <f>典型户型修正办!R38</f>
        <v>#REF!</v>
      </c>
    </row>
    <row r="31" spans="1:10" ht="12.75">
      <c r="A31" s="2974" t="e">
        <f>#REF!</f>
        <v>#REF!</v>
      </c>
      <c r="B31" s="2974" t="s">
        <v>3166</v>
      </c>
      <c r="C31" s="2981" t="e">
        <f>#REF!</f>
        <v>#REF!</v>
      </c>
      <c r="D31" s="2974" t="e">
        <f>#REF!</f>
        <v>#REF!</v>
      </c>
      <c r="E31" s="2982" t="e">
        <f t="shared" ca="1" si="0"/>
        <v>#REF!</v>
      </c>
      <c r="F31" s="2982" t="e">
        <f t="shared" ca="1" si="0"/>
        <v>#REF!</v>
      </c>
      <c r="G31" s="2982" t="e">
        <f t="shared" ca="1" si="4"/>
        <v>#REF!</v>
      </c>
      <c r="H31" s="2982" t="e">
        <f t="shared" ca="1" si="5"/>
        <v>#REF!</v>
      </c>
      <c r="I31" s="2982" t="e">
        <f>典型户型修正办!S39</f>
        <v>#REF!</v>
      </c>
      <c r="J31" s="2982" t="e">
        <f>典型户型修正办!R39</f>
        <v>#REF!</v>
      </c>
    </row>
    <row r="32" spans="1:10" ht="12.75">
      <c r="A32" s="2974" t="e">
        <f>#REF!</f>
        <v>#REF!</v>
      </c>
      <c r="B32" s="2974" t="s">
        <v>3166</v>
      </c>
      <c r="C32" s="2981" t="e">
        <f>#REF!</f>
        <v>#REF!</v>
      </c>
      <c r="D32" s="2974" t="e">
        <f>#REF!</f>
        <v>#REF!</v>
      </c>
      <c r="E32" s="2982" t="e">
        <f t="shared" ca="1" si="0"/>
        <v>#REF!</v>
      </c>
      <c r="F32" s="2982" t="e">
        <f t="shared" ca="1" si="0"/>
        <v>#REF!</v>
      </c>
      <c r="G32" s="2982" t="e">
        <f t="shared" ca="1" si="4"/>
        <v>#REF!</v>
      </c>
      <c r="H32" s="2982" t="e">
        <f t="shared" ca="1" si="5"/>
        <v>#REF!</v>
      </c>
      <c r="I32" s="2982" t="e">
        <f>典型户型修正办!S40</f>
        <v>#REF!</v>
      </c>
      <c r="J32" s="2982" t="e">
        <f>典型户型修正办!R40</f>
        <v>#REF!</v>
      </c>
    </row>
    <row r="33" spans="1:10" ht="12.75">
      <c r="A33" s="2974" t="e">
        <f>#REF!</f>
        <v>#REF!</v>
      </c>
      <c r="B33" s="2974" t="s">
        <v>3166</v>
      </c>
      <c r="C33" s="2981" t="e">
        <f>#REF!</f>
        <v>#REF!</v>
      </c>
      <c r="D33" s="2974" t="e">
        <f>#REF!</f>
        <v>#REF!</v>
      </c>
      <c r="E33" s="2982" t="e">
        <f t="shared" ca="1" si="0"/>
        <v>#REF!</v>
      </c>
      <c r="F33" s="2982" t="e">
        <f t="shared" ca="1" si="0"/>
        <v>#REF!</v>
      </c>
      <c r="G33" s="2982" t="e">
        <f t="shared" ca="1" si="4"/>
        <v>#REF!</v>
      </c>
      <c r="H33" s="2982" t="e">
        <f t="shared" ca="1" si="5"/>
        <v>#REF!</v>
      </c>
      <c r="I33" s="2982" t="e">
        <f>典型户型修正办!S41</f>
        <v>#REF!</v>
      </c>
      <c r="J33" s="2982" t="e">
        <f>典型户型修正办!R41</f>
        <v>#REF!</v>
      </c>
    </row>
    <row r="34" spans="1:10" ht="12.75">
      <c r="A34" s="2974" t="e">
        <f>#REF!</f>
        <v>#REF!</v>
      </c>
      <c r="B34" s="2974" t="s">
        <v>3166</v>
      </c>
      <c r="C34" s="2981" t="e">
        <f>#REF!</f>
        <v>#REF!</v>
      </c>
      <c r="D34" s="2974" t="e">
        <f>#REF!</f>
        <v>#REF!</v>
      </c>
      <c r="E34" s="2982" t="e">
        <f t="shared" ca="1" si="0"/>
        <v>#REF!</v>
      </c>
      <c r="F34" s="2982" t="e">
        <f t="shared" ca="1" si="0"/>
        <v>#REF!</v>
      </c>
      <c r="G34" s="2982" t="e">
        <f t="shared" ca="1" si="4"/>
        <v>#REF!</v>
      </c>
      <c r="H34" s="2982" t="e">
        <f t="shared" ca="1" si="5"/>
        <v>#REF!</v>
      </c>
      <c r="I34" s="2982" t="e">
        <f>典型户型修正办!S42</f>
        <v>#REF!</v>
      </c>
      <c r="J34" s="2982" t="e">
        <f>典型户型修正办!R42</f>
        <v>#REF!</v>
      </c>
    </row>
    <row r="35" spans="1:10" ht="12.75">
      <c r="A35" s="2974" t="e">
        <f>#REF!</f>
        <v>#REF!</v>
      </c>
      <c r="B35" s="2974" t="s">
        <v>3166</v>
      </c>
      <c r="C35" s="2981" t="e">
        <f>#REF!</f>
        <v>#REF!</v>
      </c>
      <c r="D35" s="2974" t="e">
        <f>#REF!</f>
        <v>#REF!</v>
      </c>
      <c r="E35" s="2982" t="e">
        <f t="shared" ca="1" si="0"/>
        <v>#REF!</v>
      </c>
      <c r="F35" s="2982" t="e">
        <f t="shared" ca="1" si="0"/>
        <v>#REF!</v>
      </c>
      <c r="G35" s="2982" t="e">
        <f t="shared" ca="1" si="4"/>
        <v>#REF!</v>
      </c>
      <c r="H35" s="2982" t="e">
        <f t="shared" ca="1" si="5"/>
        <v>#REF!</v>
      </c>
      <c r="I35" s="2982" t="e">
        <f>典型户型修正办!S43</f>
        <v>#REF!</v>
      </c>
      <c r="J35" s="2982" t="e">
        <f>典型户型修正办!R43</f>
        <v>#REF!</v>
      </c>
    </row>
    <row r="36" spans="1:10" ht="12.75">
      <c r="A36" s="2974" t="e">
        <f>#REF!</f>
        <v>#REF!</v>
      </c>
      <c r="B36" s="2974" t="s">
        <v>3166</v>
      </c>
      <c r="C36" s="2981" t="e">
        <f>#REF!</f>
        <v>#REF!</v>
      </c>
      <c r="D36" s="2974" t="e">
        <f>#REF!</f>
        <v>#REF!</v>
      </c>
      <c r="E36" s="2982" t="e">
        <f t="shared" ca="1" si="0"/>
        <v>#REF!</v>
      </c>
      <c r="F36" s="2982" t="e">
        <f t="shared" ca="1" si="0"/>
        <v>#REF!</v>
      </c>
      <c r="G36" s="2982" t="e">
        <f t="shared" ca="1" si="4"/>
        <v>#REF!</v>
      </c>
      <c r="H36" s="2982" t="e">
        <f t="shared" ca="1" si="5"/>
        <v>#REF!</v>
      </c>
      <c r="I36" s="2982" t="e">
        <f>典型户型修正办!S44</f>
        <v>#REF!</v>
      </c>
      <c r="J36" s="2982" t="e">
        <f>典型户型修正办!R44</f>
        <v>#REF!</v>
      </c>
    </row>
    <row r="37" spans="1:10" ht="12.75">
      <c r="A37" s="2974" t="e">
        <f>#REF!</f>
        <v>#REF!</v>
      </c>
      <c r="B37" s="2974" t="s">
        <v>3166</v>
      </c>
      <c r="C37" s="2981" t="e">
        <f>#REF!</f>
        <v>#REF!</v>
      </c>
      <c r="D37" s="2974" t="e">
        <f>#REF!</f>
        <v>#REF!</v>
      </c>
      <c r="E37" s="2982" t="e">
        <f t="shared" ca="1" si="0"/>
        <v>#REF!</v>
      </c>
      <c r="F37" s="2982" t="e">
        <f t="shared" ca="1" si="0"/>
        <v>#REF!</v>
      </c>
      <c r="G37" s="2982" t="e">
        <f t="shared" ca="1" si="4"/>
        <v>#REF!</v>
      </c>
      <c r="H37" s="2982" t="e">
        <f t="shared" ca="1" si="5"/>
        <v>#REF!</v>
      </c>
      <c r="I37" s="2982" t="e">
        <f>典型户型修正办!S45</f>
        <v>#REF!</v>
      </c>
      <c r="J37" s="2982" t="e">
        <f>典型户型修正办!R45</f>
        <v>#REF!</v>
      </c>
    </row>
    <row r="38" spans="1:10" ht="12.75">
      <c r="A38" s="2974" t="e">
        <f>#REF!</f>
        <v>#REF!</v>
      </c>
      <c r="B38" s="2974" t="s">
        <v>3166</v>
      </c>
      <c r="C38" s="2981" t="e">
        <f>#REF!</f>
        <v>#REF!</v>
      </c>
      <c r="D38" s="2974" t="e">
        <f>#REF!</f>
        <v>#REF!</v>
      </c>
      <c r="E38" s="2982" t="e">
        <f t="shared" ca="1" si="0"/>
        <v>#REF!</v>
      </c>
      <c r="F38" s="2982" t="e">
        <f t="shared" ca="1" si="0"/>
        <v>#REF!</v>
      </c>
      <c r="G38" s="2982" t="e">
        <f t="shared" ca="1" si="4"/>
        <v>#REF!</v>
      </c>
      <c r="H38" s="2982" t="e">
        <f t="shared" ca="1" si="5"/>
        <v>#REF!</v>
      </c>
      <c r="I38" s="2982" t="e">
        <f>典型户型修正办!S46</f>
        <v>#REF!</v>
      </c>
      <c r="J38" s="2982" t="e">
        <f>典型户型修正办!R46</f>
        <v>#REF!</v>
      </c>
    </row>
    <row r="39" spans="1:10" ht="12.75">
      <c r="A39" s="2974" t="e">
        <f>#REF!</f>
        <v>#REF!</v>
      </c>
      <c r="B39" s="2974" t="s">
        <v>3166</v>
      </c>
      <c r="C39" s="2981" t="e">
        <f>#REF!</f>
        <v>#REF!</v>
      </c>
      <c r="D39" s="2974" t="e">
        <f>#REF!</f>
        <v>#REF!</v>
      </c>
      <c r="E39" s="2982" t="e">
        <f t="shared" ca="1" si="0"/>
        <v>#REF!</v>
      </c>
      <c r="F39" s="2982" t="e">
        <f t="shared" ca="1" si="0"/>
        <v>#REF!</v>
      </c>
      <c r="G39" s="2982" t="e">
        <f t="shared" ca="1" si="4"/>
        <v>#REF!</v>
      </c>
      <c r="H39" s="2982" t="e">
        <f t="shared" ca="1" si="5"/>
        <v>#REF!</v>
      </c>
      <c r="I39" s="2982" t="e">
        <f>典型户型修正办!S47</f>
        <v>#REF!</v>
      </c>
      <c r="J39" s="2982" t="e">
        <f>典型户型修正办!R47</f>
        <v>#REF!</v>
      </c>
    </row>
    <row r="40" spans="1:10" ht="12.75">
      <c r="A40" s="2974" t="e">
        <f>#REF!</f>
        <v>#REF!</v>
      </c>
      <c r="B40" s="2974" t="s">
        <v>3166</v>
      </c>
      <c r="C40" s="2981" t="e">
        <f>#REF!</f>
        <v>#REF!</v>
      </c>
      <c r="D40" s="2974" t="e">
        <f>#REF!</f>
        <v>#REF!</v>
      </c>
      <c r="E40" s="2982" t="e">
        <f t="shared" ca="1" si="0"/>
        <v>#REF!</v>
      </c>
      <c r="F40" s="2982" t="e">
        <f t="shared" ca="1" si="0"/>
        <v>#REF!</v>
      </c>
      <c r="G40" s="2982" t="e">
        <f t="shared" ca="1" si="4"/>
        <v>#REF!</v>
      </c>
      <c r="H40" s="2982" t="e">
        <f t="shared" ca="1" si="5"/>
        <v>#REF!</v>
      </c>
      <c r="I40" s="2982" t="e">
        <f>典型户型修正办!S48</f>
        <v>#REF!</v>
      </c>
      <c r="J40" s="2982" t="e">
        <f>典型户型修正办!R48</f>
        <v>#REF!</v>
      </c>
    </row>
    <row r="41" spans="1:10" ht="12.75">
      <c r="A41" s="2974" t="e">
        <f>#REF!</f>
        <v>#REF!</v>
      </c>
      <c r="B41" s="2974" t="s">
        <v>3166</v>
      </c>
      <c r="C41" s="2981" t="e">
        <f>#REF!</f>
        <v>#REF!</v>
      </c>
      <c r="D41" s="2974" t="e">
        <f>#REF!</f>
        <v>#REF!</v>
      </c>
      <c r="E41" s="2982" t="e">
        <f t="shared" ca="1" si="0"/>
        <v>#REF!</v>
      </c>
      <c r="F41" s="2982" t="e">
        <f t="shared" ca="1" si="0"/>
        <v>#REF!</v>
      </c>
      <c r="G41" s="2982" t="e">
        <f t="shared" ca="1" si="4"/>
        <v>#REF!</v>
      </c>
      <c r="H41" s="2982" t="e">
        <f t="shared" ca="1" si="5"/>
        <v>#REF!</v>
      </c>
      <c r="I41" s="2982" t="e">
        <f>典型户型修正办!S49</f>
        <v>#REF!</v>
      </c>
      <c r="J41" s="2982" t="e">
        <f>典型户型修正办!R49</f>
        <v>#REF!</v>
      </c>
    </row>
    <row r="42" spans="1:10" ht="12.75">
      <c r="A42" s="2974" t="e">
        <f>#REF!</f>
        <v>#REF!</v>
      </c>
      <c r="B42" s="2974" t="s">
        <v>3166</v>
      </c>
      <c r="C42" s="2981" t="e">
        <f>#REF!</f>
        <v>#REF!</v>
      </c>
      <c r="D42" s="2974" t="e">
        <f>#REF!</f>
        <v>#REF!</v>
      </c>
      <c r="E42" s="2982" t="e">
        <f t="shared" ca="1" si="0"/>
        <v>#REF!</v>
      </c>
      <c r="F42" s="2982" t="e">
        <f t="shared" ca="1" si="0"/>
        <v>#REF!</v>
      </c>
      <c r="G42" s="2982" t="e">
        <f t="shared" ca="1" si="4"/>
        <v>#REF!</v>
      </c>
      <c r="H42" s="2982" t="e">
        <f t="shared" ca="1" si="5"/>
        <v>#REF!</v>
      </c>
      <c r="I42" s="2982" t="e">
        <f>典型户型修正办!S50</f>
        <v>#REF!</v>
      </c>
      <c r="J42" s="2982" t="e">
        <f>典型户型修正办!R50</f>
        <v>#REF!</v>
      </c>
    </row>
    <row r="43" spans="1:10" ht="12.75">
      <c r="A43" s="2974" t="e">
        <f>#REF!</f>
        <v>#REF!</v>
      </c>
      <c r="B43" s="2974" t="s">
        <v>3166</v>
      </c>
      <c r="C43" s="2981" t="e">
        <f>#REF!</f>
        <v>#REF!</v>
      </c>
      <c r="D43" s="2974" t="e">
        <f>#REF!</f>
        <v>#REF!</v>
      </c>
      <c r="E43" s="2982" t="e">
        <f t="shared" ca="1" si="0"/>
        <v>#REF!</v>
      </c>
      <c r="F43" s="2982" t="e">
        <f t="shared" ca="1" si="0"/>
        <v>#REF!</v>
      </c>
      <c r="G43" s="2982" t="e">
        <f t="shared" ca="1" si="4"/>
        <v>#REF!</v>
      </c>
      <c r="H43" s="2982" t="e">
        <f t="shared" ca="1" si="5"/>
        <v>#REF!</v>
      </c>
      <c r="I43" s="2982" t="e">
        <f>典型户型修正办!S51</f>
        <v>#REF!</v>
      </c>
      <c r="J43" s="2982" t="e">
        <f>典型户型修正办!R51</f>
        <v>#REF!</v>
      </c>
    </row>
    <row r="44" spans="1:10" ht="12.75">
      <c r="A44" s="2974" t="e">
        <f>#REF!</f>
        <v>#REF!</v>
      </c>
      <c r="B44" s="2974" t="s">
        <v>3166</v>
      </c>
      <c r="C44" s="2981" t="e">
        <f>#REF!</f>
        <v>#REF!</v>
      </c>
      <c r="D44" s="2974" t="e">
        <f>#REF!</f>
        <v>#REF!</v>
      </c>
      <c r="E44" s="2982" t="e">
        <f t="shared" ca="1" si="0"/>
        <v>#REF!</v>
      </c>
      <c r="F44" s="2982" t="e">
        <f t="shared" ca="1" si="0"/>
        <v>#REF!</v>
      </c>
      <c r="G44" s="2982" t="e">
        <f t="shared" ca="1" si="4"/>
        <v>#REF!</v>
      </c>
      <c r="H44" s="2982" t="e">
        <f t="shared" ca="1" si="5"/>
        <v>#REF!</v>
      </c>
      <c r="I44" s="2982" t="e">
        <f>典型户型修正办!S52</f>
        <v>#REF!</v>
      </c>
      <c r="J44" s="2982" t="e">
        <f>典型户型修正办!R52</f>
        <v>#REF!</v>
      </c>
    </row>
    <row r="45" spans="1:10" ht="12.75">
      <c r="A45" s="2974" t="e">
        <f>#REF!</f>
        <v>#REF!</v>
      </c>
      <c r="B45" s="2974" t="s">
        <v>3166</v>
      </c>
      <c r="C45" s="2981" t="e">
        <f>#REF!</f>
        <v>#REF!</v>
      </c>
      <c r="D45" s="2974" t="e">
        <f>#REF!</f>
        <v>#REF!</v>
      </c>
      <c r="E45" s="2982" t="e">
        <f t="shared" ca="1" si="0"/>
        <v>#REF!</v>
      </c>
      <c r="F45" s="2982" t="e">
        <f t="shared" ca="1" si="0"/>
        <v>#REF!</v>
      </c>
      <c r="G45" s="2982" t="e">
        <f t="shared" ca="1" si="4"/>
        <v>#REF!</v>
      </c>
      <c r="H45" s="2982" t="e">
        <f t="shared" ca="1" si="5"/>
        <v>#REF!</v>
      </c>
      <c r="I45" s="2982" t="e">
        <f>典型户型修正办!S53</f>
        <v>#REF!</v>
      </c>
      <c r="J45" s="2982" t="e">
        <f>典型户型修正办!R53</f>
        <v>#REF!</v>
      </c>
    </row>
    <row r="46" spans="1:10" ht="12.75">
      <c r="A46" s="2974" t="e">
        <f>#REF!</f>
        <v>#REF!</v>
      </c>
      <c r="B46" s="2974" t="s">
        <v>3166</v>
      </c>
      <c r="C46" s="2981" t="e">
        <f>#REF!</f>
        <v>#REF!</v>
      </c>
      <c r="D46" s="2974" t="e">
        <f>#REF!</f>
        <v>#REF!</v>
      </c>
      <c r="E46" s="2982" t="e">
        <f t="shared" ca="1" si="0"/>
        <v>#REF!</v>
      </c>
      <c r="F46" s="2982" t="e">
        <f t="shared" ca="1" si="0"/>
        <v>#REF!</v>
      </c>
      <c r="G46" s="2982" t="e">
        <f t="shared" ca="1" si="4"/>
        <v>#REF!</v>
      </c>
      <c r="H46" s="2982" t="e">
        <f t="shared" ca="1" si="5"/>
        <v>#REF!</v>
      </c>
      <c r="I46" s="2982" t="e">
        <f>典型户型修正办!S54</f>
        <v>#REF!</v>
      </c>
      <c r="J46" s="2982" t="e">
        <f>典型户型修正办!R54</f>
        <v>#REF!</v>
      </c>
    </row>
    <row r="47" spans="1:10" ht="12.75">
      <c r="A47" s="2974" t="e">
        <f>#REF!</f>
        <v>#REF!</v>
      </c>
      <c r="B47" s="2974" t="s">
        <v>3166</v>
      </c>
      <c r="C47" s="2981" t="e">
        <f>#REF!</f>
        <v>#REF!</v>
      </c>
      <c r="D47" s="2974" t="e">
        <f>#REF!</f>
        <v>#REF!</v>
      </c>
      <c r="E47" s="2982" t="e">
        <f t="shared" ca="1" si="0"/>
        <v>#REF!</v>
      </c>
      <c r="F47" s="2982" t="e">
        <f t="shared" ca="1" si="0"/>
        <v>#REF!</v>
      </c>
      <c r="G47" s="2982" t="e">
        <f t="shared" ca="1" si="4"/>
        <v>#REF!</v>
      </c>
      <c r="H47" s="2982" t="e">
        <f t="shared" ca="1" si="5"/>
        <v>#REF!</v>
      </c>
      <c r="I47" s="2982" t="e">
        <f>典型户型修正办!S55</f>
        <v>#REF!</v>
      </c>
      <c r="J47" s="2982" t="e">
        <f>典型户型修正办!R55</f>
        <v>#REF!</v>
      </c>
    </row>
    <row r="48" spans="1:10" ht="12.75">
      <c r="A48" s="2974" t="e">
        <f>#REF!</f>
        <v>#REF!</v>
      </c>
      <c r="B48" s="2974" t="s">
        <v>3166</v>
      </c>
      <c r="C48" s="2981" t="e">
        <f>#REF!</f>
        <v>#REF!</v>
      </c>
      <c r="D48" s="2974" t="e">
        <f>#REF!</f>
        <v>#REF!</v>
      </c>
      <c r="E48" s="2982" t="e">
        <f t="shared" ca="1" si="0"/>
        <v>#REF!</v>
      </c>
      <c r="F48" s="2982" t="e">
        <f t="shared" ca="1" si="0"/>
        <v>#REF!</v>
      </c>
      <c r="G48" s="2982" t="e">
        <f t="shared" ca="1" si="4"/>
        <v>#REF!</v>
      </c>
      <c r="H48" s="2982" t="e">
        <f t="shared" ca="1" si="5"/>
        <v>#REF!</v>
      </c>
      <c r="I48" s="2982" t="e">
        <f>典型户型修正办!S56</f>
        <v>#REF!</v>
      </c>
      <c r="J48" s="2982" t="e">
        <f>典型户型修正办!R56</f>
        <v>#REF!</v>
      </c>
    </row>
    <row r="49" spans="1:11" ht="12.75">
      <c r="A49" s="2974" t="e">
        <f>#REF!</f>
        <v>#REF!</v>
      </c>
      <c r="B49" s="2974" t="s">
        <v>3166</v>
      </c>
      <c r="C49" s="2981" t="e">
        <f>#REF!</f>
        <v>#REF!</v>
      </c>
      <c r="D49" s="2974" t="e">
        <f>#REF!</f>
        <v>#REF!</v>
      </c>
      <c r="E49" s="2982" t="e">
        <f t="shared" ca="1" si="0"/>
        <v>#REF!</v>
      </c>
      <c r="F49" s="2982" t="e">
        <f t="shared" ca="1" si="0"/>
        <v>#REF!</v>
      </c>
      <c r="G49" s="2982" t="e">
        <f t="shared" ca="1" si="4"/>
        <v>#REF!</v>
      </c>
      <c r="H49" s="2982" t="e">
        <f t="shared" ca="1" si="5"/>
        <v>#REF!</v>
      </c>
      <c r="I49" s="2982" t="e">
        <f>典型户型修正办!S57</f>
        <v>#REF!</v>
      </c>
      <c r="J49" s="2982" t="e">
        <f>典型户型修正办!R57</f>
        <v>#REF!</v>
      </c>
    </row>
    <row r="50" spans="1:11" ht="12.75">
      <c r="A50" s="2974" t="e">
        <f>#REF!</f>
        <v>#REF!</v>
      </c>
      <c r="B50" s="2974" t="s">
        <v>3166</v>
      </c>
      <c r="C50" s="2981" t="e">
        <f>#REF!</f>
        <v>#REF!</v>
      </c>
      <c r="D50" s="2974" t="e">
        <f>#REF!</f>
        <v>#REF!</v>
      </c>
      <c r="E50" s="2982" t="e">
        <f t="shared" ca="1" si="0"/>
        <v>#REF!</v>
      </c>
      <c r="F50" s="2982" t="e">
        <f t="shared" ca="1" si="0"/>
        <v>#REF!</v>
      </c>
      <c r="G50" s="2982" t="e">
        <f t="shared" ca="1" si="4"/>
        <v>#REF!</v>
      </c>
      <c r="H50" s="2982" t="e">
        <f t="shared" ca="1" si="5"/>
        <v>#REF!</v>
      </c>
      <c r="I50" s="2982" t="e">
        <f>典型户型修正办!S58</f>
        <v>#REF!</v>
      </c>
      <c r="J50" s="2982" t="e">
        <f>典型户型修正办!R58</f>
        <v>#REF!</v>
      </c>
    </row>
    <row r="51" spans="1:11" ht="12.75">
      <c r="A51" s="2974" t="e">
        <f>#REF!</f>
        <v>#REF!</v>
      </c>
      <c r="B51" s="2974" t="s">
        <v>3166</v>
      </c>
      <c r="C51" s="2981" t="e">
        <f>#REF!</f>
        <v>#REF!</v>
      </c>
      <c r="D51" s="2974" t="e">
        <f>#REF!</f>
        <v>#REF!</v>
      </c>
      <c r="E51" s="2982" t="e">
        <f t="shared" ca="1" si="0"/>
        <v>#REF!</v>
      </c>
      <c r="F51" s="2982" t="e">
        <f t="shared" ca="1" si="0"/>
        <v>#REF!</v>
      </c>
      <c r="G51" s="2982" t="e">
        <f t="shared" ca="1" si="4"/>
        <v>#REF!</v>
      </c>
      <c r="H51" s="2982" t="e">
        <f t="shared" ca="1" si="5"/>
        <v>#REF!</v>
      </c>
      <c r="I51" s="2982" t="e">
        <f>典型户型修正办!S59</f>
        <v>#REF!</v>
      </c>
      <c r="J51" s="2982" t="e">
        <f>典型户型修正办!R59</f>
        <v>#REF!</v>
      </c>
    </row>
    <row r="52" spans="1:11" ht="12.75">
      <c r="A52" s="2974" t="e">
        <f>#REF!</f>
        <v>#REF!</v>
      </c>
      <c r="B52" s="2974" t="s">
        <v>3166</v>
      </c>
      <c r="C52" s="2981" t="e">
        <f>#REF!</f>
        <v>#REF!</v>
      </c>
      <c r="D52" s="2974" t="e">
        <f>#REF!</f>
        <v>#REF!</v>
      </c>
      <c r="E52" s="2982" t="e">
        <f t="shared" ca="1" si="0"/>
        <v>#REF!</v>
      </c>
      <c r="F52" s="2982" t="e">
        <f t="shared" ca="1" si="0"/>
        <v>#REF!</v>
      </c>
      <c r="G52" s="2982" t="e">
        <f t="shared" ca="1" si="4"/>
        <v>#REF!</v>
      </c>
      <c r="H52" s="2982" t="e">
        <f t="shared" ca="1" si="5"/>
        <v>#REF!</v>
      </c>
      <c r="I52" s="2982" t="e">
        <f>典型户型修正办!S60</f>
        <v>#REF!</v>
      </c>
      <c r="J52" s="2982" t="e">
        <f>典型户型修正办!R60</f>
        <v>#REF!</v>
      </c>
    </row>
    <row r="53" spans="1:11" s="2985" customFormat="1" ht="12.75">
      <c r="A53" s="3519" t="s">
        <v>3167</v>
      </c>
      <c r="B53" s="3520"/>
      <c r="C53" s="2983" t="e">
        <f>SUM(C16:C52)</f>
        <v>#REF!</v>
      </c>
      <c r="D53" s="2983" t="e">
        <f>SUM(D16:D52)</f>
        <v>#REF!</v>
      </c>
      <c r="E53" s="2984" t="e">
        <f ca="1">SUM(E16:E52)</f>
        <v>#REF!</v>
      </c>
      <c r="F53" s="2984" t="e">
        <f t="shared" ca="1" si="0"/>
        <v>#REF!</v>
      </c>
      <c r="G53" s="2984" t="e">
        <f ca="1">SUM(G16:G52)</f>
        <v>#REF!</v>
      </c>
      <c r="H53" s="2984" t="e">
        <f ca="1">ROUND(G53/C53*10000,0)</f>
        <v>#REF!</v>
      </c>
      <c r="I53" s="2984" t="e">
        <f>SUM(I16:I52)</f>
        <v>#REF!</v>
      </c>
      <c r="J53" s="2984" t="e">
        <f>ROUND(I53/C53*10000,0)</f>
        <v>#REF!</v>
      </c>
      <c r="K53" s="2985" t="e">
        <f ca="1">G53+E53</f>
        <v>#REF!</v>
      </c>
    </row>
    <row r="54" spans="1:11" ht="12.75">
      <c r="A54" s="2956" t="s">
        <v>3151</v>
      </c>
      <c r="B54" s="2956" t="s">
        <v>3168</v>
      </c>
      <c r="C54" s="2981">
        <v>1949.34</v>
      </c>
      <c r="D54" s="2956">
        <v>184.92</v>
      </c>
      <c r="E54" s="2982" t="e">
        <f t="shared" ca="1" si="0"/>
        <v>#N/A</v>
      </c>
      <c r="F54" s="2982" t="e">
        <f t="shared" ca="1" si="0"/>
        <v>#N/A</v>
      </c>
      <c r="G54" s="2982" t="e">
        <f ca="1">ROUND(I54*$K$54,0)</f>
        <v>#N/A</v>
      </c>
      <c r="H54" s="2982" t="e">
        <f ca="1">ROUND(G54/C54*10000,0)</f>
        <v>#N/A</v>
      </c>
      <c r="I54" s="2982" t="e">
        <f ca="1">ROUND(J54*C54/10000,0)</f>
        <v>#N/A</v>
      </c>
      <c r="J54" s="2982" t="e">
        <f ca="1">结果表酒店!G20</f>
        <v>#N/A</v>
      </c>
      <c r="K54" s="2979" t="e">
        <f ca="1">收益法酒店!C13/收益法酒店!C40</f>
        <v>#N/A</v>
      </c>
    </row>
    <row r="55" spans="1:11" ht="12.75">
      <c r="A55" s="2956" t="s">
        <v>3152</v>
      </c>
      <c r="B55" s="2956" t="s">
        <v>3169</v>
      </c>
      <c r="C55" s="2981">
        <v>153.44999999999999</v>
      </c>
      <c r="D55" s="2956">
        <v>14.56</v>
      </c>
      <c r="E55" s="2982" t="e">
        <f t="shared" ca="1" si="0"/>
        <v>#N/A</v>
      </c>
      <c r="F55" s="2982" t="e">
        <f t="shared" ca="1" si="0"/>
        <v>#N/A</v>
      </c>
      <c r="G55" s="2982" t="e">
        <f ca="1">ROUND(I55*$K$54,0)</f>
        <v>#N/A</v>
      </c>
      <c r="H55" s="2982" t="e">
        <f ca="1">H54</f>
        <v>#N/A</v>
      </c>
      <c r="I55" s="2982" t="e">
        <f ca="1">结果表酒店!G19-I54</f>
        <v>#N/A</v>
      </c>
      <c r="J55" s="2982" t="e">
        <f ca="1">J54</f>
        <v>#N/A</v>
      </c>
    </row>
    <row r="56" spans="1:11" s="2985" customFormat="1" ht="12.75">
      <c r="A56" s="3519" t="s">
        <v>3170</v>
      </c>
      <c r="B56" s="3520"/>
      <c r="C56" s="2983">
        <f>SUM(C54:C55)</f>
        <v>2102.79</v>
      </c>
      <c r="D56" s="2983">
        <f>SUM(D54:D55)</f>
        <v>199.48</v>
      </c>
      <c r="E56" s="2984" t="e">
        <f ca="1">SUM(E54:E55)</f>
        <v>#N/A</v>
      </c>
      <c r="F56" s="2984" t="e">
        <f ca="1">F55</f>
        <v>#N/A</v>
      </c>
      <c r="G56" s="2984" t="e">
        <f ca="1">SUM(G54:G55)</f>
        <v>#N/A</v>
      </c>
      <c r="H56" s="2984" t="e">
        <f ca="1">H55</f>
        <v>#N/A</v>
      </c>
      <c r="I56" s="2984" t="e">
        <f ca="1">SUM(I54:I55)</f>
        <v>#N/A</v>
      </c>
      <c r="J56" s="2984" t="e">
        <f ca="1">J55</f>
        <v>#N/A</v>
      </c>
      <c r="K56" s="2985" t="e">
        <f ca="1">G56+E56</f>
        <v>#N/A</v>
      </c>
    </row>
    <row r="57" spans="1:11" s="2985" customFormat="1" ht="12.75">
      <c r="A57" s="3521" t="s">
        <v>3171</v>
      </c>
      <c r="B57" s="3522"/>
      <c r="C57" s="2983" t="e">
        <f>C56+C53+C15</f>
        <v>#REF!</v>
      </c>
      <c r="D57" s="2983" t="e">
        <f>D56+D53+D15</f>
        <v>#REF!</v>
      </c>
      <c r="E57" s="3523" t="e">
        <f ca="1">E56+E53+E15</f>
        <v>#N/A</v>
      </c>
      <c r="F57" s="3523"/>
      <c r="G57" s="3523" t="e">
        <f ca="1">G56+G53+G15</f>
        <v>#N/A</v>
      </c>
      <c r="H57" s="3523"/>
      <c r="I57" s="3523" t="e">
        <f ca="1">I56+I53+I15</f>
        <v>#N/A</v>
      </c>
      <c r="J57" s="3523"/>
    </row>
    <row r="58" spans="1:11" ht="12.75">
      <c r="A58" s="2986"/>
      <c r="B58" s="2986"/>
      <c r="C58" s="2987"/>
      <c r="D58" s="2988"/>
      <c r="E58" s="3516" t="e">
        <f ca="1">E57*10000</f>
        <v>#N/A</v>
      </c>
      <c r="F58" s="3516"/>
      <c r="G58" s="3516" t="e">
        <f ca="1">G57*10000</f>
        <v>#N/A</v>
      </c>
      <c r="H58" s="3516"/>
      <c r="I58" s="3516" t="e">
        <f ca="1">I57*10000</f>
        <v>#N/A</v>
      </c>
      <c r="J58" s="3516"/>
    </row>
    <row r="59" spans="1:11">
      <c r="A59" s="3517" t="s">
        <v>3172</v>
      </c>
      <c r="B59" s="3517"/>
      <c r="C59" s="3517"/>
      <c r="D59" s="3517"/>
      <c r="E59" s="3517"/>
      <c r="F59" s="3517"/>
      <c r="G59" s="3517"/>
      <c r="H59" s="3517"/>
      <c r="I59" s="3517"/>
      <c r="J59" s="3517"/>
    </row>
    <row r="60" spans="1:11">
      <c r="C60" s="2979">
        <f>[2]汉威!$C$62</f>
        <v>41487.209999999985</v>
      </c>
    </row>
    <row r="61" spans="1:11">
      <c r="C61" s="2989" t="e">
        <f>C57-C60</f>
        <v>#REF!</v>
      </c>
    </row>
  </sheetData>
  <mergeCells count="18">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23" t="str">
        <f>项目基本情况!B1</f>
        <v>山东省聊城万达欢乐小镇（万达广场）二层房地产抵押价值预评估</v>
      </c>
      <c r="C37" s="3423"/>
      <c r="D37" s="3423"/>
      <c r="E37" s="3423"/>
      <c r="F37" s="3423"/>
      <c r="G37" s="3423"/>
      <c r="H37" s="3423"/>
      <c r="I37" s="3423"/>
    </row>
    <row r="38" spans="1:9">
      <c r="A38" s="1006"/>
      <c r="B38" s="1006"/>
    </row>
    <row r="39" spans="1:9">
      <c r="A39" s="1004" t="s">
        <v>818</v>
      </c>
      <c r="B39" s="1004" t="s">
        <v>820</v>
      </c>
    </row>
    <row r="40" spans="1:9">
      <c r="A40" s="1004"/>
      <c r="B40" s="1921">
        <f>项目基本情况!B5</f>
        <v>0</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I118" sqref="I118"/>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3663</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2.75">
      <c r="A3" s="3561" t="s">
        <v>2107</v>
      </c>
      <c r="B3" s="3562"/>
      <c r="C3" s="3562"/>
      <c r="D3" s="3562"/>
      <c r="E3" s="3562"/>
      <c r="F3" s="3562"/>
      <c r="G3" s="3562"/>
      <c r="H3" s="3562"/>
      <c r="I3" s="3562"/>
    </row>
    <row r="4" spans="1:12" ht="14.25">
      <c r="A4" s="2395" t="s">
        <v>2108</v>
      </c>
      <c r="B4" s="2396" t="s">
        <v>2109</v>
      </c>
      <c r="C4" s="2397" t="s">
        <v>3667</v>
      </c>
      <c r="D4" s="2397" t="s">
        <v>3666</v>
      </c>
      <c r="E4" s="3554" t="s">
        <v>2110</v>
      </c>
      <c r="F4" s="3555"/>
      <c r="G4" s="3555"/>
      <c r="H4" s="3555"/>
      <c r="I4" s="3563"/>
      <c r="K4" s="2398" t="str">
        <f>IF(ISNUMBER(FIND("比较法",结果表!C4)),"比较法",IF(ISNUMBER(FIND("成本法",结果表!C4)),"成本法",IF(ISNUMBER(FIND("假设开发法",结果表!C4)),"假设开发法",IF(ISNUMBER(FIND("收益法",结果表!C4)),"收益法","基准地价系数修正法"))))</f>
        <v>比较法</v>
      </c>
      <c r="L4" s="2398" t="str">
        <f>IF(ISNUMBER(FIND("比较法",结果表!D4)),"比较法",IF(ISNUMBER(FIND("成本法",结果表!D4)),"成本法",IF(ISNUMBER(FIND("假设开发法",结果表!D4)),"假设开发法",IF(ISNUMBER(FIND("收益法",结果表!D4)),"收益法","基准地价系数修正法"))))</f>
        <v>收益法</v>
      </c>
    </row>
    <row r="5" spans="1:12" ht="12.75">
      <c r="A5" s="3537" t="s">
        <v>2111</v>
      </c>
      <c r="B5" s="3466">
        <v>25</v>
      </c>
      <c r="C5" s="3540"/>
      <c r="D5" s="3560"/>
      <c r="E5" s="140" t="s">
        <v>2112</v>
      </c>
      <c r="F5" s="2399"/>
      <c r="G5" s="2399"/>
      <c r="H5" s="2399"/>
      <c r="I5" s="1811"/>
    </row>
    <row r="6" spans="1:12" ht="12.75">
      <c r="A6" s="3537"/>
      <c r="B6" s="3466"/>
      <c r="C6" s="3541"/>
      <c r="D6" s="3560"/>
      <c r="E6" s="140" t="s">
        <v>2113</v>
      </c>
      <c r="F6" s="2399"/>
      <c r="G6" s="2399"/>
      <c r="H6" s="2399"/>
      <c r="I6" s="1811"/>
    </row>
    <row r="7" spans="1:12" ht="12.75">
      <c r="A7" s="3537"/>
      <c r="B7" s="3466"/>
      <c r="C7" s="3542"/>
      <c r="D7" s="3560"/>
      <c r="E7" s="140" t="s">
        <v>2114</v>
      </c>
      <c r="F7" s="2399"/>
      <c r="G7" s="2399"/>
      <c r="H7" s="2399"/>
      <c r="I7" s="1811"/>
    </row>
    <row r="8" spans="1:12" ht="12.75">
      <c r="A8" s="3537" t="s">
        <v>2115</v>
      </c>
      <c r="B8" s="3466">
        <v>15</v>
      </c>
      <c r="C8" s="3540"/>
      <c r="D8" s="3560"/>
      <c r="E8" s="140" t="s">
        <v>2116</v>
      </c>
      <c r="F8" s="2399"/>
      <c r="G8" s="2399"/>
      <c r="H8" s="2399"/>
      <c r="I8" s="1811"/>
    </row>
    <row r="9" spans="1:12" ht="12.75">
      <c r="A9" s="3537"/>
      <c r="B9" s="3466"/>
      <c r="C9" s="3542"/>
      <c r="D9" s="3560"/>
      <c r="E9" s="140" t="s">
        <v>2117</v>
      </c>
      <c r="F9" s="2399"/>
      <c r="G9" s="2399"/>
      <c r="H9" s="2399"/>
      <c r="I9" s="1811"/>
    </row>
    <row r="10" spans="1:12" ht="12.75">
      <c r="A10" s="3537" t="s">
        <v>2118</v>
      </c>
      <c r="B10" s="3466">
        <v>15</v>
      </c>
      <c r="C10" s="3540"/>
      <c r="D10" s="3560"/>
      <c r="E10" s="140" t="s">
        <v>2119</v>
      </c>
      <c r="F10" s="2399"/>
      <c r="G10" s="2399"/>
      <c r="H10" s="2399"/>
      <c r="I10" s="1811"/>
    </row>
    <row r="11" spans="1:12" ht="12.75">
      <c r="A11" s="3537"/>
      <c r="B11" s="3466"/>
      <c r="C11" s="3542"/>
      <c r="D11" s="3560"/>
      <c r="E11" s="140" t="s">
        <v>2120</v>
      </c>
      <c r="F11" s="2399"/>
      <c r="G11" s="2399"/>
      <c r="H11" s="2399"/>
      <c r="I11" s="1811"/>
    </row>
    <row r="12" spans="1:12" ht="12.75">
      <c r="A12" s="3537" t="s">
        <v>2121</v>
      </c>
      <c r="B12" s="3466">
        <v>15</v>
      </c>
      <c r="C12" s="3540"/>
      <c r="D12" s="3560"/>
      <c r="E12" s="140" t="s">
        <v>2122</v>
      </c>
      <c r="F12" s="2399"/>
      <c r="G12" s="2399"/>
      <c r="H12" s="2399"/>
      <c r="I12" s="1811"/>
    </row>
    <row r="13" spans="1:12" ht="12.75">
      <c r="A13" s="3537"/>
      <c r="B13" s="3466"/>
      <c r="C13" s="3542"/>
      <c r="D13" s="3560"/>
      <c r="E13" s="140" t="s">
        <v>2123</v>
      </c>
      <c r="F13" s="2399"/>
      <c r="G13" s="2399"/>
      <c r="H13" s="2399"/>
      <c r="I13" s="1811"/>
    </row>
    <row r="14" spans="1:12" ht="12.75">
      <c r="A14" s="3537" t="s">
        <v>2124</v>
      </c>
      <c r="B14" s="3466">
        <v>30</v>
      </c>
      <c r="C14" s="3540">
        <v>45</v>
      </c>
      <c r="D14" s="3560">
        <v>55</v>
      </c>
      <c r="E14" s="140" t="s">
        <v>2125</v>
      </c>
      <c r="F14" s="2399"/>
      <c r="G14" s="2399"/>
      <c r="H14" s="2399"/>
      <c r="I14" s="1811"/>
    </row>
    <row r="15" spans="1:12" ht="12.75">
      <c r="A15" s="3537"/>
      <c r="B15" s="3466"/>
      <c r="C15" s="3541"/>
      <c r="D15" s="3560"/>
      <c r="E15" s="140" t="s">
        <v>2126</v>
      </c>
      <c r="F15" s="2399"/>
      <c r="G15" s="2399"/>
      <c r="H15" s="2399"/>
      <c r="I15" s="1811"/>
    </row>
    <row r="16" spans="1:12" ht="12.75">
      <c r="A16" s="3537"/>
      <c r="B16" s="3466"/>
      <c r="C16" s="3542"/>
      <c r="D16" s="3560"/>
      <c r="E16" s="140" t="s">
        <v>2127</v>
      </c>
      <c r="F16" s="2399"/>
      <c r="G16" s="2399"/>
      <c r="H16" s="2399"/>
      <c r="I16" s="1811"/>
    </row>
    <row r="17" spans="1:35" ht="15">
      <c r="A17" s="2400" t="s">
        <v>2128</v>
      </c>
      <c r="B17" s="64"/>
      <c r="C17" s="141">
        <f>SUM(C5:C16)</f>
        <v>45</v>
      </c>
      <c r="D17" s="141">
        <f>SUM(D5:D16)</f>
        <v>55</v>
      </c>
      <c r="E17" s="138"/>
      <c r="F17" s="138"/>
      <c r="G17" s="138"/>
      <c r="H17" s="138"/>
      <c r="I17" s="138"/>
      <c r="K17" s="2398"/>
      <c r="L17" s="2401" t="s">
        <v>2129</v>
      </c>
      <c r="M17" s="2401" t="s">
        <v>2130</v>
      </c>
    </row>
    <row r="18" spans="1:35" ht="15.75" thickBot="1">
      <c r="A18" s="2402" t="s">
        <v>2131</v>
      </c>
      <c r="B18" s="2403"/>
      <c r="C18" s="142">
        <f>ROUND(C17/SUM(C17:D17),2)</f>
        <v>0.45</v>
      </c>
      <c r="D18" s="142">
        <f>1-C18</f>
        <v>0.55000000000000004</v>
      </c>
      <c r="E18" s="138"/>
      <c r="F18" s="138"/>
      <c r="G18" s="138"/>
      <c r="H18" s="138"/>
      <c r="I18" s="138"/>
      <c r="K18" s="2398" t="s">
        <v>2132</v>
      </c>
      <c r="L18" s="2398">
        <f>IF(C1="",'数据-汇总表'!E3,SUMIF(项目类型,C1,'数据-汇总表'!E17:E26)+SUMIF(项目类型,C1,'数据-汇总表'!I17:I26))</f>
        <v>24348.570000000003</v>
      </c>
      <c r="M18" s="2398">
        <f>IF(C1="",'数据-汇总表'!E3,SUMIF(项目类型,C1,'数据-汇总表'!E17:E26))</f>
        <v>24348.570000000003</v>
      </c>
    </row>
    <row r="19" spans="1:35" ht="15">
      <c r="A19" s="2404" t="s">
        <v>2133</v>
      </c>
      <c r="B19" s="2405" t="s">
        <v>2134</v>
      </c>
      <c r="C19" s="143">
        <f ca="1">SUMIF(INDIRECT("'"&amp;C4&amp;"'"&amp;"!A:A"),结果表!B19,INDIRECT("'"&amp;C4&amp;"'"&amp;"!B:B"))</f>
        <v>54838</v>
      </c>
      <c r="D19" s="144">
        <f ca="1">SUMIF(INDIRECT("'"&amp;D4&amp;"'"&amp;"!A:A"),结果表!B19,INDIRECT("'"&amp;D4&amp;"'"&amp;"!B:B"))</f>
        <v>29808</v>
      </c>
      <c r="E19" s="2404" t="s">
        <v>2135</v>
      </c>
      <c r="F19" s="2405" t="s">
        <v>2134</v>
      </c>
      <c r="G19" s="145">
        <f ca="1">ROUND(C19*$C$18+D19*$D$18,0)</f>
        <v>41072</v>
      </c>
      <c r="H19" s="2406" t="s">
        <v>2136</v>
      </c>
      <c r="I19" s="138"/>
      <c r="K19" s="2398" t="s">
        <v>2137</v>
      </c>
      <c r="L19" s="2398">
        <f>IF(C1="",'数据-汇总表'!D3,SUMIF(项目类型,C1,'数据-汇总表'!D17:D26)+SUMIF(项目类型,C1,'数据-汇总表'!H17:H27))</f>
        <v>15134.65</v>
      </c>
      <c r="M19" s="2398">
        <f>IF(C1="",'数据-汇总表'!D3,SUMIF(项目类型,C1,'数据-汇总表'!D17:D26))</f>
        <v>15134.65</v>
      </c>
    </row>
    <row r="20" spans="1:35" ht="15">
      <c r="A20" s="2407"/>
      <c r="B20" s="1229" t="s">
        <v>2138</v>
      </c>
      <c r="C20" s="146">
        <f ca="1">SUMIF(INDIRECT("'"&amp;C4&amp;"'"&amp;"!A:A"),结果表!B20,INDIRECT("'"&amp;C4&amp;"'"&amp;"!B:B"))</f>
        <v>22522</v>
      </c>
      <c r="D20" s="147">
        <f ca="1">SUMIF(INDIRECT("'"&amp;D4&amp;"'"&amp;"!A:A"),结果表!B20,INDIRECT("'"&amp;D4&amp;"'"&amp;"!B:B"))</f>
        <v>12242</v>
      </c>
      <c r="E20" s="2407"/>
      <c r="F20" s="1229" t="s">
        <v>2138</v>
      </c>
      <c r="G20" s="148">
        <f ca="1">ROUND(C20*$C$18+D20*$D$18,0)</f>
        <v>16868</v>
      </c>
      <c r="H20" s="970" t="s">
        <v>2139</v>
      </c>
      <c r="I20" s="138"/>
    </row>
    <row r="21" spans="1:35" ht="15" customHeight="1" thickBot="1">
      <c r="A21" s="990"/>
      <c r="B21" s="2408" t="s">
        <v>2140</v>
      </c>
      <c r="C21" s="784">
        <f ca="1">ROUND(C19*10000/L19,0)</f>
        <v>36233</v>
      </c>
      <c r="D21" s="785">
        <f ca="1">ROUND(D19*10000/L19,0)</f>
        <v>19695</v>
      </c>
      <c r="E21" s="990"/>
      <c r="F21" s="2408" t="s">
        <v>2140</v>
      </c>
      <c r="G21" s="149">
        <f ca="1">ROUND(G19*10000/L19,0)</f>
        <v>27138</v>
      </c>
      <c r="H21" s="2409" t="s">
        <v>2139</v>
      </c>
      <c r="I21" s="138"/>
    </row>
    <row r="22" spans="1:35" ht="15" thickBot="1">
      <c r="A22" s="2254" t="s">
        <v>2141</v>
      </c>
      <c r="B22" s="2410"/>
      <c r="C22" s="2411"/>
      <c r="D22" s="786">
        <f ca="1">IF(C19&lt;D19,D19/C19-1,C19/D19-1)</f>
        <v>0.83970746108427274</v>
      </c>
      <c r="E22" s="138"/>
      <c r="F22" s="138"/>
      <c r="G22" s="138"/>
      <c r="H22" s="138"/>
      <c r="I22" s="138"/>
    </row>
    <row r="23" spans="1:35" ht="13.5" thickBot="1">
      <c r="A23" s="2388"/>
      <c r="B23" s="2388"/>
      <c r="C23" s="2388"/>
      <c r="D23" s="2388"/>
      <c r="E23" s="138"/>
      <c r="F23" s="138"/>
      <c r="G23" s="138"/>
      <c r="H23" s="138"/>
      <c r="I23" s="138"/>
    </row>
    <row r="24" spans="1:35" ht="14.25">
      <c r="A24" s="3531" t="s">
        <v>2142</v>
      </c>
      <c r="B24" s="2405" t="s">
        <v>2134</v>
      </c>
      <c r="C24" s="145">
        <f>IF(B30=0,0,D30)</f>
        <v>0</v>
      </c>
      <c r="D24" s="2412"/>
      <c r="E24" s="138"/>
      <c r="F24" s="138"/>
      <c r="G24" s="138"/>
      <c r="H24" s="138"/>
      <c r="I24" s="138"/>
    </row>
    <row r="25" spans="1:35" ht="14.25">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f ca="1">IF(D32="总价",G19-C24,G20-C25)</f>
        <v>41072</v>
      </c>
      <c r="D32" s="2419" t="s">
        <v>2149</v>
      </c>
      <c r="E32" s="138"/>
      <c r="F32" s="138"/>
      <c r="G32" s="138"/>
      <c r="H32" s="138"/>
      <c r="I32" s="138"/>
    </row>
    <row r="33" spans="1:15" ht="15">
      <c r="A33" s="947" t="s">
        <v>2150</v>
      </c>
      <c r="B33" s="2420"/>
      <c r="C33" s="2421" t="s">
        <v>3636</v>
      </c>
      <c r="D33" s="2422" t="s">
        <v>3048</v>
      </c>
      <c r="E33" s="2423" t="s">
        <v>2151</v>
      </c>
      <c r="F33" s="2424" t="str">
        <f>IF(D32="楼面单价","取值（单价）","取值（总价）")</f>
        <v>取值（总价）</v>
      </c>
      <c r="G33" s="138"/>
      <c r="H33" s="138"/>
      <c r="I33" s="138"/>
    </row>
    <row r="34" spans="1:15" ht="15">
      <c r="A34" s="2425"/>
      <c r="B34" s="2426"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7" t="s">
        <v>2153</v>
      </c>
      <c r="F34" s="1716"/>
      <c r="G34" s="138"/>
      <c r="H34" s="138"/>
      <c r="I34" s="138"/>
    </row>
    <row r="35" spans="1:15" ht="15.75" thickBot="1">
      <c r="A35" s="2428"/>
      <c r="B35" s="2429"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0" t="s">
        <v>2155</v>
      </c>
      <c r="F35" s="163"/>
      <c r="G35" s="138"/>
      <c r="H35" s="138"/>
      <c r="I35" s="138"/>
    </row>
    <row r="36" spans="1:15" ht="15.75" thickBot="1">
      <c r="A36" s="3549" t="s">
        <v>2156</v>
      </c>
      <c r="B36" s="2431" t="s">
        <v>2157</v>
      </c>
      <c r="C36" s="154"/>
      <c r="D36" s="2432"/>
      <c r="E36" s="2433"/>
      <c r="F36" s="2434"/>
      <c r="G36" s="138"/>
      <c r="H36" s="138"/>
      <c r="I36" s="138"/>
    </row>
    <row r="37" spans="1:15" ht="15.75" thickBot="1">
      <c r="A37" s="3550"/>
      <c r="B37" s="2240" t="s">
        <v>2158</v>
      </c>
      <c r="C37" s="156"/>
      <c r="D37" s="1373"/>
      <c r="E37" s="1373"/>
      <c r="F37" s="2434"/>
      <c r="G37" s="138"/>
      <c r="H37" s="138"/>
      <c r="I37" s="138"/>
    </row>
    <row r="38" spans="1:15" ht="15.75" thickBot="1">
      <c r="A38" s="3551"/>
      <c r="B38" s="2435" t="s">
        <v>2159</v>
      </c>
      <c r="C38" s="723"/>
      <c r="D38" s="2436" t="s">
        <v>2160</v>
      </c>
      <c r="E38" s="1373"/>
      <c r="F38" s="2434"/>
      <c r="G38" s="138"/>
      <c r="H38" s="138"/>
      <c r="I38" s="138"/>
    </row>
    <row r="39" spans="1:15" ht="15">
      <c r="A39" s="2407" t="s">
        <v>2161</v>
      </c>
      <c r="B39" s="2437" t="s">
        <v>2162</v>
      </c>
      <c r="C39" s="2438" t="s">
        <v>2163</v>
      </c>
      <c r="D39" s="2438" t="s">
        <v>2164</v>
      </c>
      <c r="E39" s="2439" t="s">
        <v>2165</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f ca="1">系统读取表!B6*F45</f>
        <v>41072</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1789">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1789">
        <v>2</v>
      </c>
      <c r="K47" s="3588" t="s">
        <v>2181</v>
      </c>
      <c r="L47" s="3588"/>
      <c r="M47" s="3609">
        <f>'数据-取费表'!B2</f>
        <v>43840</v>
      </c>
      <c r="N47" s="3609"/>
      <c r="O47" s="3609"/>
    </row>
    <row r="48" spans="1:15" ht="25.5">
      <c r="A48" s="3556" t="s">
        <v>2182</v>
      </c>
      <c r="B48" s="3539"/>
      <c r="C48" s="3539"/>
      <c r="D48" s="140">
        <f ca="1">IF(H48="情况1",0,IF(H48="情况2",D52,IF(H48="情况3",D53,IF(H48="情况4",D54))))</f>
        <v>2191</v>
      </c>
      <c r="E48" s="1778" t="str">
        <f>IF(H48="情况4","(销售额-原购置价)×税（费）率","销售额×税（费）率")</f>
        <v>销售额×税（费）率</v>
      </c>
      <c r="F48" s="175">
        <f>IF(H48="情况1","免征",'数据-取费表'!B41)</f>
        <v>5.6000000000000001E-2</v>
      </c>
      <c r="G48" s="2451" t="s">
        <v>2183</v>
      </c>
      <c r="H48" s="2452" t="s">
        <v>3639</v>
      </c>
      <c r="I48" s="2450"/>
      <c r="J48" s="1789">
        <v>3</v>
      </c>
      <c r="K48" s="3588" t="s">
        <v>2185</v>
      </c>
      <c r="L48" s="3588"/>
      <c r="M48" s="3610">
        <f ca="1">系统读取表!B6</f>
        <v>41072</v>
      </c>
      <c r="N48" s="3610"/>
      <c r="O48" s="3610"/>
    </row>
    <row r="49" spans="1:35" ht="25.5" customHeight="1">
      <c r="A49" s="176" t="s">
        <v>2186</v>
      </c>
      <c r="B49" s="3524" t="s">
        <v>2187</v>
      </c>
      <c r="C49" s="3524"/>
      <c r="D49" s="177">
        <v>0</v>
      </c>
      <c r="E49" s="23" t="s">
        <v>2188</v>
      </c>
      <c r="F49" s="28" t="s">
        <v>34</v>
      </c>
      <c r="G49" s="3594"/>
      <c r="H49" s="138"/>
      <c r="I49" s="2453"/>
      <c r="J49" s="1789">
        <v>4</v>
      </c>
      <c r="K49" s="3588" t="str">
        <f>IF(项目基本情况!E8="房地产抵押价值","房地产抵押价值","抵押担保权已注销时的房地产抵押价值")</f>
        <v>房地产抵押价值</v>
      </c>
      <c r="L49" s="3588"/>
      <c r="M49" s="3610">
        <f ca="1">M48</f>
        <v>41072</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2454" t="s">
        <v>2192</v>
      </c>
      <c r="K51" s="3588" t="s">
        <v>2193</v>
      </c>
      <c r="L51" s="3588"/>
      <c r="M51" s="2454" t="s">
        <v>2194</v>
      </c>
      <c r="N51" s="2454" t="s">
        <v>2195</v>
      </c>
      <c r="O51" s="2454" t="s">
        <v>2196</v>
      </c>
    </row>
    <row r="52" spans="1:35" ht="24" customHeight="1">
      <c r="A52" s="183" t="s">
        <v>2197</v>
      </c>
      <c r="B52" s="3524" t="s">
        <v>2198</v>
      </c>
      <c r="C52" s="3524"/>
      <c r="D52" s="182">
        <f ca="1">ROUND(D45*'数据-取费表'!B41/(1+'数据-取费表'!C42),0)</f>
        <v>2191</v>
      </c>
      <c r="E52" s="11" t="s">
        <v>2199</v>
      </c>
      <c r="F52" s="184">
        <f>'数据-取费表'!B41</f>
        <v>5.6000000000000001E-2</v>
      </c>
      <c r="G52" s="2455"/>
      <c r="H52" s="138"/>
      <c r="I52" s="2453"/>
      <c r="J52" s="1789">
        <v>1</v>
      </c>
      <c r="K52" s="3589" t="s">
        <v>2200</v>
      </c>
      <c r="L52" s="3589"/>
      <c r="M52" s="1731">
        <f ca="1">D48</f>
        <v>2191</v>
      </c>
      <c r="N52" s="1789" t="str">
        <f>E48</f>
        <v>销售额×税（费）率</v>
      </c>
      <c r="O52" s="1732">
        <f>F48</f>
        <v>5.6000000000000001E-2</v>
      </c>
    </row>
    <row r="53" spans="1:35" ht="12" customHeight="1">
      <c r="A53" s="183" t="s">
        <v>2201</v>
      </c>
      <c r="B53" s="3547" t="s">
        <v>2202</v>
      </c>
      <c r="C53" s="3548"/>
      <c r="D53" s="182">
        <f ca="1">ROUND(D45*'数据-取费表'!B41/(1+'数据-取费表'!C42),0)</f>
        <v>2191</v>
      </c>
      <c r="E53" s="11" t="s">
        <v>2199</v>
      </c>
      <c r="F53" s="184">
        <f>'数据-取费表'!B41</f>
        <v>5.6000000000000001E-2</v>
      </c>
      <c r="G53" s="2455"/>
      <c r="H53" s="138"/>
      <c r="I53" s="2453"/>
      <c r="J53" s="1789">
        <v>2</v>
      </c>
      <c r="K53" s="3589" t="s">
        <v>2203</v>
      </c>
      <c r="L53" s="3589"/>
      <c r="M53" s="1731">
        <f t="shared" ref="M53:O54" ca="1" si="0">D55</f>
        <v>21</v>
      </c>
      <c r="N53" s="1789" t="str">
        <f t="shared" si="0"/>
        <v>销售额×税（费）率</v>
      </c>
      <c r="O53" s="1732">
        <f t="shared" si="0"/>
        <v>5.0000000000000001E-4</v>
      </c>
    </row>
    <row r="54" spans="1:35" ht="12" customHeight="1">
      <c r="A54" s="183" t="s">
        <v>2204</v>
      </c>
      <c r="B54" s="3547" t="s">
        <v>2205</v>
      </c>
      <c r="C54" s="3548"/>
      <c r="D54" s="182">
        <f ca="1">C68</f>
        <v>2190</v>
      </c>
      <c r="E54" s="30" t="s">
        <v>2206</v>
      </c>
      <c r="F54" s="184">
        <f>'数据-取费表'!B41</f>
        <v>5.6000000000000001E-2</v>
      </c>
      <c r="G54" s="2455"/>
      <c r="H54" s="2456"/>
      <c r="I54" s="2453"/>
      <c r="J54" s="1789">
        <v>3</v>
      </c>
      <c r="K54" s="3589" t="s">
        <v>2207</v>
      </c>
      <c r="L54" s="3589"/>
      <c r="M54" s="1731">
        <f t="shared" ca="1" si="0"/>
        <v>0</v>
      </c>
      <c r="N54" s="1789" t="str">
        <f t="shared" si="0"/>
        <v>增值额×税（费）率</v>
      </c>
      <c r="O54" s="1733" t="str">
        <f t="shared" si="0"/>
        <v>——</v>
      </c>
    </row>
    <row r="55" spans="1:35" ht="24" customHeight="1">
      <c r="A55" s="3538" t="s">
        <v>2208</v>
      </c>
      <c r="B55" s="3539"/>
      <c r="C55" s="3539"/>
      <c r="D55" s="185">
        <f ca="1">IF(H55="个人住宅",0,ROUND(D45*I55,0))</f>
        <v>21</v>
      </c>
      <c r="E55" s="11" t="s">
        <v>2209</v>
      </c>
      <c r="F55" s="184">
        <f>IF(H55="正常",I55,"免征")</f>
        <v>5.0000000000000001E-4</v>
      </c>
      <c r="G55" s="2455"/>
      <c r="H55" s="2452" t="s">
        <v>2210</v>
      </c>
      <c r="I55" s="186">
        <f>'数据-取费表'!B49</f>
        <v>5.0000000000000001E-4</v>
      </c>
      <c r="J55" s="1789" t="str">
        <f>IF(H59="非个人房产","",4)</f>
        <v/>
      </c>
      <c r="K55" s="3589" t="str">
        <f>IF(H59="非个人房产","——","个人所得税")</f>
        <v>——</v>
      </c>
      <c r="L55" s="3589"/>
      <c r="M55" s="1734" t="str">
        <f>D59</f>
        <v>——</v>
      </c>
      <c r="N55" s="1787" t="str">
        <f>E59</f>
        <v>——</v>
      </c>
      <c r="O55" s="1735" t="str">
        <f>F59</f>
        <v>——</v>
      </c>
    </row>
    <row r="56" spans="1:35" ht="24.75">
      <c r="A56" s="3538" t="s">
        <v>2211</v>
      </c>
      <c r="B56" s="3539"/>
      <c r="C56" s="3539"/>
      <c r="D56" s="185">
        <f ca="1">IF(H56="个人住宅",D57,D58)</f>
        <v>0</v>
      </c>
      <c r="E56" s="11" t="s">
        <v>2212</v>
      </c>
      <c r="F56" s="184" t="str">
        <f>IF(H56="正常",F58,"免征")</f>
        <v>——</v>
      </c>
      <c r="G56" s="2457" t="s">
        <v>2213</v>
      </c>
      <c r="H56" s="2458" t="s">
        <v>2210</v>
      </c>
      <c r="I56" s="2459"/>
      <c r="J56" s="1789"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2.75">
      <c r="A57" s="183" t="s">
        <v>2186</v>
      </c>
      <c r="B57" s="3554" t="s">
        <v>2214</v>
      </c>
      <c r="C57" s="3563"/>
      <c r="D57" s="187">
        <v>0</v>
      </c>
      <c r="E57" s="23" t="s">
        <v>2188</v>
      </c>
      <c r="F57" s="155"/>
      <c r="G57" s="2455"/>
      <c r="H57" s="2459"/>
      <c r="I57" s="2459"/>
      <c r="J57" s="3589">
        <f>IF(AND(J55="",J56=""),4,IF(项目基本情况!K6="上海银行",结果表!J56+1,结果表!J55+1))</f>
        <v>4</v>
      </c>
      <c r="K57" s="3589" t="s">
        <v>2215</v>
      </c>
      <c r="L57" s="2460" t="s">
        <v>2216</v>
      </c>
      <c r="M57" s="1736"/>
      <c r="N57" s="1737">
        <f ca="1">SUMIF(M52:M56,"&lt;9e307")</f>
        <v>2212</v>
      </c>
      <c r="O57" s="2461"/>
      <c r="P57" s="1730">
        <f ca="1">N57/M49</f>
        <v>5.3856641994546164E-2</v>
      </c>
    </row>
    <row r="58" spans="1:35" ht="24.75">
      <c r="A58" s="183" t="s">
        <v>2197</v>
      </c>
      <c r="B58" s="3554" t="s">
        <v>2217</v>
      </c>
      <c r="C58" s="3555"/>
      <c r="D58" s="185">
        <f ca="1">IF(H58="转让取得",C81,C97)</f>
        <v>0</v>
      </c>
      <c r="E58" s="11" t="s">
        <v>2212</v>
      </c>
      <c r="F58" s="24" t="s">
        <v>34</v>
      </c>
      <c r="G58" s="2455"/>
      <c r="H58" s="2458" t="s">
        <v>2218</v>
      </c>
      <c r="I58" s="2459"/>
      <c r="J58" s="3589"/>
      <c r="K58" s="3589"/>
      <c r="L58" s="2460" t="s">
        <v>2219</v>
      </c>
      <c r="M58" s="1738"/>
      <c r="N58" s="2462" t="str">
        <f ca="1">NUMBERSTRING(INT(N57*10000),2)&amp;"元整"</f>
        <v>贰仟贰佰壹拾贰万元整</v>
      </c>
      <c r="O58" s="2463"/>
    </row>
    <row r="59" spans="1:35" ht="24.75"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1789" t="s">
        <v>2216</v>
      </c>
      <c r="M59" s="1739"/>
      <c r="N59" s="1740">
        <f ca="1">M49-N57</f>
        <v>38860</v>
      </c>
      <c r="O59" s="2465"/>
    </row>
    <row r="60" spans="1:35" ht="12" customHeight="1">
      <c r="A60" s="2466"/>
      <c r="B60" s="2388"/>
      <c r="C60" s="2388"/>
      <c r="D60" s="2388"/>
      <c r="E60" s="2140"/>
      <c r="F60" s="2459"/>
      <c r="G60" s="2459"/>
      <c r="H60" s="2467"/>
      <c r="I60" s="138"/>
      <c r="J60" s="3591"/>
      <c r="K60" s="3589"/>
      <c r="L60" s="2460" t="s">
        <v>2219</v>
      </c>
      <c r="M60" s="1738"/>
      <c r="N60" s="2462" t="str">
        <f ca="1">NUMBERSTRING(INT(N59*10000),2)&amp;"元整"</f>
        <v>叁亿捌仟捌佰陆拾万元整</v>
      </c>
      <c r="O60" s="2463"/>
    </row>
    <row r="61" spans="1:35" ht="13.5" thickBot="1">
      <c r="A61" s="3536" t="s">
        <v>2223</v>
      </c>
      <c r="B61" s="3536"/>
      <c r="C61" s="3536"/>
      <c r="D61" s="3536"/>
      <c r="E61" s="3536"/>
      <c r="F61" s="2459"/>
      <c r="G61" s="2459"/>
      <c r="H61" s="2467"/>
      <c r="I61" s="138"/>
      <c r="J61" s="1789">
        <f>J59+1</f>
        <v>6</v>
      </c>
      <c r="K61" s="3589" t="s">
        <v>2224</v>
      </c>
      <c r="L61" s="3589"/>
      <c r="M61" s="1741"/>
      <c r="N61" s="1742">
        <f ca="1">ROUND(N59*10000/'数据-汇总表'!E3,0)</f>
        <v>15960</v>
      </c>
      <c r="O61" s="2468"/>
    </row>
    <row r="62" spans="1:35" ht="12.75">
      <c r="A62" s="3552" t="s">
        <v>2225</v>
      </c>
      <c r="B62" s="3553"/>
      <c r="C62" s="1781"/>
      <c r="D62" s="1781" t="s">
        <v>2226</v>
      </c>
      <c r="E62" s="192" t="s">
        <v>2227</v>
      </c>
      <c r="F62" s="2459"/>
      <c r="G62" s="2459"/>
      <c r="H62" s="2467"/>
      <c r="I62" s="138"/>
    </row>
    <row r="63" spans="1:35" ht="12.75">
      <c r="A63" s="203" t="s">
        <v>775</v>
      </c>
      <c r="B63" s="193" t="s">
        <v>2228</v>
      </c>
      <c r="C63" s="194">
        <f ca="1">ROUND((C64+C65)/(1+'数据-取费表'!C42),0)</f>
        <v>39116</v>
      </c>
      <c r="D63" s="195"/>
      <c r="E63" s="196"/>
      <c r="F63" s="2459"/>
      <c r="G63" s="2459"/>
      <c r="H63" s="2467"/>
      <c r="I63" s="138"/>
      <c r="J63" s="3614" t="s">
        <v>2229</v>
      </c>
      <c r="K63" s="2469" t="s">
        <v>2230</v>
      </c>
      <c r="L63" s="1729">
        <f ca="1">IF(M49&gt;10000,M49*0.5%,IF(AND(M49&gt;1000,M49&lt;=10000),M49*1%,IF(AND(M49&gt;100,M49&lt;=1000),M49*3%,IF(AND(M49&gt;10,M49&lt;=100),M49*5%,M49*8%))))</f>
        <v>205.36</v>
      </c>
      <c r="M63" s="24">
        <f ca="1">ROUND(L63,1)</f>
        <v>205.4</v>
      </c>
      <c r="Z63" s="2393"/>
      <c r="AI63" s="2394"/>
    </row>
    <row r="64" spans="1:35" ht="14.25" customHeight="1">
      <c r="A64" s="197" t="s">
        <v>770</v>
      </c>
      <c r="B64" s="198" t="s">
        <v>2231</v>
      </c>
      <c r="C64" s="199">
        <f ca="1">D45</f>
        <v>41072</v>
      </c>
      <c r="D64" s="200" t="s">
        <v>32</v>
      </c>
      <c r="E64" s="201"/>
      <c r="F64" s="2459"/>
      <c r="G64" s="2459"/>
      <c r="H64" s="2467"/>
      <c r="I64" s="138"/>
      <c r="J64" s="3614"/>
      <c r="K64" s="2469" t="s">
        <v>2232</v>
      </c>
      <c r="L64" s="1729">
        <f ca="1">IF(M49&gt;2000,M49*0.5%,IF(AND(M49&gt;1000,M49&lt;=2000),M49*0.6%,IF(AND(M49&gt;500,M49&lt;=1000),M49*0.7%,IF(AND(M49&gt;200,M49&lt;=500),M49*0.8%,IF(AND(M49&gt;100,M49&lt;=200),M49*0.9%,IF(AND(M49&gt;50,M49&lt;=100),M49*1%,IF(AND(M49&gt;20,M49&lt;=50),M49*1.5%,IF(AND(M49&gt;10,M49&lt;=20),M49*2%,IF(AND(M49&gt;1,M49&lt;=10),M49*2.5%)))))))))</f>
        <v>205.36</v>
      </c>
      <c r="M64" s="24">
        <f t="shared" ref="M64:M65" ca="1" si="1">ROUND(L64,1)</f>
        <v>205.4</v>
      </c>
      <c r="N64" s="138" t="s">
        <v>2233</v>
      </c>
      <c r="Z64" s="2393"/>
      <c r="AI64" s="2394"/>
    </row>
    <row r="65" spans="1:35" ht="14.25" customHeight="1">
      <c r="A65" s="197" t="s">
        <v>771</v>
      </c>
      <c r="B65" s="198" t="s">
        <v>2234</v>
      </c>
      <c r="C65" s="202"/>
      <c r="D65" s="200"/>
      <c r="E65" s="201"/>
      <c r="F65" s="2459"/>
      <c r="G65" s="2459"/>
      <c r="H65" s="2467"/>
      <c r="I65" s="138"/>
      <c r="J65" s="3614"/>
      <c r="K65" s="2469" t="s">
        <v>2235</v>
      </c>
      <c r="L65" s="1729">
        <f ca="1">IF(M49&gt;1000,M49*0.1%,IF(AND(M49&gt;500,M49&lt;=1000),M49*0.5%,IF(AND(M49&gt;50,M49&lt;=500),M49*1%,IF(AND(M49&gt;1,M49&lt;=50),M49*1.5%))))</f>
        <v>41.072000000000003</v>
      </c>
      <c r="M65" s="24">
        <f t="shared" ca="1" si="1"/>
        <v>41.1</v>
      </c>
      <c r="N65" s="138" t="s">
        <v>2233</v>
      </c>
      <c r="Z65" s="2393"/>
      <c r="AI65" s="2394"/>
    </row>
    <row r="66" spans="1:35" ht="14.25" customHeight="1">
      <c r="A66" s="203" t="s">
        <v>772</v>
      </c>
      <c r="B66" s="204" t="s">
        <v>2236</v>
      </c>
      <c r="C66" s="205"/>
      <c r="D66" s="206" t="s">
        <v>32</v>
      </c>
      <c r="E66" s="1753" t="s">
        <v>1360</v>
      </c>
      <c r="F66" s="2459"/>
      <c r="G66" s="2459"/>
      <c r="H66" s="2467"/>
      <c r="I66" s="138"/>
      <c r="J66" s="3614"/>
      <c r="K66" s="2469" t="s">
        <v>2237</v>
      </c>
      <c r="L66" s="1729">
        <f ca="1">M49*0.5%</f>
        <v>205.36</v>
      </c>
      <c r="M66" s="24">
        <f ca="1">IF(L66&gt;0.5,0.5,ROUND(L66,0))</f>
        <v>0.5</v>
      </c>
      <c r="N66" s="138" t="s">
        <v>2238</v>
      </c>
      <c r="Z66" s="2393"/>
      <c r="AI66" s="2394"/>
    </row>
    <row r="67" spans="1:35" ht="14.25" customHeight="1">
      <c r="A67" s="203" t="s">
        <v>773</v>
      </c>
      <c r="B67" s="204" t="s">
        <v>2239</v>
      </c>
      <c r="C67" s="207">
        <f ca="1">C63-C66</f>
        <v>39116</v>
      </c>
      <c r="D67" s="200" t="s">
        <v>32</v>
      </c>
      <c r="E67" s="201"/>
      <c r="F67" s="2459"/>
      <c r="G67" s="2459"/>
      <c r="H67" s="2467"/>
      <c r="I67" s="138"/>
      <c r="J67" s="3614"/>
      <c r="K67" s="2469" t="s">
        <v>2240</v>
      </c>
      <c r="L67" s="1729">
        <f ca="1">IF(M49&gt;=10000,(8.25+(M49-10000)*0.01%),IF(AND(M49&gt;=8000,M49&lt;10000),(7.85+(M49-8000)*0.02%),IF(AND(M49&gt;=5000,M49&lt;8000),(6.65+(M49-5000)*0.04%),IF(AND(M49&gt;=2000,M49&lt;5000),(4.25+(PM49-2000)*0.08%),IF(AND(M49&gt;=1000,M49&lt;2000),(2.75+(M49-1000)*0.15%),IF(AND(M49&gt;=100,M49&lt;1000),(0.5+(M49-100)*0.25%),IF(AND(M49&gt;0,M49&lt;100),M49*0.5%)))))))</f>
        <v>11.357200000000001</v>
      </c>
      <c r="M67" s="24">
        <f ca="1">ROUND(L67*0.9,1)</f>
        <v>10.199999999999999</v>
      </c>
      <c r="Z67" s="2393"/>
      <c r="AI67" s="2394"/>
    </row>
    <row r="68" spans="1:35" ht="14.25" customHeight="1" thickBot="1">
      <c r="A68" s="208" t="s">
        <v>774</v>
      </c>
      <c r="B68" s="209" t="s">
        <v>2241</v>
      </c>
      <c r="C68" s="210">
        <f ca="1">IF(C67&lt;=0,0,ROUND(C67*D68,0))</f>
        <v>2190</v>
      </c>
      <c r="D68" s="211">
        <f>'数据-取费表'!B41</f>
        <v>5.6000000000000001E-2</v>
      </c>
      <c r="E68" s="212"/>
      <c r="F68" s="2459"/>
      <c r="G68" s="2459"/>
      <c r="H68" s="2467"/>
      <c r="I68" s="138"/>
      <c r="J68" s="3614"/>
      <c r="K68" s="2469" t="s">
        <v>2242</v>
      </c>
      <c r="L68" s="1729">
        <f ca="1">IF(M49&gt;10000,M49*0.5%,IF(AND(M49&gt;5000,M49&lt;=10000),M49*1%,IF(AND(M49&gt;1000,M49&lt;=5000),M49*2%,IF(AND(M49&gt;200,M49&lt;=1000),M49*3%,M49*5%))))</f>
        <v>205.36</v>
      </c>
      <c r="M68" s="24">
        <f ca="1">ROUND(L68,1)</f>
        <v>205.4</v>
      </c>
      <c r="Z68" s="2393"/>
      <c r="AI68" s="2394"/>
    </row>
    <row r="69" spans="1:35" s="2416" customFormat="1" ht="16.5" customHeight="1">
      <c r="A69" s="2470"/>
      <c r="B69" s="2471"/>
      <c r="C69" s="2472"/>
      <c r="D69" s="2473"/>
      <c r="E69" s="2474"/>
      <c r="F69" s="2140"/>
      <c r="G69" s="2140"/>
      <c r="H69" s="2139"/>
      <c r="I69" s="2388"/>
      <c r="J69" s="3614"/>
      <c r="K69" s="2469" t="s">
        <v>2243</v>
      </c>
      <c r="L69" s="2475"/>
      <c r="M69" s="24">
        <f ca="1">ROUND(SUM(M63:M68),0)</f>
        <v>668</v>
      </c>
      <c r="N69" s="1730">
        <f ca="1">M69/M49</f>
        <v>1.6264121542656797E-2</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52" t="s">
        <v>2225</v>
      </c>
      <c r="B71" s="3553"/>
      <c r="C71" s="1781"/>
      <c r="D71" s="1781"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f ca="1">ROUND(D45/(1+'数据-取费表'!C42),0)</f>
        <v>39116</v>
      </c>
      <c r="D72" s="200" t="s">
        <v>32</v>
      </c>
      <c r="E72" s="1780"/>
      <c r="F72" s="1774"/>
      <c r="G72" s="177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f ca="1">C74+C78</f>
        <v>235</v>
      </c>
      <c r="D73" s="200" t="s">
        <v>32</v>
      </c>
      <c r="E73" s="1780"/>
      <c r="F73" s="1774"/>
      <c r="G73" s="177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1780"/>
      <c r="F74" s="1774"/>
      <c r="G74" s="177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3" t="s">
        <v>2256</v>
      </c>
      <c r="H77" s="1785"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f ca="1">ROUND(D45*D78/(1+'数据-取费表'!C42),0)</f>
        <v>235</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779</v>
      </c>
      <c r="B79" s="204" t="s">
        <v>2259</v>
      </c>
      <c r="C79" s="207">
        <f ca="1">C72-C73</f>
        <v>38881</v>
      </c>
      <c r="D79" s="200" t="s">
        <v>32</v>
      </c>
      <c r="E79" s="1780"/>
      <c r="F79" s="1774"/>
      <c r="G79" s="177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f ca="1">IF(C79&lt;=0,0,C79/C73)</f>
        <v>165.45106382978724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f ca="1">ROUND(IF(C79&lt;=0,0,IF(C80&gt;=200%,C79*60%-C73*35%,IF(C80&gt;=100%,C79*50%-C73*15%,IF(C80&gt;=50%,C79*40%-C73*5%,IF(C80&lt;50%,C79*30%,0))))),0)</f>
        <v>23246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52" t="s">
        <v>2225</v>
      </c>
      <c r="B84" s="3553"/>
      <c r="C84" s="1781"/>
      <c r="D84" s="1781"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f ca="1">ROUND(D45/(1+'数据-取费表'!C42),0)</f>
        <v>39116</v>
      </c>
      <c r="D85" s="200" t="s">
        <v>32</v>
      </c>
      <c r="E85" s="1780"/>
      <c r="F85" s="1774"/>
      <c r="G85" s="177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f ca="1">IF(H88="仅含出让金",C87+C90+C91+C92+C93+C94,C87+C91+C92+C93+C94)</f>
        <v>131507.33000000002</v>
      </c>
      <c r="D86" s="235"/>
      <c r="E86" s="1780"/>
      <c r="F86" s="1774"/>
      <c r="G86" s="177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10723.48</v>
      </c>
      <c r="D87" s="226"/>
      <c r="E87" s="1776"/>
      <c r="F87" s="1777"/>
      <c r="G87" s="1777"/>
      <c r="H87" s="1779"/>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v>10406.48</v>
      </c>
      <c r="D88" s="226"/>
      <c r="E88" s="237" t="s">
        <v>2265</v>
      </c>
      <c r="F88" s="1777"/>
      <c r="G88" s="238" t="s">
        <v>2266</v>
      </c>
      <c r="H88" s="2487" t="s">
        <v>3640</v>
      </c>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317</v>
      </c>
      <c r="D89" s="226">
        <f>'数据-取费表'!B48+'数据-取费表'!B49</f>
        <v>3.0499999999999999E-2</v>
      </c>
      <c r="E89" s="237" t="s">
        <v>2267</v>
      </c>
      <c r="F89" s="1777"/>
      <c r="G89" s="1777"/>
      <c r="H89" s="1779"/>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1777"/>
      <c r="G90" s="1777"/>
      <c r="H90" s="1779"/>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90254.85</v>
      </c>
      <c r="D91" s="226"/>
      <c r="E91" s="3533" t="s">
        <v>2271</v>
      </c>
      <c r="F91" s="3534"/>
      <c r="G91" s="3534"/>
      <c r="H91" s="3419" t="s">
        <v>3659</v>
      </c>
      <c r="I91" s="2489">
        <v>90254.85</v>
      </c>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10098</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f ca="1">ROUND(D45*D93/(1+'数据-取费表'!C42),0)</f>
        <v>235</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20196</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779</v>
      </c>
      <c r="B95" s="204" t="s">
        <v>2259</v>
      </c>
      <c r="C95" s="207">
        <f ca="1">ROUND(C85-C86,0)</f>
        <v>-92391</v>
      </c>
      <c r="D95" s="200" t="s">
        <v>32</v>
      </c>
      <c r="E95" s="1780"/>
      <c r="F95" s="1774"/>
      <c r="G95" s="177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4"/>
      <c r="G96" s="177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比较法-商业</v>
      </c>
      <c r="D101" s="733" t="str">
        <f>D4</f>
        <v>收益法</v>
      </c>
      <c r="E101" s="3611" t="s">
        <v>2284</v>
      </c>
      <c r="F101" s="3565"/>
      <c r="G101" s="2490" t="s">
        <v>2285</v>
      </c>
      <c r="H101" s="1035">
        <f ca="1">H118</f>
        <v>41072</v>
      </c>
      <c r="I101" s="138"/>
    </row>
    <row r="102" spans="1:35" ht="18.75" customHeight="1">
      <c r="A102" s="3567" t="s">
        <v>2286</v>
      </c>
      <c r="B102" s="2490" t="s">
        <v>2285</v>
      </c>
      <c r="C102" s="732">
        <f ca="1">C19</f>
        <v>54838</v>
      </c>
      <c r="D102" s="733">
        <f ca="1">D19</f>
        <v>29808</v>
      </c>
      <c r="E102" s="3611"/>
      <c r="F102" s="3565"/>
      <c r="G102" s="2490" t="s">
        <v>2287</v>
      </c>
      <c r="H102" s="371">
        <f ca="1">I118</f>
        <v>16868</v>
      </c>
      <c r="I102" s="138"/>
    </row>
    <row r="103" spans="1:35" ht="42.75" customHeight="1">
      <c r="A103" s="3567"/>
      <c r="B103" s="2490" t="s">
        <v>2287</v>
      </c>
      <c r="C103" s="734">
        <f ca="1">C20</f>
        <v>22522</v>
      </c>
      <c r="D103" s="735">
        <f ca="1">D20</f>
        <v>12242</v>
      </c>
      <c r="E103" s="3606" t="s">
        <v>2288</v>
      </c>
      <c r="F103" s="3607"/>
      <c r="G103" s="2491" t="s">
        <v>2289</v>
      </c>
      <c r="H103" s="1035">
        <f>IF(D36="正常操作",H104+H105+H106,H105+H106)</f>
        <v>0</v>
      </c>
      <c r="I103" s="138"/>
    </row>
    <row r="104" spans="1:35" ht="18.75" customHeight="1">
      <c r="A104" s="3567" t="s">
        <v>2290</v>
      </c>
      <c r="B104" s="2492" t="s">
        <v>2285</v>
      </c>
      <c r="C104" s="736">
        <f ca="1">H118</f>
        <v>41072</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f ca="1">I118</f>
        <v>16868</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f ca="1">IF(E107="——","——",H101-H103)</f>
        <v>41072</v>
      </c>
      <c r="I107" s="138"/>
    </row>
    <row r="108" spans="1:35" ht="18.75" customHeight="1">
      <c r="A108" s="138"/>
      <c r="B108" s="138"/>
      <c r="C108" s="138"/>
      <c r="D108" s="138"/>
      <c r="E108" s="3564"/>
      <c r="F108" s="3565"/>
      <c r="G108" s="2490" t="s">
        <v>2287</v>
      </c>
      <c r="H108" s="371">
        <f ca="1">ROUND(H107*10000/'数据-汇总表'!E3,0)</f>
        <v>16868</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2300</v>
      </c>
      <c r="G116" s="3578"/>
      <c r="H116" s="3466" t="s">
        <v>2301</v>
      </c>
      <c r="I116" s="3466"/>
    </row>
    <row r="117" spans="1:11" ht="18.75" customHeight="1">
      <c r="A117" s="3466"/>
      <c r="B117" s="3571"/>
      <c r="C117" s="3571"/>
      <c r="D117" s="1775" t="s">
        <v>2302</v>
      </c>
      <c r="E117" s="1775" t="s">
        <v>2303</v>
      </c>
      <c r="F117" s="1775" t="s">
        <v>2302</v>
      </c>
      <c r="G117" s="1775" t="s">
        <v>2304</v>
      </c>
      <c r="H117" s="1775" t="s">
        <v>2302</v>
      </c>
      <c r="I117" s="1775" t="s">
        <v>2304</v>
      </c>
    </row>
    <row r="118" spans="1:11" ht="24.75" customHeight="1">
      <c r="A118" s="2496" t="str">
        <f>项目基本情况!S2</f>
        <v>山东省聊城万达欢乐小镇（万达广场）二层房地产</v>
      </c>
      <c r="B118" s="1775">
        <f>M18</f>
        <v>24348.570000000003</v>
      </c>
      <c r="C118" s="1775">
        <f>M19</f>
        <v>15134.65</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41072</v>
      </c>
      <c r="I118" s="1775">
        <f ca="1">ROUND(IF(D32="楼面单价",C32,H118*10000/B118),0)</f>
        <v>16868</v>
      </c>
    </row>
    <row r="119" spans="1:11" ht="18.75" customHeight="1">
      <c r="A119" s="3466" t="s">
        <v>2305</v>
      </c>
      <c r="B119" s="3466"/>
      <c r="C119" s="3466"/>
      <c r="D119" s="3575" t="e">
        <f ca="1">NUMBERSTRING(INT(D118*10000),2)&amp;"元整"</f>
        <v>#REF!</v>
      </c>
      <c r="E119" s="3577"/>
      <c r="F119" s="3575" t="e">
        <f ca="1">NUMBERSTRING(INT(F118*10000),2)&amp;"元整"</f>
        <v>#REF!</v>
      </c>
      <c r="G119" s="3577"/>
      <c r="H119" s="3575" t="str">
        <f ca="1">NUMBERSTRING(INT(H118*10000),2)&amp;"元整"</f>
        <v>肆亿壹仟零柒拾贰万元整</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f ca="1">H107</f>
        <v>41072</v>
      </c>
      <c r="E122" s="3604"/>
      <c r="F122" s="3604"/>
      <c r="G122" s="3604"/>
      <c r="H122" s="3604"/>
      <c r="I122" s="3605"/>
    </row>
    <row r="123" spans="1:11" ht="18.75" customHeight="1">
      <c r="A123" s="3466" t="s">
        <v>2305</v>
      </c>
      <c r="B123" s="3466"/>
      <c r="C123" s="3466"/>
      <c r="D123" s="3575" t="str">
        <f ca="1">NUMBERSTRING(INT(D122*10000),2)&amp;"元整"</f>
        <v>肆亿壹仟零柒拾贰万元整</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3" sqref="C13"/>
    </sheetView>
  </sheetViews>
  <sheetFormatPr defaultRowHeight="13.5"/>
  <cols>
    <col min="1" max="1" width="38.5" customWidth="1"/>
    <col min="3" max="3" width="14" customWidth="1"/>
  </cols>
  <sheetData>
    <row r="1" spans="1:14" s="1615" customFormat="1">
      <c r="A1" s="1615" t="s">
        <v>3558</v>
      </c>
      <c r="B1" s="1615" t="s">
        <v>3559</v>
      </c>
      <c r="C1" s="1615" t="s">
        <v>3560</v>
      </c>
      <c r="D1" s="1615" t="s">
        <v>3561</v>
      </c>
      <c r="E1" s="1615" t="s">
        <v>3562</v>
      </c>
      <c r="F1" s="1615" t="s">
        <v>3563</v>
      </c>
      <c r="G1" s="1615" t="s">
        <v>3564</v>
      </c>
      <c r="H1" s="1615" t="s">
        <v>3565</v>
      </c>
      <c r="I1" s="1615" t="s">
        <v>3566</v>
      </c>
      <c r="J1" s="1615" t="s">
        <v>3567</v>
      </c>
      <c r="K1" s="1615" t="s">
        <v>3568</v>
      </c>
      <c r="L1" s="1615" t="s">
        <v>3569</v>
      </c>
      <c r="M1" s="1615" t="s">
        <v>3570</v>
      </c>
      <c r="N1" s="1615" t="s">
        <v>3571</v>
      </c>
    </row>
    <row r="2" spans="1:14" s="1615" customFormat="1">
      <c r="A2" s="1615" t="s">
        <v>3572</v>
      </c>
      <c r="B2" s="1615" t="s">
        <v>3033</v>
      </c>
      <c r="C2" s="1615" t="s">
        <v>3573</v>
      </c>
      <c r="D2" s="1615">
        <v>138746.29999999999</v>
      </c>
      <c r="E2" s="1615">
        <v>486596</v>
      </c>
      <c r="F2" s="1615">
        <v>3.51</v>
      </c>
      <c r="G2" s="1615" t="s">
        <v>3574</v>
      </c>
      <c r="H2" s="1615" t="s">
        <v>3575</v>
      </c>
      <c r="I2" s="1615">
        <v>866300</v>
      </c>
      <c r="J2" s="1615">
        <v>866300</v>
      </c>
      <c r="K2" s="1615">
        <v>17803.27</v>
      </c>
      <c r="L2" s="1615">
        <v>0</v>
      </c>
      <c r="M2" s="1615" t="s">
        <v>3576</v>
      </c>
      <c r="N2" s="1615" t="s">
        <v>3577</v>
      </c>
    </row>
    <row r="3" spans="1:14" s="3364" customFormat="1">
      <c r="A3" s="3364" t="s">
        <v>3578</v>
      </c>
      <c r="B3" s="3364" t="s">
        <v>3033</v>
      </c>
      <c r="C3" s="3364" t="s">
        <v>3573</v>
      </c>
      <c r="D3" s="3364">
        <v>39744.120000000003</v>
      </c>
      <c r="E3" s="3364">
        <v>119232</v>
      </c>
      <c r="F3" s="3364">
        <v>3</v>
      </c>
      <c r="G3" s="3364" t="s">
        <v>3574</v>
      </c>
      <c r="H3" s="3364" t="s">
        <v>3579</v>
      </c>
      <c r="I3" s="3364">
        <v>227000</v>
      </c>
      <c r="J3" s="3364">
        <v>292000</v>
      </c>
      <c r="K3" s="3364">
        <v>24490.06</v>
      </c>
      <c r="L3" s="3364">
        <v>28.63</v>
      </c>
      <c r="M3" s="3364" t="s">
        <v>3580</v>
      </c>
      <c r="N3" s="3364" t="s">
        <v>3581</v>
      </c>
    </row>
    <row r="4" spans="1:14" s="1615" customFormat="1">
      <c r="A4" s="1615" t="s">
        <v>3582</v>
      </c>
      <c r="B4" s="1615" t="s">
        <v>3033</v>
      </c>
      <c r="C4" s="1615" t="s">
        <v>3573</v>
      </c>
      <c r="D4" s="1615">
        <v>92055.95</v>
      </c>
      <c r="E4" s="1615">
        <v>92056</v>
      </c>
      <c r="F4" s="1615">
        <v>1</v>
      </c>
      <c r="G4" s="1615" t="s">
        <v>3583</v>
      </c>
      <c r="H4" s="1615" t="s">
        <v>3584</v>
      </c>
      <c r="I4" s="1615" t="s">
        <v>1320</v>
      </c>
      <c r="J4" s="1615">
        <v>285373.59000000003</v>
      </c>
      <c r="K4" s="1615">
        <v>31000</v>
      </c>
      <c r="L4" s="1615" t="s">
        <v>1320</v>
      </c>
      <c r="M4" s="1615" t="s">
        <v>3585</v>
      </c>
      <c r="N4" s="1615" t="s">
        <v>3581</v>
      </c>
    </row>
    <row r="5" spans="1:14" s="3364" customFormat="1">
      <c r="A5" s="3364" t="s">
        <v>3586</v>
      </c>
      <c r="B5" s="3364" t="s">
        <v>3033</v>
      </c>
      <c r="C5" s="3364" t="s">
        <v>3573</v>
      </c>
      <c r="D5" s="3364">
        <v>46165.91</v>
      </c>
      <c r="E5" s="3364">
        <v>92332</v>
      </c>
      <c r="F5" s="3364">
        <v>2</v>
      </c>
      <c r="G5" s="3364" t="s">
        <v>3574</v>
      </c>
      <c r="H5" s="3364" t="s">
        <v>3587</v>
      </c>
      <c r="I5" s="3364">
        <v>176000</v>
      </c>
      <c r="J5" s="3364">
        <v>225000</v>
      </c>
      <c r="K5" s="3364">
        <v>24368.58</v>
      </c>
      <c r="L5" s="3364">
        <v>27.84</v>
      </c>
      <c r="M5" s="3364" t="s">
        <v>3588</v>
      </c>
      <c r="N5" s="3364" t="s">
        <v>3581</v>
      </c>
    </row>
    <row r="6" spans="1:14" s="3364" customFormat="1">
      <c r="A6" s="3364" t="s">
        <v>3589</v>
      </c>
      <c r="B6" s="3364" t="s">
        <v>3033</v>
      </c>
      <c r="C6" s="3364" t="s">
        <v>3573</v>
      </c>
      <c r="D6" s="3364">
        <v>38100</v>
      </c>
      <c r="E6" s="3364">
        <v>76200</v>
      </c>
      <c r="F6" s="3364">
        <v>2</v>
      </c>
      <c r="G6" s="3364" t="s">
        <v>3574</v>
      </c>
      <c r="H6" s="3364" t="s">
        <v>3587</v>
      </c>
      <c r="I6" s="3364">
        <v>145000</v>
      </c>
      <c r="J6" s="3364">
        <v>204000</v>
      </c>
      <c r="K6" s="3364">
        <v>26771.65</v>
      </c>
      <c r="L6" s="3364">
        <v>40.69</v>
      </c>
      <c r="M6" s="3364" t="s">
        <v>3590</v>
      </c>
      <c r="N6" s="3364" t="s">
        <v>3581</v>
      </c>
    </row>
  </sheetData>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3" zoomScale="80" zoomScaleNormal="80" workbookViewId="0">
      <selection activeCell="L49" sqref="L49"/>
    </sheetView>
  </sheetViews>
  <sheetFormatPr defaultColWidth="9" defaultRowHeight="14.25"/>
  <cols>
    <col min="1" max="1" width="14.375" style="3050" customWidth="1"/>
    <col min="2" max="2" width="15.75" style="3050" customWidth="1"/>
    <col min="3" max="3" width="21.625" style="3384" customWidth="1"/>
    <col min="4" max="4" width="14.125" style="3050" customWidth="1"/>
    <col min="5" max="5" width="14.375" style="3050" customWidth="1"/>
    <col min="6" max="6" width="12.25" style="3050" customWidth="1"/>
    <col min="7" max="7" width="14.5" style="3050" customWidth="1"/>
    <col min="8" max="8" width="12.25" style="3050" customWidth="1"/>
    <col min="9" max="9" width="14.5" style="3050" customWidth="1"/>
    <col min="10" max="10" width="12.25" style="3050" customWidth="1"/>
    <col min="11" max="11" width="12.25" style="3362" customWidth="1"/>
    <col min="12" max="12" width="12.25" style="3363" customWidth="1"/>
    <col min="13" max="15" width="12.25" style="3050" customWidth="1"/>
    <col min="16" max="16" width="4.75" style="3050" customWidth="1"/>
    <col min="17" max="17" width="19.5" style="3050" customWidth="1"/>
    <col min="18" max="22" width="6.125" style="3050" customWidth="1"/>
    <col min="23" max="23" width="5.75" style="3050" customWidth="1"/>
    <col min="24" max="24" width="4.25" style="3050" customWidth="1"/>
    <col min="25" max="25" width="3.5" style="3050" customWidth="1"/>
    <col min="26" max="26" width="19.75" style="3050" customWidth="1"/>
    <col min="27" max="28" width="9.375" style="3050" customWidth="1"/>
    <col min="29" max="16384" width="9" style="3050"/>
  </cols>
  <sheetData>
    <row r="1" spans="1:30" s="3032" customFormat="1" ht="28.5" customHeight="1">
      <c r="A1" s="3022" t="s">
        <v>3413</v>
      </c>
      <c r="B1" s="3023"/>
      <c r="C1" s="3365" t="s">
        <v>3414</v>
      </c>
      <c r="D1" s="3024"/>
      <c r="E1" s="3024"/>
      <c r="F1" s="3025" t="s">
        <v>3415</v>
      </c>
      <c r="G1" s="3024"/>
      <c r="H1" s="3024"/>
      <c r="I1" s="3024"/>
      <c r="J1" s="3024"/>
      <c r="K1" s="3026"/>
      <c r="L1" s="3027"/>
      <c r="M1" s="3028"/>
      <c r="N1" s="3028"/>
      <c r="O1" s="3028"/>
      <c r="P1" s="3029"/>
      <c r="Q1" s="3029"/>
      <c r="R1" s="3029"/>
      <c r="S1" s="3029"/>
      <c r="T1" s="3029"/>
      <c r="U1" s="3029"/>
      <c r="V1" s="3029"/>
      <c r="W1" s="3029"/>
      <c r="X1" s="3029"/>
      <c r="Y1" s="3029"/>
      <c r="Z1" s="3029"/>
      <c r="AA1" s="3029"/>
      <c r="AB1" s="3029"/>
      <c r="AC1" s="3030"/>
      <c r="AD1" s="3031"/>
    </row>
    <row r="2" spans="1:30" s="3032" customFormat="1" ht="28.5" customHeight="1">
      <c r="A2" s="245" t="s">
        <v>3416</v>
      </c>
      <c r="B2" s="3033" t="e">
        <f>F66</f>
        <v>#VALUE!</v>
      </c>
      <c r="C2" s="3366"/>
      <c r="D2" s="3034"/>
      <c r="E2" s="3035"/>
      <c r="F2" s="3036"/>
      <c r="G2" s="3035"/>
      <c r="H2" s="3035"/>
      <c r="I2" s="3035"/>
      <c r="J2" s="3035"/>
      <c r="K2" s="3037"/>
      <c r="L2" s="3038"/>
      <c r="M2" s="3039"/>
      <c r="N2" s="3039"/>
      <c r="O2" s="3039"/>
      <c r="P2" s="3029"/>
      <c r="Q2" s="3029"/>
      <c r="R2" s="3029"/>
      <c r="S2" s="3029"/>
      <c r="T2" s="3029"/>
      <c r="U2" s="3029"/>
      <c r="V2" s="3029"/>
      <c r="W2" s="3029"/>
      <c r="X2" s="3029"/>
      <c r="Y2" s="3029"/>
      <c r="Z2" s="3029"/>
      <c r="AA2" s="3029"/>
      <c r="AB2" s="3029"/>
      <c r="AC2" s="3030"/>
      <c r="AD2" s="3031"/>
    </row>
    <row r="3" spans="1:30" s="3032" customFormat="1" ht="28.5" customHeight="1" thickBot="1">
      <c r="A3" s="247" t="s">
        <v>3417</v>
      </c>
      <c r="B3" s="3040" t="e">
        <f>ROUND(IF(D3="",B2*10000/'[1]数据-汇总表'!E3,B2*10000/D3),0)</f>
        <v>#VALUE!</v>
      </c>
      <c r="C3" s="3367" t="s">
        <v>3418</v>
      </c>
      <c r="D3" s="3041"/>
      <c r="E3" s="3035"/>
      <c r="F3" s="3036"/>
      <c r="G3" s="3035"/>
      <c r="H3" s="3035"/>
      <c r="I3" s="3035"/>
      <c r="J3" s="3035"/>
      <c r="K3" s="3037"/>
      <c r="L3" s="3038"/>
      <c r="M3" s="3039"/>
      <c r="N3" s="3039"/>
      <c r="O3" s="3039"/>
      <c r="P3" s="3029"/>
      <c r="Q3" s="3029"/>
      <c r="R3" s="3029"/>
      <c r="S3" s="3029"/>
      <c r="T3" s="3029"/>
      <c r="U3" s="3029"/>
      <c r="V3" s="3029"/>
      <c r="W3" s="3029"/>
      <c r="X3" s="3029"/>
      <c r="Y3" s="3029"/>
      <c r="Z3" s="3029"/>
      <c r="AA3" s="3029"/>
      <c r="AB3" s="3042"/>
      <c r="AC3" s="3043"/>
    </row>
    <row r="4" spans="1:30" ht="15">
      <c r="A4" s="3044" t="s">
        <v>3419</v>
      </c>
      <c r="B4" s="3045"/>
      <c r="C4" s="3617" t="s">
        <v>3420</v>
      </c>
      <c r="D4" s="3644"/>
      <c r="E4" s="3645" t="s">
        <v>3421</v>
      </c>
      <c r="F4" s="3646"/>
      <c r="G4" s="3617" t="s">
        <v>3422</v>
      </c>
      <c r="H4" s="3644"/>
      <c r="I4" s="3617" t="s">
        <v>3423</v>
      </c>
      <c r="J4" s="3644"/>
      <c r="K4" s="3046" t="s">
        <v>3424</v>
      </c>
      <c r="L4" s="3047"/>
      <c r="M4" s="3048"/>
      <c r="N4" s="3048"/>
      <c r="O4" s="3048"/>
      <c r="P4" s="3647" t="s">
        <v>3425</v>
      </c>
      <c r="Q4" s="3648"/>
      <c r="R4" s="3634" t="s">
        <v>3421</v>
      </c>
      <c r="S4" s="3635"/>
      <c r="T4" s="3634" t="s">
        <v>3422</v>
      </c>
      <c r="U4" s="3635"/>
      <c r="V4" s="3630" t="s">
        <v>3423</v>
      </c>
      <c r="W4" s="3630"/>
      <c r="X4" s="3049"/>
      <c r="Y4" s="3634" t="s">
        <v>3425</v>
      </c>
      <c r="Z4" s="3635"/>
      <c r="AA4" s="3640" t="s">
        <v>3421</v>
      </c>
      <c r="AB4" s="3641" t="s">
        <v>3422</v>
      </c>
      <c r="AC4" s="3640" t="s">
        <v>3423</v>
      </c>
    </row>
    <row r="5" spans="1:30" ht="15">
      <c r="A5" s="3051"/>
      <c r="B5" s="3052"/>
      <c r="C5" s="3653" t="s">
        <v>3426</v>
      </c>
      <c r="D5" s="3654"/>
      <c r="E5" s="3655" t="str">
        <f>土地案例!A3</f>
        <v>朝阳区金盏乡楼梓庄村1113-602地块</v>
      </c>
      <c r="F5" s="3656"/>
      <c r="G5" s="3655" t="str">
        <f>土地案例!A5</f>
        <v>朝阳区金盏乡楼梓庄村1113-603地块</v>
      </c>
      <c r="H5" s="3656"/>
      <c r="I5" s="3655" t="str">
        <f>土地案例!A6</f>
        <v>朝阳区金盏乡楼梓庄村1113-604地块</v>
      </c>
      <c r="J5" s="3656"/>
      <c r="K5" s="3046"/>
      <c r="L5" s="3047"/>
      <c r="M5" s="3048"/>
      <c r="N5" s="3048"/>
      <c r="O5" s="3048"/>
      <c r="P5" s="3649"/>
      <c r="Q5" s="3650"/>
      <c r="R5" s="3636"/>
      <c r="S5" s="3637"/>
      <c r="T5" s="3636"/>
      <c r="U5" s="3637"/>
      <c r="V5" s="3630"/>
      <c r="W5" s="3630"/>
      <c r="X5" s="3049"/>
      <c r="Y5" s="3636"/>
      <c r="Z5" s="3637"/>
      <c r="AA5" s="3641"/>
      <c r="AB5" s="3641"/>
      <c r="AC5" s="3641"/>
    </row>
    <row r="6" spans="1:30" ht="15.75" thickBot="1">
      <c r="A6" s="3053"/>
      <c r="B6" s="3054"/>
      <c r="C6" s="3657" t="s">
        <v>3427</v>
      </c>
      <c r="D6" s="3658"/>
      <c r="E6" s="3659" t="s">
        <v>3427</v>
      </c>
      <c r="F6" s="3660"/>
      <c r="G6" s="3657" t="s">
        <v>3427</v>
      </c>
      <c r="H6" s="3658"/>
      <c r="I6" s="3657" t="s">
        <v>3427</v>
      </c>
      <c r="J6" s="3658"/>
      <c r="K6" s="3046" t="s">
        <v>3428</v>
      </c>
      <c r="L6" s="3047"/>
      <c r="M6" s="3048"/>
      <c r="N6" s="3048"/>
      <c r="O6" s="3048"/>
      <c r="P6" s="3651"/>
      <c r="Q6" s="3652"/>
      <c r="R6" s="3636"/>
      <c r="S6" s="3637"/>
      <c r="T6" s="3638"/>
      <c r="U6" s="3639"/>
      <c r="V6" s="3630"/>
      <c r="W6" s="3630"/>
      <c r="X6" s="3049"/>
      <c r="Y6" s="3638"/>
      <c r="Z6" s="3639"/>
      <c r="AA6" s="3642"/>
      <c r="AB6" s="3642"/>
      <c r="AC6" s="3642"/>
    </row>
    <row r="7" spans="1:30" s="3068" customFormat="1" ht="15.75" thickBot="1">
      <c r="A7" s="3055" t="s">
        <v>3429</v>
      </c>
      <c r="B7" s="3056"/>
      <c r="C7" s="3410">
        <f>'[1]数据-取费表'!B2</f>
        <v>43833</v>
      </c>
      <c r="D7" s="3057">
        <v>100</v>
      </c>
      <c r="E7" s="3058" t="str">
        <f>[1]Sheet1!H3</f>
        <v>2017-04-14</v>
      </c>
      <c r="F7" s="3059">
        <f>SUMIF(70:70,YEAR(E7)&amp;"-"&amp;INT((MONTH(E7)+2)/3),71:71)</f>
        <v>98.5</v>
      </c>
      <c r="G7" s="3060" t="str">
        <f>[1]Sheet1!H5</f>
        <v>2017-03-30</v>
      </c>
      <c r="H7" s="3057">
        <f>SUMIF(70:70,YEAR(G7)&amp;"-"&amp;INT((MONTH(G7)+2)/3),71:71)</f>
        <v>98.5</v>
      </c>
      <c r="I7" s="3060" t="str">
        <f>[1]Sheet1!H6</f>
        <v>2017-03-30</v>
      </c>
      <c r="J7" s="3057">
        <f>SUMIF(70:70,YEAR(I7)&amp;"-"&amp;INT((MONTH(I7)+2)/3),71:71)</f>
        <v>98.5</v>
      </c>
      <c r="K7" s="3061"/>
      <c r="L7" s="3062"/>
      <c r="M7" s="3063"/>
      <c r="N7" s="3063"/>
      <c r="O7" s="3063"/>
      <c r="P7" s="3631" t="s">
        <v>3430</v>
      </c>
      <c r="Q7" s="3643"/>
      <c r="R7" s="3064" t="s">
        <v>3431</v>
      </c>
      <c r="S7" s="3065">
        <f t="shared" ref="S7:S15" si="0">F7</f>
        <v>98.5</v>
      </c>
      <c r="T7" s="3064" t="s">
        <v>3431</v>
      </c>
      <c r="U7" s="3065">
        <f t="shared" ref="U7:U15" si="1">H7</f>
        <v>98.5</v>
      </c>
      <c r="V7" s="3064" t="s">
        <v>3431</v>
      </c>
      <c r="W7" s="3065">
        <f t="shared" ref="W7:W15" si="2">J7</f>
        <v>98.5</v>
      </c>
      <c r="X7" s="3066"/>
      <c r="Y7" s="3631" t="s">
        <v>3430</v>
      </c>
      <c r="Z7" s="3632"/>
      <c r="AA7" s="3067">
        <f>D7/F7</f>
        <v>1.015228426395939</v>
      </c>
      <c r="AB7" s="3067">
        <f>D7/H7</f>
        <v>1.015228426395939</v>
      </c>
      <c r="AC7" s="3067">
        <f>D7/J7</f>
        <v>1.015228426395939</v>
      </c>
    </row>
    <row r="8" spans="1:30" s="3068" customFormat="1" ht="15.75" thickBot="1">
      <c r="A8" s="3055" t="s">
        <v>3432</v>
      </c>
      <c r="B8" s="3056"/>
      <c r="C8" s="3368" t="s">
        <v>2539</v>
      </c>
      <c r="D8" s="3057">
        <v>100</v>
      </c>
      <c r="E8" s="3069" t="s">
        <v>3052</v>
      </c>
      <c r="F8" s="3059">
        <f>SUMIF(73:73,E8,74:74)-SUMIF(73:73,C8,74:74)+100</f>
        <v>100</v>
      </c>
      <c r="G8" s="3069" t="s">
        <v>3052</v>
      </c>
      <c r="H8" s="3057">
        <f>SUMIF(73:73,G8,74:74)-SUMIF(73:73,C8,74:74)+100</f>
        <v>100</v>
      </c>
      <c r="I8" s="3069" t="s">
        <v>3052</v>
      </c>
      <c r="J8" s="3057">
        <f>SUMIF(73:73,I8,74:74)-SUMIF(73:73,C8,74:74)+100</f>
        <v>100</v>
      </c>
      <c r="K8" s="3061"/>
      <c r="L8" s="3062"/>
      <c r="M8" s="3063"/>
      <c r="N8" s="3063"/>
      <c r="O8" s="3063"/>
      <c r="P8" s="3631" t="s">
        <v>2540</v>
      </c>
      <c r="Q8" s="3632"/>
      <c r="R8" s="3064" t="s">
        <v>3433</v>
      </c>
      <c r="S8" s="3065">
        <f t="shared" si="0"/>
        <v>100</v>
      </c>
      <c r="T8" s="3064" t="s">
        <v>3433</v>
      </c>
      <c r="U8" s="3065">
        <f t="shared" si="1"/>
        <v>100</v>
      </c>
      <c r="V8" s="3064" t="s">
        <v>3433</v>
      </c>
      <c r="W8" s="3065">
        <f t="shared" si="2"/>
        <v>100</v>
      </c>
      <c r="X8" s="3066"/>
      <c r="Y8" s="3631" t="s">
        <v>2540</v>
      </c>
      <c r="Z8" s="3632"/>
      <c r="AA8" s="3067">
        <f t="shared" ref="AA8:AA45" si="3">D8/F8</f>
        <v>1</v>
      </c>
      <c r="AB8" s="3067">
        <f t="shared" ref="AB8:AB45" si="4">D8/H8</f>
        <v>1</v>
      </c>
      <c r="AC8" s="3067">
        <f t="shared" ref="AC8:AC45" si="5">D8/J8</f>
        <v>1</v>
      </c>
    </row>
    <row r="9" spans="1:30" s="3068" customFormat="1">
      <c r="A9" s="3070" t="s">
        <v>3434</v>
      </c>
      <c r="B9" s="3071" t="s">
        <v>3435</v>
      </c>
      <c r="C9" s="3072" t="s">
        <v>3436</v>
      </c>
      <c r="D9" s="3073">
        <v>100</v>
      </c>
      <c r="E9" s="3072" t="s">
        <v>3436</v>
      </c>
      <c r="F9" s="3073">
        <f>SUMIF(75:75,E9,76:76)-SUMIF(75:75,C9,76:76)+100</f>
        <v>100</v>
      </c>
      <c r="G9" s="3072" t="s">
        <v>3436</v>
      </c>
      <c r="H9" s="3073">
        <f>SUMIF(75:75,G9,76:76)-SUMIF(75:75,C9,76:76)+100</f>
        <v>100</v>
      </c>
      <c r="I9" s="3072" t="s">
        <v>3436</v>
      </c>
      <c r="J9" s="3073">
        <f>SUMIF(75:75,I9,76:76)-SUMIF(75:75,C9,76:76)+100</f>
        <v>100</v>
      </c>
      <c r="K9" s="3061"/>
      <c r="L9" s="3062"/>
      <c r="M9" s="3063"/>
      <c r="N9" s="3063"/>
      <c r="O9" s="3074"/>
      <c r="P9" s="3620" t="s">
        <v>3437</v>
      </c>
      <c r="Q9" s="3075" t="str">
        <f t="shared" ref="Q9:Q15" si="6">B9</f>
        <v>用途</v>
      </c>
      <c r="R9" s="3064" t="s">
        <v>3433</v>
      </c>
      <c r="S9" s="3065">
        <f t="shared" si="0"/>
        <v>100</v>
      </c>
      <c r="T9" s="3064" t="s">
        <v>3433</v>
      </c>
      <c r="U9" s="3065">
        <f t="shared" si="1"/>
        <v>100</v>
      </c>
      <c r="V9" s="3064" t="s">
        <v>3433</v>
      </c>
      <c r="W9" s="3065">
        <f t="shared" si="2"/>
        <v>100</v>
      </c>
      <c r="X9" s="3066"/>
      <c r="Y9" s="3633" t="s">
        <v>3438</v>
      </c>
      <c r="Z9" s="3076" t="str">
        <f t="shared" ref="Z9:Z15" si="7">Q9</f>
        <v>用途</v>
      </c>
      <c r="AA9" s="3067">
        <f t="shared" si="3"/>
        <v>1</v>
      </c>
      <c r="AB9" s="3067">
        <f t="shared" si="4"/>
        <v>1</v>
      </c>
      <c r="AC9" s="3067">
        <f t="shared" si="5"/>
        <v>1</v>
      </c>
    </row>
    <row r="10" spans="1:30" s="3087" customFormat="1" ht="28.5">
      <c r="A10" s="3077"/>
      <c r="B10" s="3078" t="s">
        <v>2545</v>
      </c>
      <c r="C10" s="3079" t="s">
        <v>3439</v>
      </c>
      <c r="D10" s="3080">
        <v>100</v>
      </c>
      <c r="E10" s="3081" t="s">
        <v>3440</v>
      </c>
      <c r="F10" s="3080">
        <f>ROUND(100/'[1]数据-取费表'!G16,0)</f>
        <v>105</v>
      </c>
      <c r="G10" s="3082" t="s">
        <v>3440</v>
      </c>
      <c r="H10" s="3080">
        <f>ROUND(100/'[1]数据-取费表'!G16,0)</f>
        <v>105</v>
      </c>
      <c r="I10" s="3082" t="s">
        <v>3440</v>
      </c>
      <c r="J10" s="3080">
        <f>ROUND(100/'[1]数据-取费表'!G16,0)</f>
        <v>105</v>
      </c>
      <c r="K10" s="3083"/>
      <c r="L10" s="3084"/>
      <c r="M10" s="3085"/>
      <c r="N10" s="3085"/>
      <c r="O10" s="3086"/>
      <c r="P10" s="3620"/>
      <c r="Q10" s="3075" t="str">
        <f t="shared" si="6"/>
        <v>土地使用年限（年）</v>
      </c>
      <c r="R10" s="3064" t="s">
        <v>3433</v>
      </c>
      <c r="S10" s="3065">
        <f t="shared" si="0"/>
        <v>105</v>
      </c>
      <c r="T10" s="3064" t="s">
        <v>3433</v>
      </c>
      <c r="U10" s="3065">
        <f t="shared" si="1"/>
        <v>105</v>
      </c>
      <c r="V10" s="3064" t="s">
        <v>3433</v>
      </c>
      <c r="W10" s="3065">
        <f t="shared" si="2"/>
        <v>105</v>
      </c>
      <c r="X10" s="3066"/>
      <c r="Y10" s="3633"/>
      <c r="Z10" s="3076" t="str">
        <f t="shared" si="7"/>
        <v>土地使用年限（年）</v>
      </c>
      <c r="AA10" s="3067">
        <f t="shared" si="3"/>
        <v>0.95238095238095233</v>
      </c>
      <c r="AB10" s="3067">
        <f t="shared" si="4"/>
        <v>0.95238095238095233</v>
      </c>
      <c r="AC10" s="3067">
        <f t="shared" si="5"/>
        <v>0.95238095238095233</v>
      </c>
    </row>
    <row r="11" spans="1:30" ht="15">
      <c r="A11" s="3088"/>
      <c r="B11" s="3078" t="s">
        <v>3441</v>
      </c>
      <c r="C11" s="3089">
        <f>'数据-汇总表'!I4</f>
        <v>1.61</v>
      </c>
      <c r="D11" s="3080">
        <v>100</v>
      </c>
      <c r="E11" s="3089">
        <f>[1]Sheet1!F3</f>
        <v>3</v>
      </c>
      <c r="F11" s="3080">
        <f>LOOKUP(E11,80:80,81:81)-LOOKUP(C11,80:80,81:81)+100</f>
        <v>98</v>
      </c>
      <c r="G11" s="3090">
        <f>[1]Sheet1!F5</f>
        <v>2</v>
      </c>
      <c r="H11" s="3080">
        <f>LOOKUP(G11,80:80,81:81)-LOOKUP(C11,80:80,81:81)+100</f>
        <v>99</v>
      </c>
      <c r="I11" s="3089">
        <f>[1]Sheet1!F6</f>
        <v>2</v>
      </c>
      <c r="J11" s="3080">
        <f>LOOKUP(I11,80:80,81:81)-LOOKUP(C11,80:80,81:81)+100</f>
        <v>99</v>
      </c>
      <c r="K11" s="3091">
        <v>1</v>
      </c>
      <c r="L11" s="3092"/>
      <c r="M11" s="3048"/>
      <c r="N11" s="3048"/>
      <c r="O11" s="3093"/>
      <c r="P11" s="3620"/>
      <c r="Q11" s="3075" t="str">
        <f t="shared" si="6"/>
        <v>容积率</v>
      </c>
      <c r="R11" s="3064" t="s">
        <v>3431</v>
      </c>
      <c r="S11" s="3065">
        <f t="shared" si="0"/>
        <v>98</v>
      </c>
      <c r="T11" s="3064" t="s">
        <v>3431</v>
      </c>
      <c r="U11" s="3065">
        <f t="shared" si="1"/>
        <v>99</v>
      </c>
      <c r="V11" s="3064" t="s">
        <v>3431</v>
      </c>
      <c r="W11" s="3065">
        <f t="shared" si="2"/>
        <v>99</v>
      </c>
      <c r="X11" s="3066"/>
      <c r="Y11" s="3633"/>
      <c r="Z11" s="3076" t="str">
        <f t="shared" si="7"/>
        <v>容积率</v>
      </c>
      <c r="AA11" s="3067">
        <f t="shared" si="3"/>
        <v>1.0204081632653061</v>
      </c>
      <c r="AB11" s="3067">
        <f t="shared" si="4"/>
        <v>1.0101010101010102</v>
      </c>
      <c r="AC11" s="3067">
        <f t="shared" si="5"/>
        <v>1.0101010101010102</v>
      </c>
    </row>
    <row r="12" spans="1:30" s="3068" customFormat="1" ht="15">
      <c r="A12" s="3094"/>
      <c r="B12" s="3095" t="s">
        <v>3442</v>
      </c>
      <c r="C12" s="3096" t="s">
        <v>3443</v>
      </c>
      <c r="D12" s="3097">
        <v>100</v>
      </c>
      <c r="E12" s="3098" t="s">
        <v>3443</v>
      </c>
      <c r="F12" s="3080">
        <f>SUMIF(82:82,E12,83:83)-SUMIF(82:82,C12,83:83)+100</f>
        <v>100</v>
      </c>
      <c r="G12" s="3082" t="s">
        <v>3444</v>
      </c>
      <c r="H12" s="3080">
        <f>SUMIF(82:82,G12,83:83)-SUMIF(82:82,C12,83:83)+100</f>
        <v>95</v>
      </c>
      <c r="I12" s="3081" t="s">
        <v>3444</v>
      </c>
      <c r="J12" s="3080">
        <f>SUMIF(82:82,I12,83:83)-SUMIF(82:82,C12,83:83)+100</f>
        <v>95</v>
      </c>
      <c r="K12" s="3083"/>
      <c r="L12" s="3062"/>
      <c r="M12" s="3063"/>
      <c r="N12" s="3063"/>
      <c r="O12" s="3074"/>
      <c r="P12" s="3620"/>
      <c r="Q12" s="3075" t="str">
        <f t="shared" si="6"/>
        <v>自持</v>
      </c>
      <c r="R12" s="3064" t="s">
        <v>3431</v>
      </c>
      <c r="S12" s="3065">
        <f t="shared" si="0"/>
        <v>100</v>
      </c>
      <c r="T12" s="3064" t="s">
        <v>3431</v>
      </c>
      <c r="U12" s="3065">
        <f t="shared" si="1"/>
        <v>95</v>
      </c>
      <c r="V12" s="3064" t="s">
        <v>3431</v>
      </c>
      <c r="W12" s="3065">
        <f t="shared" si="2"/>
        <v>95</v>
      </c>
      <c r="X12" s="3066"/>
      <c r="Y12" s="3633"/>
      <c r="Z12" s="3076" t="str">
        <f t="shared" si="7"/>
        <v>自持</v>
      </c>
      <c r="AA12" s="3067">
        <f>D12/F12</f>
        <v>1</v>
      </c>
      <c r="AB12" s="3067">
        <f>D12/H12</f>
        <v>1.0526315789473684</v>
      </c>
      <c r="AC12" s="3067">
        <f>D12/J12</f>
        <v>1.0526315789473684</v>
      </c>
    </row>
    <row r="13" spans="1:30" ht="15">
      <c r="A13" s="3088"/>
      <c r="B13" s="3099"/>
      <c r="C13" s="3100"/>
      <c r="D13" s="3101">
        <v>100</v>
      </c>
      <c r="E13" s="3102"/>
      <c r="F13" s="3080">
        <f>SUMIF(84:84,E13,85:85)-SUMIF(84:84,C13,85:85)+100</f>
        <v>100</v>
      </c>
      <c r="G13" s="3103"/>
      <c r="H13" s="3101">
        <f>SUMIF(84:84,G13,85:85)-SUMIF(84:84,C13,85:85)+100</f>
        <v>100</v>
      </c>
      <c r="I13" s="3103"/>
      <c r="J13" s="3101">
        <f>SUMIF(84:84,I13,85:85)-SUMIF(84:84,C13,85:85)+100</f>
        <v>100</v>
      </c>
      <c r="K13" s="3083"/>
      <c r="L13" s="3104"/>
      <c r="M13" s="3048"/>
      <c r="N13" s="3048"/>
      <c r="O13" s="3093"/>
      <c r="P13" s="3620"/>
      <c r="Q13" s="3075">
        <f t="shared" si="6"/>
        <v>0</v>
      </c>
      <c r="R13" s="3064" t="s">
        <v>3431</v>
      </c>
      <c r="S13" s="3065">
        <f t="shared" si="0"/>
        <v>100</v>
      </c>
      <c r="T13" s="3064" t="s">
        <v>3431</v>
      </c>
      <c r="U13" s="3065">
        <f t="shared" si="1"/>
        <v>100</v>
      </c>
      <c r="V13" s="3064" t="s">
        <v>3431</v>
      </c>
      <c r="W13" s="3065">
        <f t="shared" si="2"/>
        <v>100</v>
      </c>
      <c r="X13" s="3066"/>
      <c r="Y13" s="3633"/>
      <c r="Z13" s="3076">
        <f t="shared" si="7"/>
        <v>0</v>
      </c>
      <c r="AA13" s="3067">
        <f>D13/F13</f>
        <v>1</v>
      </c>
      <c r="AB13" s="3067">
        <f>D13/H13</f>
        <v>1</v>
      </c>
      <c r="AC13" s="3067">
        <f>D13/J13</f>
        <v>1</v>
      </c>
    </row>
    <row r="14" spans="1:30" ht="15.75" thickBot="1">
      <c r="A14" s="3105"/>
      <c r="B14" s="3106"/>
      <c r="C14" s="3107"/>
      <c r="D14" s="3108">
        <v>100</v>
      </c>
      <c r="E14" s="3102"/>
      <c r="F14" s="3108">
        <f>SUMIF(86:86,E14,87:87)-SUMIF(86:86,C14,87:87)+100</f>
        <v>100</v>
      </c>
      <c r="G14" s="3103"/>
      <c r="H14" s="3108">
        <f>SUMIF(86:86,G14,87:87)-SUMIF(86:86,C14,87:87)+100</f>
        <v>100</v>
      </c>
      <c r="I14" s="3103"/>
      <c r="J14" s="3108">
        <f>SUMIF(86:86,I14,87:87)-SUMIF(86:86,C14,87:87)+100</f>
        <v>100</v>
      </c>
      <c r="K14" s="3083"/>
      <c r="L14" s="3104"/>
      <c r="M14" s="3048"/>
      <c r="N14" s="3048"/>
      <c r="O14" s="3093"/>
      <c r="P14" s="3620"/>
      <c r="Q14" s="3075">
        <f t="shared" si="6"/>
        <v>0</v>
      </c>
      <c r="R14" s="3064" t="s">
        <v>3431</v>
      </c>
      <c r="S14" s="3065">
        <f t="shared" si="0"/>
        <v>100</v>
      </c>
      <c r="T14" s="3064" t="s">
        <v>3431</v>
      </c>
      <c r="U14" s="3065">
        <f t="shared" si="1"/>
        <v>100</v>
      </c>
      <c r="V14" s="3064" t="s">
        <v>3431</v>
      </c>
      <c r="W14" s="3065">
        <f t="shared" si="2"/>
        <v>100</v>
      </c>
      <c r="X14" s="3066"/>
      <c r="Y14" s="3633"/>
      <c r="Z14" s="3076">
        <f t="shared" si="7"/>
        <v>0</v>
      </c>
      <c r="AA14" s="3067">
        <f>D14/F14</f>
        <v>1</v>
      </c>
      <c r="AB14" s="3067">
        <f>D14/H14</f>
        <v>1</v>
      </c>
      <c r="AC14" s="3067">
        <f>D14/J14</f>
        <v>1</v>
      </c>
    </row>
    <row r="15" spans="1:30" ht="57" hidden="1">
      <c r="A15" s="3109" t="s">
        <v>3445</v>
      </c>
      <c r="B15" s="3110" t="s">
        <v>2076</v>
      </c>
      <c r="C15" s="3369" t="str">
        <f>[1]估价对象房地状况!C15</f>
        <v>估价对象周边居住用地比例、居住小区规模和社区发展完善程度，综合评价居住社区成熟度一般</v>
      </c>
      <c r="D15" s="3111">
        <v>100</v>
      </c>
      <c r="E15" s="3112"/>
      <c r="F15" s="3111">
        <f>SUMIF(88:88,E16,89:89)-SUMIF(88:88,C16,89:89)+100</f>
        <v>100</v>
      </c>
      <c r="G15" s="3112"/>
      <c r="H15" s="3111">
        <f>SUMIF(88:88,G16,89:89)-SUMIF(88:88,C16,89:89)+100</f>
        <v>100</v>
      </c>
      <c r="I15" s="3113"/>
      <c r="J15" s="3111">
        <f>SUMIF(88:88,I16,89:89)-SUMIF(88:88,C16,89:89)+100</f>
        <v>100</v>
      </c>
      <c r="K15" s="3091"/>
      <c r="L15" s="3104"/>
      <c r="M15" s="3048"/>
      <c r="N15" s="3048"/>
      <c r="O15" s="3093"/>
      <c r="P15" s="3623" t="s">
        <v>3446</v>
      </c>
      <c r="Q15" s="3114" t="str">
        <f t="shared" si="6"/>
        <v>居住社区成熟度</v>
      </c>
      <c r="R15" s="3115" t="s">
        <v>3431</v>
      </c>
      <c r="S15" s="3116">
        <f t="shared" si="0"/>
        <v>100</v>
      </c>
      <c r="T15" s="3115" t="s">
        <v>3431</v>
      </c>
      <c r="U15" s="3116">
        <f t="shared" si="1"/>
        <v>100</v>
      </c>
      <c r="V15" s="3115" t="s">
        <v>3431</v>
      </c>
      <c r="W15" s="3116">
        <f t="shared" si="2"/>
        <v>100</v>
      </c>
      <c r="X15" s="3049"/>
      <c r="Y15" s="3623" t="s">
        <v>3446</v>
      </c>
      <c r="Z15" s="3117" t="str">
        <f t="shared" si="7"/>
        <v>居住社区成熟度</v>
      </c>
      <c r="AA15" s="3118">
        <f t="shared" si="3"/>
        <v>1</v>
      </c>
      <c r="AB15" s="3118">
        <f t="shared" si="4"/>
        <v>1</v>
      </c>
      <c r="AC15" s="3118">
        <f t="shared" si="5"/>
        <v>1</v>
      </c>
    </row>
    <row r="16" spans="1:30" ht="15" hidden="1">
      <c r="A16" s="3088"/>
      <c r="B16" s="3119"/>
      <c r="C16" s="3120"/>
      <c r="D16" s="3121"/>
      <c r="E16" s="3122"/>
      <c r="F16" s="3121"/>
      <c r="G16" s="3122"/>
      <c r="H16" s="3123"/>
      <c r="I16" s="3124"/>
      <c r="J16" s="3121"/>
      <c r="K16" s="3083"/>
      <c r="L16" s="3104"/>
      <c r="M16" s="3048"/>
      <c r="N16" s="3048"/>
      <c r="O16" s="3093"/>
      <c r="P16" s="3624"/>
      <c r="Q16" s="3114"/>
      <c r="R16" s="3115"/>
      <c r="S16" s="3116"/>
      <c r="T16" s="3115"/>
      <c r="U16" s="3116"/>
      <c r="V16" s="3115"/>
      <c r="W16" s="3116"/>
      <c r="X16" s="3049"/>
      <c r="Y16" s="3624"/>
      <c r="Z16" s="3117"/>
      <c r="AA16" s="3118">
        <v>1</v>
      </c>
      <c r="AB16" s="3118">
        <v>1</v>
      </c>
      <c r="AC16" s="3118">
        <v>1</v>
      </c>
    </row>
    <row r="17" spans="1:29" ht="74.25" customHeight="1">
      <c r="A17" s="3088"/>
      <c r="B17" s="3125" t="s">
        <v>3447</v>
      </c>
      <c r="C17" s="3133" t="str">
        <f>估价对象房地状况!C4</f>
        <v>估价对象位于望京商圈，周边商业氛围较成熟，人流量较大，商业繁华度较好</v>
      </c>
      <c r="D17" s="3123">
        <v>100</v>
      </c>
      <c r="E17" s="3127"/>
      <c r="F17" s="3123">
        <f>SUMIF(90:90,E18,91:91)-SUMIF(90:90,C18,91:91)+100</f>
        <v>98</v>
      </c>
      <c r="G17" s="3127"/>
      <c r="H17" s="3128">
        <f>SUMIF(90:90,G18,91:91)-SUMIF(90:90,C18,91:91)+100</f>
        <v>98</v>
      </c>
      <c r="I17" s="3127"/>
      <c r="J17" s="3128">
        <f>SUMIF(90:90,I18,91:91)-SUMIF(90:90,C18,91:91)+100</f>
        <v>98</v>
      </c>
      <c r="K17" s="3091">
        <v>2</v>
      </c>
      <c r="L17" s="3104"/>
      <c r="M17" s="3048"/>
      <c r="N17" s="3048"/>
      <c r="O17" s="3093"/>
      <c r="P17" s="3624"/>
      <c r="Q17" s="3114" t="str">
        <f>B17</f>
        <v>商业繁华度</v>
      </c>
      <c r="R17" s="3115" t="s">
        <v>3431</v>
      </c>
      <c r="S17" s="3116">
        <f>F17</f>
        <v>98</v>
      </c>
      <c r="T17" s="3115" t="s">
        <v>3431</v>
      </c>
      <c r="U17" s="3116">
        <f>H17</f>
        <v>98</v>
      </c>
      <c r="V17" s="3115" t="s">
        <v>3431</v>
      </c>
      <c r="W17" s="3116">
        <f>J17</f>
        <v>98</v>
      </c>
      <c r="X17" s="3049"/>
      <c r="Y17" s="3624"/>
      <c r="Z17" s="3117" t="str">
        <f>Q17</f>
        <v>商业繁华度</v>
      </c>
      <c r="AA17" s="3118">
        <f t="shared" si="3"/>
        <v>1.0204081632653061</v>
      </c>
      <c r="AB17" s="3118">
        <f t="shared" si="4"/>
        <v>1.0204081632653061</v>
      </c>
      <c r="AC17" s="3118">
        <f t="shared" si="5"/>
        <v>1.0204081632653061</v>
      </c>
    </row>
    <row r="18" spans="1:29" ht="15">
      <c r="A18" s="3088"/>
      <c r="B18" s="3129"/>
      <c r="C18" s="3130" t="s">
        <v>3058</v>
      </c>
      <c r="D18" s="3123"/>
      <c r="E18" s="3131" t="s">
        <v>3059</v>
      </c>
      <c r="F18" s="3123"/>
      <c r="G18" s="3131" t="s">
        <v>3059</v>
      </c>
      <c r="H18" s="3121"/>
      <c r="I18" s="3131" t="s">
        <v>3059</v>
      </c>
      <c r="J18" s="3121"/>
      <c r="K18" s="3083"/>
      <c r="L18" s="3104"/>
      <c r="M18" s="3048"/>
      <c r="N18" s="3048"/>
      <c r="O18" s="3093"/>
      <c r="P18" s="3624"/>
      <c r="Q18" s="3114"/>
      <c r="R18" s="3115"/>
      <c r="S18" s="3116"/>
      <c r="T18" s="3115"/>
      <c r="U18" s="3116"/>
      <c r="V18" s="3115"/>
      <c r="W18" s="3116"/>
      <c r="X18" s="3049"/>
      <c r="Y18" s="3624"/>
      <c r="Z18" s="3117"/>
      <c r="AA18" s="3118">
        <v>1</v>
      </c>
      <c r="AB18" s="3118">
        <v>1</v>
      </c>
      <c r="AC18" s="3118">
        <v>1</v>
      </c>
    </row>
    <row r="19" spans="1:29" ht="72" customHeight="1">
      <c r="A19" s="3088"/>
      <c r="B19" s="3125" t="s">
        <v>3448</v>
      </c>
      <c r="C19" s="3126" t="str">
        <f>估价对象房地状况!C5</f>
        <v>估价对象位于望京商圈，周边办公楼项目较多，入驻率较高，办公集聚程度较好</v>
      </c>
      <c r="D19" s="3128">
        <v>100</v>
      </c>
      <c r="E19" s="3132"/>
      <c r="F19" s="3128">
        <f>SUMIF(92:92,E20,93:93)-SUMIF(92:92,C20,93:93)+100</f>
        <v>98</v>
      </c>
      <c r="G19" s="3132"/>
      <c r="H19" s="3123">
        <f>SUMIF(92:92,G20,93:93)-SUMIF(92:92,C20,93:93)+100</f>
        <v>98</v>
      </c>
      <c r="I19" s="3132"/>
      <c r="J19" s="3123">
        <f>SUMIF(92:92,I20,93:93)-SUMIF(92:92,C20,93:93)+100</f>
        <v>98</v>
      </c>
      <c r="K19" s="3091">
        <v>2</v>
      </c>
      <c r="L19" s="3104"/>
      <c r="M19" s="3048"/>
      <c r="N19" s="3048"/>
      <c r="O19" s="3093"/>
      <c r="P19" s="3624"/>
      <c r="Q19" s="3114" t="str">
        <f>B19</f>
        <v>办公集聚程度</v>
      </c>
      <c r="R19" s="3115" t="s">
        <v>3431</v>
      </c>
      <c r="S19" s="3116">
        <f>F19</f>
        <v>98</v>
      </c>
      <c r="T19" s="3115" t="s">
        <v>3431</v>
      </c>
      <c r="U19" s="3116">
        <f>H19</f>
        <v>98</v>
      </c>
      <c r="V19" s="3115" t="s">
        <v>3431</v>
      </c>
      <c r="W19" s="3116">
        <f>J19</f>
        <v>98</v>
      </c>
      <c r="X19" s="3049"/>
      <c r="Y19" s="3624"/>
      <c r="Z19" s="3117" t="str">
        <f>Q19</f>
        <v>办公集聚程度</v>
      </c>
      <c r="AA19" s="3118">
        <f t="shared" si="3"/>
        <v>1.0204081632653061</v>
      </c>
      <c r="AB19" s="3118">
        <f t="shared" si="4"/>
        <v>1.0204081632653061</v>
      </c>
      <c r="AC19" s="3118">
        <f t="shared" si="5"/>
        <v>1.0204081632653061</v>
      </c>
    </row>
    <row r="20" spans="1:29" ht="15">
      <c r="A20" s="3088"/>
      <c r="B20" s="3129"/>
      <c r="C20" s="3120" t="s">
        <v>3058</v>
      </c>
      <c r="D20" s="3121"/>
      <c r="E20" s="3122" t="s">
        <v>3059</v>
      </c>
      <c r="F20" s="3121"/>
      <c r="G20" s="3122" t="s">
        <v>3059</v>
      </c>
      <c r="H20" s="3121"/>
      <c r="I20" s="3122" t="s">
        <v>3059</v>
      </c>
      <c r="J20" s="3121"/>
      <c r="K20" s="3083"/>
      <c r="L20" s="3104"/>
      <c r="M20" s="3048"/>
      <c r="N20" s="3048"/>
      <c r="O20" s="3093"/>
      <c r="P20" s="3624"/>
      <c r="Q20" s="3114"/>
      <c r="R20" s="3115"/>
      <c r="S20" s="3116"/>
      <c r="T20" s="3115"/>
      <c r="U20" s="3116"/>
      <c r="V20" s="3115"/>
      <c r="W20" s="3116"/>
      <c r="X20" s="3049"/>
      <c r="Y20" s="3624"/>
      <c r="Z20" s="3117"/>
      <c r="AA20" s="3118">
        <v>1</v>
      </c>
      <c r="AB20" s="3118">
        <v>1</v>
      </c>
      <c r="AC20" s="3118">
        <v>1</v>
      </c>
    </row>
    <row r="21" spans="1:29" ht="71.25">
      <c r="A21" s="3088"/>
      <c r="B21" s="3125" t="s">
        <v>3449</v>
      </c>
      <c r="C21" s="3133" t="str">
        <f>估价对象房地状况!C6</f>
        <v>估价对象周边道路状况较好、地铁14、15号线通过，公共交通通达情况较好、停车便捷程度较好，综合评价交通便捷度较好</v>
      </c>
      <c r="D21" s="3123">
        <v>100</v>
      </c>
      <c r="E21" s="3127"/>
      <c r="F21" s="3128">
        <f>SUMIF(94:94,E22,95:95)-SUMIF(94:94,C22,95:95)+100</f>
        <v>98</v>
      </c>
      <c r="G21" s="3127"/>
      <c r="H21" s="3123">
        <f>SUMIF(94:94,G22,95:95)-SUMIF(94:94,C22,95:95)+100</f>
        <v>98</v>
      </c>
      <c r="I21" s="3127"/>
      <c r="J21" s="3123">
        <f>SUMIF(94:94,I22,95:95)-SUMIF(94:94,C22,95:95)+100</f>
        <v>98</v>
      </c>
      <c r="K21" s="3091">
        <v>2</v>
      </c>
      <c r="L21" s="3104"/>
      <c r="M21" s="3048"/>
      <c r="N21" s="3048"/>
      <c r="O21" s="3093"/>
      <c r="P21" s="3624"/>
      <c r="Q21" s="3114" t="str">
        <f>B21</f>
        <v>交通便捷度</v>
      </c>
      <c r="R21" s="3115" t="s">
        <v>3431</v>
      </c>
      <c r="S21" s="3116">
        <f>F21</f>
        <v>98</v>
      </c>
      <c r="T21" s="3115" t="s">
        <v>3431</v>
      </c>
      <c r="U21" s="3116">
        <f>H21</f>
        <v>98</v>
      </c>
      <c r="V21" s="3115" t="s">
        <v>3431</v>
      </c>
      <c r="W21" s="3116">
        <f>J21</f>
        <v>98</v>
      </c>
      <c r="X21" s="3049"/>
      <c r="Y21" s="3624"/>
      <c r="Z21" s="3117" t="str">
        <f>Q21</f>
        <v>交通便捷度</v>
      </c>
      <c r="AA21" s="3118">
        <f t="shared" si="3"/>
        <v>1.0204081632653061</v>
      </c>
      <c r="AB21" s="3118">
        <f t="shared" si="4"/>
        <v>1.0204081632653061</v>
      </c>
      <c r="AC21" s="3118">
        <f t="shared" si="5"/>
        <v>1.0204081632653061</v>
      </c>
    </row>
    <row r="22" spans="1:29" ht="15">
      <c r="A22" s="3088"/>
      <c r="B22" s="3134"/>
      <c r="C22" s="3120" t="s">
        <v>3058</v>
      </c>
      <c r="D22" s="3123"/>
      <c r="E22" s="3122" t="s">
        <v>3059</v>
      </c>
      <c r="F22" s="3121"/>
      <c r="G22" s="3122" t="s">
        <v>3059</v>
      </c>
      <c r="H22" s="3121"/>
      <c r="I22" s="3122" t="s">
        <v>3059</v>
      </c>
      <c r="J22" s="3121"/>
      <c r="K22" s="3083"/>
      <c r="L22" s="3104"/>
      <c r="M22" s="3048"/>
      <c r="N22" s="3048"/>
      <c r="O22" s="3093"/>
      <c r="P22" s="3624"/>
      <c r="Q22" s="3114"/>
      <c r="R22" s="3115"/>
      <c r="S22" s="3116"/>
      <c r="T22" s="3115"/>
      <c r="U22" s="3116"/>
      <c r="V22" s="3115"/>
      <c r="W22" s="3116"/>
      <c r="X22" s="3049"/>
      <c r="Y22" s="3624"/>
      <c r="Z22" s="3117"/>
      <c r="AA22" s="3118">
        <v>1</v>
      </c>
      <c r="AB22" s="3118">
        <v>1</v>
      </c>
      <c r="AC22" s="3118">
        <v>1</v>
      </c>
    </row>
    <row r="23" spans="1:29" ht="15">
      <c r="A23" s="3051"/>
      <c r="B23" s="3125" t="s">
        <v>3450</v>
      </c>
      <c r="C23" s="3135">
        <f>[1]估价对象房地状况!C19</f>
        <v>0</v>
      </c>
      <c r="D23" s="3128">
        <v>100</v>
      </c>
      <c r="E23" s="3127"/>
      <c r="F23" s="3128">
        <f>SUMIF(96:96,E24,97:97)-SUMIF(96:96,C24,97:97)+100</f>
        <v>100</v>
      </c>
      <c r="G23" s="3127"/>
      <c r="H23" s="3128">
        <f>SUMIF(96:96,G24,97:97)-SUMIF(96:96,C24,97:97)+100</f>
        <v>100</v>
      </c>
      <c r="I23" s="3127"/>
      <c r="J23" s="3128">
        <f>SUMIF(96:96,I24,97:97)-SUMIF(96:96,C24,97:97)+100</f>
        <v>100</v>
      </c>
      <c r="K23" s="3091">
        <v>1</v>
      </c>
      <c r="L23" s="3104"/>
      <c r="M23" s="3048"/>
      <c r="N23" s="3048"/>
      <c r="O23" s="3093"/>
      <c r="P23" s="3624"/>
      <c r="Q23" s="3114" t="str">
        <f t="shared" ref="Q23:Q37" si="8">B23</f>
        <v>区域土地利用方向</v>
      </c>
      <c r="R23" s="3115" t="s">
        <v>3431</v>
      </c>
      <c r="S23" s="3116">
        <f>F23</f>
        <v>100</v>
      </c>
      <c r="T23" s="3115" t="s">
        <v>3451</v>
      </c>
      <c r="U23" s="3116">
        <f>H23</f>
        <v>100</v>
      </c>
      <c r="V23" s="3115" t="s">
        <v>3451</v>
      </c>
      <c r="W23" s="3116">
        <f>J23</f>
        <v>100</v>
      </c>
      <c r="X23" s="3049"/>
      <c r="Y23" s="3624"/>
      <c r="Z23" s="3117" t="str">
        <f>Q23</f>
        <v>区域土地利用方向</v>
      </c>
      <c r="AA23" s="3118">
        <f t="shared" si="3"/>
        <v>1</v>
      </c>
      <c r="AB23" s="3118">
        <f t="shared" si="4"/>
        <v>1</v>
      </c>
      <c r="AC23" s="3118">
        <f t="shared" si="5"/>
        <v>1</v>
      </c>
    </row>
    <row r="24" spans="1:29" ht="15">
      <c r="A24" s="3051"/>
      <c r="B24" s="3129"/>
      <c r="C24" s="3136" t="s">
        <v>3058</v>
      </c>
      <c r="D24" s="3121"/>
      <c r="E24" s="3122" t="s">
        <v>3058</v>
      </c>
      <c r="F24" s="3121"/>
      <c r="G24" s="3122" t="s">
        <v>3058</v>
      </c>
      <c r="H24" s="3121"/>
      <c r="I24" s="3122" t="s">
        <v>3058</v>
      </c>
      <c r="J24" s="3121"/>
      <c r="K24" s="3137"/>
      <c r="L24" s="3104"/>
      <c r="M24" s="3048"/>
      <c r="N24" s="3048"/>
      <c r="O24" s="3093"/>
      <c r="P24" s="3624"/>
      <c r="Q24" s="3114"/>
      <c r="R24" s="3115"/>
      <c r="S24" s="3116"/>
      <c r="T24" s="3115"/>
      <c r="U24" s="3116"/>
      <c r="V24" s="3115"/>
      <c r="W24" s="3116"/>
      <c r="X24" s="3049"/>
      <c r="Y24" s="3624"/>
      <c r="Z24" s="3117"/>
      <c r="AA24" s="3118"/>
      <c r="AB24" s="3118"/>
      <c r="AC24" s="3118"/>
    </row>
    <row r="25" spans="1:29" ht="53.25" customHeight="1">
      <c r="A25" s="3051"/>
      <c r="B25" s="3134" t="s">
        <v>3452</v>
      </c>
      <c r="C25" s="3133" t="str">
        <f>估价对象房地状况!C7</f>
        <v>估价对象所在区域公共配套设施齐备情况较好</v>
      </c>
      <c r="D25" s="3123">
        <v>100</v>
      </c>
      <c r="E25" s="3127"/>
      <c r="F25" s="3123">
        <f>SUMIF(98:98,E26,99:99)-SUMIF(98:98,C26,99:99)+100</f>
        <v>99</v>
      </c>
      <c r="G25" s="3127"/>
      <c r="H25" s="3123">
        <f>SUMIF(98:98,G26,99:99)-SUMIF(98:98,C26,99:99)+100</f>
        <v>99</v>
      </c>
      <c r="I25" s="3127"/>
      <c r="J25" s="3123">
        <f>SUMIF(98:98,I26,99:99)-SUMIF(98:98,C26,99:99)+100</f>
        <v>99</v>
      </c>
      <c r="K25" s="3091">
        <v>1</v>
      </c>
      <c r="L25" s="3104"/>
      <c r="M25" s="3048"/>
      <c r="N25" s="3048"/>
      <c r="O25" s="3093"/>
      <c r="P25" s="3624"/>
      <c r="Q25" s="3114" t="str">
        <f t="shared" si="8"/>
        <v>自然及人文环境状况</v>
      </c>
      <c r="R25" s="3115" t="s">
        <v>3451</v>
      </c>
      <c r="S25" s="3116">
        <f>F25</f>
        <v>99</v>
      </c>
      <c r="T25" s="3115" t="s">
        <v>3451</v>
      </c>
      <c r="U25" s="3116">
        <f>H25</f>
        <v>99</v>
      </c>
      <c r="V25" s="3115" t="s">
        <v>3451</v>
      </c>
      <c r="W25" s="3116">
        <f>J25</f>
        <v>99</v>
      </c>
      <c r="X25" s="3049"/>
      <c r="Y25" s="3624"/>
      <c r="Z25" s="3117" t="str">
        <f>Q25</f>
        <v>自然及人文环境状况</v>
      </c>
      <c r="AA25" s="3118">
        <f t="shared" si="3"/>
        <v>1.0101010101010102</v>
      </c>
      <c r="AB25" s="3118">
        <f t="shared" si="4"/>
        <v>1.0101010101010102</v>
      </c>
      <c r="AC25" s="3118">
        <f t="shared" si="5"/>
        <v>1.0101010101010102</v>
      </c>
    </row>
    <row r="26" spans="1:29" ht="15">
      <c r="A26" s="3051"/>
      <c r="B26" s="3129"/>
      <c r="C26" s="3120" t="s">
        <v>3058</v>
      </c>
      <c r="D26" s="3121"/>
      <c r="E26" s="3138" t="s">
        <v>3059</v>
      </c>
      <c r="F26" s="3121"/>
      <c r="G26" s="3138" t="s">
        <v>3059</v>
      </c>
      <c r="H26" s="3121"/>
      <c r="I26" s="3138" t="s">
        <v>3059</v>
      </c>
      <c r="J26" s="3121"/>
      <c r="K26" s="3083"/>
      <c r="L26" s="3104"/>
      <c r="M26" s="3048"/>
      <c r="N26" s="3048"/>
      <c r="O26" s="3093"/>
      <c r="P26" s="3624"/>
      <c r="Q26" s="3114"/>
      <c r="R26" s="3115"/>
      <c r="S26" s="3116"/>
      <c r="T26" s="3115"/>
      <c r="U26" s="3116"/>
      <c r="V26" s="3115"/>
      <c r="W26" s="3116"/>
      <c r="X26" s="3049"/>
      <c r="Y26" s="3624"/>
      <c r="Z26" s="3117"/>
      <c r="AA26" s="3118">
        <v>1</v>
      </c>
      <c r="AB26" s="3118">
        <v>1</v>
      </c>
      <c r="AC26" s="3118">
        <v>1</v>
      </c>
    </row>
    <row r="27" spans="1:29" s="3068" customFormat="1" ht="28.5">
      <c r="A27" s="3139"/>
      <c r="B27" s="3134" t="s">
        <v>3453</v>
      </c>
      <c r="C27" s="3133" t="str">
        <f>[1]估价对象房地状况!C21</f>
        <v>估价对象所在区域公共配套设施齐备情况</v>
      </c>
      <c r="D27" s="3123">
        <v>100</v>
      </c>
      <c r="E27" s="3127"/>
      <c r="F27" s="3123">
        <f>SUMIF(100:100,E28,101:101)-SUMIF(100:100,C28,101:101)+100</f>
        <v>98</v>
      </c>
      <c r="G27" s="3127"/>
      <c r="H27" s="3123">
        <f>SUMIF(100:100,G28,101:101)-SUMIF(100:100,C28,101:101)+100</f>
        <v>98</v>
      </c>
      <c r="I27" s="3127"/>
      <c r="J27" s="3123">
        <f>SUMIF(100:100,I28,101:101)-SUMIF(100:100,C28,101:101)+100</f>
        <v>98</v>
      </c>
      <c r="K27" s="3091">
        <v>2</v>
      </c>
      <c r="L27" s="3062"/>
      <c r="M27" s="3063"/>
      <c r="N27" s="3063"/>
      <c r="O27" s="3074"/>
      <c r="P27" s="3624"/>
      <c r="Q27" s="3075" t="str">
        <f t="shared" si="8"/>
        <v>公共配套设施</v>
      </c>
      <c r="R27" s="3064" t="s">
        <v>3431</v>
      </c>
      <c r="S27" s="3065">
        <f>F27</f>
        <v>98</v>
      </c>
      <c r="T27" s="3064" t="s">
        <v>3431</v>
      </c>
      <c r="U27" s="3065">
        <f>H27</f>
        <v>98</v>
      </c>
      <c r="V27" s="3064" t="s">
        <v>3431</v>
      </c>
      <c r="W27" s="3065">
        <f>J27</f>
        <v>98</v>
      </c>
      <c r="X27" s="3066"/>
      <c r="Y27" s="3624"/>
      <c r="Z27" s="3076" t="str">
        <f>Q27</f>
        <v>公共配套设施</v>
      </c>
      <c r="AA27" s="3118">
        <f>D27/F27</f>
        <v>1.0204081632653061</v>
      </c>
      <c r="AB27" s="3118">
        <f>D27/H27</f>
        <v>1.0204081632653061</v>
      </c>
      <c r="AC27" s="3118">
        <f>D27/J27</f>
        <v>1.0204081632653061</v>
      </c>
    </row>
    <row r="28" spans="1:29" s="3068" customFormat="1" ht="15">
      <c r="A28" s="3139"/>
      <c r="B28" s="3129"/>
      <c r="C28" s="3140" t="s">
        <v>3058</v>
      </c>
      <c r="D28" s="3121"/>
      <c r="E28" s="3138" t="s">
        <v>3059</v>
      </c>
      <c r="F28" s="3121"/>
      <c r="G28" s="3138" t="s">
        <v>3059</v>
      </c>
      <c r="H28" s="3121"/>
      <c r="I28" s="3138" t="s">
        <v>3059</v>
      </c>
      <c r="J28" s="3121"/>
      <c r="K28" s="3083"/>
      <c r="L28" s="3062"/>
      <c r="M28" s="3063"/>
      <c r="N28" s="3063"/>
      <c r="O28" s="3074"/>
      <c r="P28" s="3624"/>
      <c r="Q28" s="3075"/>
      <c r="R28" s="3064"/>
      <c r="S28" s="3065"/>
      <c r="T28" s="3064"/>
      <c r="U28" s="3065"/>
      <c r="V28" s="3064"/>
      <c r="W28" s="3065"/>
      <c r="X28" s="3066"/>
      <c r="Y28" s="3624"/>
      <c r="Z28" s="3076"/>
      <c r="AA28" s="3118">
        <v>1</v>
      </c>
      <c r="AB28" s="3118">
        <v>1</v>
      </c>
      <c r="AC28" s="3118">
        <v>1</v>
      </c>
    </row>
    <row r="29" spans="1:29" s="3068" customFormat="1" ht="28.5">
      <c r="A29" s="3139"/>
      <c r="B29" s="3134" t="s">
        <v>3454</v>
      </c>
      <c r="C29" s="3133" t="str">
        <f>[1]估价对象房地状况!C22</f>
        <v>估价对象所在区域基础设施水平</v>
      </c>
      <c r="D29" s="3123">
        <v>100</v>
      </c>
      <c r="E29" s="3127"/>
      <c r="F29" s="3123">
        <f>SUMIF(102:102,E30,103:103)-SUMIF(102:102,C30,103:103)+100</f>
        <v>100</v>
      </c>
      <c r="G29" s="3127"/>
      <c r="H29" s="3123">
        <f>SUMIF(102:102,G30,103:103)-SUMIF(102:102,C30,103:103)+100</f>
        <v>100</v>
      </c>
      <c r="I29" s="3127"/>
      <c r="J29" s="3123">
        <f>SUMIF(102:102,I30,103:103)-SUMIF(102:102,C30,103:103)+100</f>
        <v>100</v>
      </c>
      <c r="K29" s="3091">
        <v>2</v>
      </c>
      <c r="L29" s="3062"/>
      <c r="M29" s="3063"/>
      <c r="N29" s="3063"/>
      <c r="O29" s="3074"/>
      <c r="P29" s="3624"/>
      <c r="Q29" s="3075" t="str">
        <f t="shared" ref="Q29" si="9">B29</f>
        <v>基础设施水平</v>
      </c>
      <c r="R29" s="3064" t="s">
        <v>3431</v>
      </c>
      <c r="S29" s="3065">
        <f>F29</f>
        <v>100</v>
      </c>
      <c r="T29" s="3064" t="s">
        <v>3431</v>
      </c>
      <c r="U29" s="3065">
        <f>H29</f>
        <v>100</v>
      </c>
      <c r="V29" s="3064" t="s">
        <v>3431</v>
      </c>
      <c r="W29" s="3065">
        <f>J29</f>
        <v>100</v>
      </c>
      <c r="X29" s="3066"/>
      <c r="Y29" s="3624"/>
      <c r="Z29" s="3076" t="str">
        <f>Q29</f>
        <v>基础设施水平</v>
      </c>
      <c r="AA29" s="3118">
        <f>D29/F29</f>
        <v>1</v>
      </c>
      <c r="AB29" s="3118">
        <f>D29/H29</f>
        <v>1</v>
      </c>
      <c r="AC29" s="3118">
        <f>D29/J29</f>
        <v>1</v>
      </c>
    </row>
    <row r="30" spans="1:29" s="3068" customFormat="1" ht="15">
      <c r="A30" s="3139"/>
      <c r="B30" s="3129"/>
      <c r="C30" s="3140" t="s">
        <v>3097</v>
      </c>
      <c r="D30" s="3121"/>
      <c r="E30" s="3141" t="s">
        <v>3097</v>
      </c>
      <c r="F30" s="3121"/>
      <c r="G30" s="3141" t="s">
        <v>3097</v>
      </c>
      <c r="H30" s="3121"/>
      <c r="I30" s="3141" t="s">
        <v>3097</v>
      </c>
      <c r="J30" s="3121"/>
      <c r="K30" s="3083"/>
      <c r="L30" s="3062"/>
      <c r="M30" s="3063"/>
      <c r="N30" s="3063"/>
      <c r="O30" s="3074"/>
      <c r="P30" s="3624"/>
      <c r="Q30" s="3075"/>
      <c r="R30" s="3064"/>
      <c r="S30" s="3065"/>
      <c r="T30" s="3064"/>
      <c r="U30" s="3065"/>
      <c r="V30" s="3064"/>
      <c r="W30" s="3065"/>
      <c r="X30" s="3066"/>
      <c r="Y30" s="3624"/>
      <c r="Z30" s="3076"/>
      <c r="AA30" s="3118">
        <v>1</v>
      </c>
      <c r="AB30" s="3118">
        <v>1</v>
      </c>
      <c r="AC30" s="3118">
        <v>1</v>
      </c>
    </row>
    <row r="31" spans="1:29" ht="15">
      <c r="A31" s="3088"/>
      <c r="B31" s="3129" t="s">
        <v>3455</v>
      </c>
      <c r="C31" s="3136" t="s">
        <v>3592</v>
      </c>
      <c r="D31" s="3101">
        <v>100</v>
      </c>
      <c r="E31" s="3142" t="s">
        <v>3114</v>
      </c>
      <c r="F31" s="3101">
        <f>SUMIF(104:104,E31,105:105)-SUMIF(104:104,C31,105:105)+100</f>
        <v>94</v>
      </c>
      <c r="G31" s="3142" t="s">
        <v>3114</v>
      </c>
      <c r="H31" s="3101">
        <f>SUMIF(104:104,G31,105:105)-SUMIF(104:104,C31,105:105)+100</f>
        <v>94</v>
      </c>
      <c r="I31" s="3142" t="s">
        <v>3456</v>
      </c>
      <c r="J31" s="3101">
        <f>SUMIF(104:104,I31,105:105)-SUMIF(104:104,C31,105:105)+100</f>
        <v>98</v>
      </c>
      <c r="K31" s="3091">
        <v>2</v>
      </c>
      <c r="L31" s="3104"/>
      <c r="M31" s="3048"/>
      <c r="N31" s="3048"/>
      <c r="O31" s="3093"/>
      <c r="P31" s="3624"/>
      <c r="Q31" s="3114" t="str">
        <f t="shared" si="8"/>
        <v>临街状况</v>
      </c>
      <c r="R31" s="3115" t="s">
        <v>3431</v>
      </c>
      <c r="S31" s="3116">
        <f t="shared" ref="S31:S45" si="10">F31</f>
        <v>94</v>
      </c>
      <c r="T31" s="3115" t="s">
        <v>3431</v>
      </c>
      <c r="U31" s="3116">
        <f t="shared" ref="U31:U45" si="11">H31</f>
        <v>94</v>
      </c>
      <c r="V31" s="3115" t="s">
        <v>3431</v>
      </c>
      <c r="W31" s="3116">
        <f t="shared" ref="W31:W45" si="12">J31</f>
        <v>98</v>
      </c>
      <c r="X31" s="3049"/>
      <c r="Y31" s="3624"/>
      <c r="Z31" s="3117" t="str">
        <f t="shared" ref="Z31:Z45" si="13">Q31</f>
        <v>临街状况</v>
      </c>
      <c r="AA31" s="3118">
        <f t="shared" si="3"/>
        <v>1.0638297872340425</v>
      </c>
      <c r="AB31" s="3118">
        <f t="shared" si="4"/>
        <v>1.0638297872340425</v>
      </c>
      <c r="AC31" s="3118">
        <f t="shared" si="5"/>
        <v>1.0204081632653061</v>
      </c>
    </row>
    <row r="32" spans="1:29" ht="27">
      <c r="A32" s="3088"/>
      <c r="B32" s="3134" t="s">
        <v>3457</v>
      </c>
      <c r="C32" s="2976" t="s">
        <v>3632</v>
      </c>
      <c r="D32" s="3123">
        <v>100</v>
      </c>
      <c r="E32" s="3127"/>
      <c r="F32" s="3123">
        <f>SUMIF(106:106,E33,107:107)-SUMIF(106:106,C33,107:107)+100</f>
        <v>96</v>
      </c>
      <c r="G32" s="3127"/>
      <c r="H32" s="3123">
        <f>SUMIF(106:106,G33,107:107)-SUMIF(106:106,C33,107:107)+100</f>
        <v>96</v>
      </c>
      <c r="I32" s="3143"/>
      <c r="J32" s="3123">
        <f>SUMIF(106:106,I33,107:107)-SUMIF(106:106,C33,107:107)+100</f>
        <v>96</v>
      </c>
      <c r="K32" s="3091">
        <v>2</v>
      </c>
      <c r="L32" s="3104"/>
      <c r="M32" s="3048"/>
      <c r="N32" s="3048"/>
      <c r="O32" s="3093"/>
      <c r="P32" s="3624"/>
      <c r="Q32" s="3114" t="str">
        <f t="shared" si="8"/>
        <v>毗邻道路的类型与等级</v>
      </c>
      <c r="R32" s="3115" t="s">
        <v>3433</v>
      </c>
      <c r="S32" s="3116">
        <f t="shared" si="10"/>
        <v>96</v>
      </c>
      <c r="T32" s="3115" t="s">
        <v>3433</v>
      </c>
      <c r="U32" s="3116">
        <f t="shared" si="11"/>
        <v>96</v>
      </c>
      <c r="V32" s="3115" t="s">
        <v>3433</v>
      </c>
      <c r="W32" s="3116">
        <f t="shared" si="12"/>
        <v>96</v>
      </c>
      <c r="X32" s="3049"/>
      <c r="Y32" s="3624"/>
      <c r="Z32" s="3117" t="str">
        <f t="shared" si="13"/>
        <v>毗邻道路的类型与等级</v>
      </c>
      <c r="AA32" s="3118">
        <f t="shared" si="3"/>
        <v>1.0416666666666667</v>
      </c>
      <c r="AB32" s="3118">
        <f t="shared" si="4"/>
        <v>1.0416666666666667</v>
      </c>
      <c r="AC32" s="3118">
        <f t="shared" si="5"/>
        <v>1.0416666666666667</v>
      </c>
    </row>
    <row r="33" spans="1:29" ht="15.75" thickBot="1">
      <c r="A33" s="3088"/>
      <c r="B33" s="3129"/>
      <c r="C33" s="3120" t="s">
        <v>3593</v>
      </c>
      <c r="D33" s="3121"/>
      <c r="E33" s="3120" t="s">
        <v>3458</v>
      </c>
      <c r="F33" s="3121"/>
      <c r="G33" s="3120" t="s">
        <v>3458</v>
      </c>
      <c r="H33" s="3121"/>
      <c r="I33" s="3120" t="s">
        <v>3458</v>
      </c>
      <c r="J33" s="3121"/>
      <c r="K33" s="3144"/>
      <c r="L33" s="3104"/>
      <c r="M33" s="3048"/>
      <c r="N33" s="3048"/>
      <c r="O33" s="3093"/>
      <c r="P33" s="3624"/>
      <c r="Q33" s="3114"/>
      <c r="R33" s="3115"/>
      <c r="S33" s="3116"/>
      <c r="T33" s="3115"/>
      <c r="U33" s="3116"/>
      <c r="V33" s="3115"/>
      <c r="W33" s="3116"/>
      <c r="X33" s="3049"/>
      <c r="Y33" s="3624"/>
      <c r="Z33" s="3117"/>
      <c r="AA33" s="3118">
        <v>1</v>
      </c>
      <c r="AB33" s="3118">
        <v>1</v>
      </c>
      <c r="AC33" s="3118">
        <v>1</v>
      </c>
    </row>
    <row r="34" spans="1:29" ht="15.75" hidden="1" thickBot="1">
      <c r="A34" s="3088"/>
      <c r="B34" s="3078" t="s">
        <v>3459</v>
      </c>
      <c r="C34" s="3136"/>
      <c r="D34" s="3101">
        <v>100</v>
      </c>
      <c r="E34" s="3142"/>
      <c r="F34" s="3101">
        <f>SUMIF(108:108,E34,109:109)-SUMIF(108:108,C34,109:109)+100</f>
        <v>100</v>
      </c>
      <c r="G34" s="3142"/>
      <c r="H34" s="3101">
        <f>SUMIF(108:108,G34,109:109)-SUMIF(108:108,C34,109:109)+100</f>
        <v>100</v>
      </c>
      <c r="I34" s="3136"/>
      <c r="J34" s="3101">
        <f>SUMIF(108:108,I34,109:109)-SUMIF(108:108,C34,109:109)+100</f>
        <v>100</v>
      </c>
      <c r="K34" s="3145"/>
      <c r="L34" s="3104"/>
      <c r="M34" s="3048"/>
      <c r="N34" s="3048"/>
      <c r="O34" s="3093"/>
      <c r="P34" s="3624"/>
      <c r="Q34" s="3114" t="str">
        <f t="shared" si="8"/>
        <v>土地级别</v>
      </c>
      <c r="R34" s="3115" t="s">
        <v>3431</v>
      </c>
      <c r="S34" s="3116">
        <f t="shared" si="10"/>
        <v>100</v>
      </c>
      <c r="T34" s="3115" t="s">
        <v>3431</v>
      </c>
      <c r="U34" s="3116">
        <f t="shared" si="11"/>
        <v>100</v>
      </c>
      <c r="V34" s="3115" t="s">
        <v>3431</v>
      </c>
      <c r="W34" s="3116">
        <f t="shared" si="12"/>
        <v>100</v>
      </c>
      <c r="X34" s="3049"/>
      <c r="Y34" s="3624"/>
      <c r="Z34" s="3117" t="str">
        <f t="shared" si="13"/>
        <v>土地级别</v>
      </c>
      <c r="AA34" s="3118">
        <f t="shared" si="3"/>
        <v>1</v>
      </c>
      <c r="AB34" s="3118">
        <f t="shared" si="4"/>
        <v>1</v>
      </c>
      <c r="AC34" s="3118">
        <f t="shared" si="5"/>
        <v>1</v>
      </c>
    </row>
    <row r="35" spans="1:29" ht="15.75" hidden="1" thickBot="1">
      <c r="A35" s="3051"/>
      <c r="B35" s="3146">
        <v>111</v>
      </c>
      <c r="C35" s="3103"/>
      <c r="D35" s="3101">
        <v>100</v>
      </c>
      <c r="E35" s="3147"/>
      <c r="F35" s="3101">
        <f>SUMIF(110:110,E35,111:111)-SUMIF(110:110,C35,111:111)+100</f>
        <v>100</v>
      </c>
      <c r="G35" s="3147"/>
      <c r="H35" s="3101">
        <f>SUMIF(110:110,G35,111:111)-SUMIF(110:110,C35,111:111)+100</f>
        <v>100</v>
      </c>
      <c r="I35" s="3103"/>
      <c r="J35" s="3101">
        <f>SUMIF(110:110,I35,111:111)-SUMIF(110:110,C35,111:111)+100</f>
        <v>100</v>
      </c>
      <c r="K35" s="3144"/>
      <c r="L35" s="3104"/>
      <c r="M35" s="3048"/>
      <c r="N35" s="3048"/>
      <c r="O35" s="3093"/>
      <c r="P35" s="3624"/>
      <c r="Q35" s="3114">
        <f t="shared" si="8"/>
        <v>111</v>
      </c>
      <c r="R35" s="3115" t="s">
        <v>3431</v>
      </c>
      <c r="S35" s="3116">
        <f t="shared" si="10"/>
        <v>100</v>
      </c>
      <c r="T35" s="3115" t="s">
        <v>3431</v>
      </c>
      <c r="U35" s="3116">
        <f t="shared" si="11"/>
        <v>100</v>
      </c>
      <c r="V35" s="3115" t="s">
        <v>3431</v>
      </c>
      <c r="W35" s="3116">
        <f t="shared" si="12"/>
        <v>100</v>
      </c>
      <c r="X35" s="3049"/>
      <c r="Y35" s="3624"/>
      <c r="Z35" s="3117">
        <f t="shared" si="13"/>
        <v>111</v>
      </c>
      <c r="AA35" s="3118">
        <f t="shared" si="3"/>
        <v>1</v>
      </c>
      <c r="AB35" s="3118">
        <f t="shared" si="4"/>
        <v>1</v>
      </c>
      <c r="AC35" s="3118">
        <f t="shared" si="5"/>
        <v>1</v>
      </c>
    </row>
    <row r="36" spans="1:29" ht="15.75" hidden="1" thickBot="1">
      <c r="A36" s="3148"/>
      <c r="B36" s="3149">
        <v>111</v>
      </c>
      <c r="C36" s="3103"/>
      <c r="D36" s="3101">
        <v>100</v>
      </c>
      <c r="E36" s="3147"/>
      <c r="F36" s="3101">
        <f>SUMIF(112:112,E37,113:113)-SUMIF(112:112,C37,113:113)+100</f>
        <v>100</v>
      </c>
      <c r="G36" s="3147"/>
      <c r="H36" s="3101">
        <f>SUMIF(112:112,G36,113:113)-SUMIF(112:112,C36,113:113)+100</f>
        <v>100</v>
      </c>
      <c r="I36" s="3103"/>
      <c r="J36" s="3101">
        <f>SUMIF(112:112,I36,113:113)-SUMIF(112:112,C36,113:113)+100</f>
        <v>100</v>
      </c>
      <c r="K36" s="3144"/>
      <c r="L36" s="3104"/>
      <c r="M36" s="3048"/>
      <c r="N36" s="3048"/>
      <c r="O36" s="3093"/>
      <c r="P36" s="3628" t="s">
        <v>3460</v>
      </c>
      <c r="Q36" s="3114">
        <f t="shared" si="8"/>
        <v>111</v>
      </c>
      <c r="R36" s="3115" t="s">
        <v>3431</v>
      </c>
      <c r="S36" s="3116">
        <f t="shared" si="10"/>
        <v>100</v>
      </c>
      <c r="T36" s="3115" t="s">
        <v>3431</v>
      </c>
      <c r="U36" s="3116">
        <f t="shared" si="11"/>
        <v>100</v>
      </c>
      <c r="V36" s="3115" t="s">
        <v>3431</v>
      </c>
      <c r="W36" s="3116">
        <f t="shared" si="12"/>
        <v>100</v>
      </c>
      <c r="X36" s="3049"/>
      <c r="Y36" s="3629" t="s">
        <v>3460</v>
      </c>
      <c r="Z36" s="3117">
        <f t="shared" si="13"/>
        <v>111</v>
      </c>
      <c r="AA36" s="3118">
        <f t="shared" si="3"/>
        <v>1</v>
      </c>
      <c r="AB36" s="3118">
        <f t="shared" si="4"/>
        <v>1</v>
      </c>
      <c r="AC36" s="3118">
        <f t="shared" si="5"/>
        <v>1</v>
      </c>
    </row>
    <row r="37" spans="1:29" s="3161" customFormat="1" ht="15.75" hidden="1" thickBot="1">
      <c r="A37" s="3150"/>
      <c r="B37" s="3151">
        <v>111</v>
      </c>
      <c r="C37" s="3152"/>
      <c r="D37" s="3153">
        <v>100</v>
      </c>
      <c r="E37" s="3154"/>
      <c r="F37" s="3108">
        <f>SUMIF(114:114,E37,115:115)-SUMIF(114:114,C37,115:115)+100</f>
        <v>100</v>
      </c>
      <c r="G37" s="3154"/>
      <c r="H37" s="3108">
        <f>SUMIF(114:114,G37,115:115)-SUMIF(114:114,C37,115:115)+100</f>
        <v>100</v>
      </c>
      <c r="I37" s="3152"/>
      <c r="J37" s="3108">
        <f>SUMIF(114:114,I37,115:115)-SUMIF(114:114,C37,115:115)+100</f>
        <v>100</v>
      </c>
      <c r="K37" s="3144"/>
      <c r="L37" s="3092"/>
      <c r="M37" s="3155"/>
      <c r="N37" s="3155"/>
      <c r="O37" s="3156"/>
      <c r="P37" s="3629"/>
      <c r="Q37" s="3114">
        <f t="shared" si="8"/>
        <v>111</v>
      </c>
      <c r="R37" s="3157" t="s">
        <v>3431</v>
      </c>
      <c r="S37" s="3158">
        <f t="shared" si="10"/>
        <v>100</v>
      </c>
      <c r="T37" s="3157" t="s">
        <v>3431</v>
      </c>
      <c r="U37" s="3158">
        <f t="shared" si="11"/>
        <v>100</v>
      </c>
      <c r="V37" s="3157" t="s">
        <v>3431</v>
      </c>
      <c r="W37" s="3158">
        <f t="shared" si="12"/>
        <v>100</v>
      </c>
      <c r="X37" s="3159"/>
      <c r="Y37" s="3629"/>
      <c r="Z37" s="3160">
        <f t="shared" si="13"/>
        <v>111</v>
      </c>
      <c r="AA37" s="3118">
        <f t="shared" si="3"/>
        <v>1</v>
      </c>
      <c r="AB37" s="3118">
        <f t="shared" si="4"/>
        <v>1</v>
      </c>
      <c r="AC37" s="3118">
        <f t="shared" si="5"/>
        <v>1</v>
      </c>
    </row>
    <row r="38" spans="1:29" ht="15">
      <c r="A38" s="3162" t="s">
        <v>3461</v>
      </c>
      <c r="B38" s="3129" t="s">
        <v>3462</v>
      </c>
      <c r="C38" s="3163">
        <f>'数据-基础表'!A3</f>
        <v>90600</v>
      </c>
      <c r="D38" s="3164">
        <v>100</v>
      </c>
      <c r="E38" s="3163">
        <v>39744.120000000003</v>
      </c>
      <c r="F38" s="3164">
        <f>LOOKUP(E38,117:117,118:118)-LOOKUP(C38,117:117,118:118)+100</f>
        <v>102</v>
      </c>
      <c r="G38" s="3163">
        <v>46165.91</v>
      </c>
      <c r="H38" s="3164">
        <f>LOOKUP(G38,117:117,118:118)-LOOKUP(C38,117:117,118:118)+100</f>
        <v>102</v>
      </c>
      <c r="I38" s="3163">
        <v>38100</v>
      </c>
      <c r="J38" s="3164">
        <f>LOOKUP(I38,117:117,118:118)-LOOKUP(C38,117:117,118:118)+100</f>
        <v>102</v>
      </c>
      <c r="K38" s="3144"/>
      <c r="L38" s="3104"/>
      <c r="M38" s="3048"/>
      <c r="N38" s="3048"/>
      <c r="O38" s="3093"/>
      <c r="P38" s="3629"/>
      <c r="Q38" s="3114" t="str">
        <f>B38</f>
        <v>宗地面积</v>
      </c>
      <c r="R38" s="3115" t="s">
        <v>3431</v>
      </c>
      <c r="S38" s="3116">
        <f t="shared" si="10"/>
        <v>102</v>
      </c>
      <c r="T38" s="3115" t="s">
        <v>3431</v>
      </c>
      <c r="U38" s="3116">
        <f t="shared" si="11"/>
        <v>102</v>
      </c>
      <c r="V38" s="3115" t="s">
        <v>3431</v>
      </c>
      <c r="W38" s="3116">
        <f t="shared" si="12"/>
        <v>102</v>
      </c>
      <c r="X38" s="3049"/>
      <c r="Y38" s="3629"/>
      <c r="Z38" s="3117" t="str">
        <f t="shared" si="13"/>
        <v>宗地面积</v>
      </c>
      <c r="AA38" s="3118">
        <f t="shared" si="3"/>
        <v>0.98039215686274506</v>
      </c>
      <c r="AB38" s="3118">
        <f t="shared" si="4"/>
        <v>0.98039215686274506</v>
      </c>
      <c r="AC38" s="3118">
        <f t="shared" si="5"/>
        <v>0.98039215686274506</v>
      </c>
    </row>
    <row r="39" spans="1:29" ht="15">
      <c r="A39" s="3162"/>
      <c r="B39" s="3078" t="s">
        <v>3463</v>
      </c>
      <c r="C39" s="3370" t="s">
        <v>3464</v>
      </c>
      <c r="D39" s="3101">
        <v>100</v>
      </c>
      <c r="E39" s="3165" t="s">
        <v>3464</v>
      </c>
      <c r="F39" s="3101">
        <f>SUMIF(119:119,E39,120:120)-SUMIF(119:119,C39,120:120)+100</f>
        <v>100</v>
      </c>
      <c r="G39" s="3165" t="s">
        <v>3464</v>
      </c>
      <c r="H39" s="3101">
        <f>SUMIF(119:119,G39,120:120)-SUMIF(119:119,C39,120:120)+100</f>
        <v>100</v>
      </c>
      <c r="I39" s="3165" t="s">
        <v>3464</v>
      </c>
      <c r="J39" s="3101">
        <f>SUMIF(119:119,I39,120:120)-SUMIF(119:119,C39,120:120)+100</f>
        <v>100</v>
      </c>
      <c r="K39" s="3145">
        <v>2</v>
      </c>
      <c r="L39" s="3104"/>
      <c r="M39" s="3048"/>
      <c r="N39" s="3048"/>
      <c r="O39" s="3093"/>
      <c r="P39" s="3629"/>
      <c r="Q39" s="3114" t="str">
        <f t="shared" ref="Q39:Q45" si="14">B39</f>
        <v>宗地形状</v>
      </c>
      <c r="R39" s="3115" t="s">
        <v>3431</v>
      </c>
      <c r="S39" s="3116">
        <f t="shared" si="10"/>
        <v>100</v>
      </c>
      <c r="T39" s="3115" t="s">
        <v>3431</v>
      </c>
      <c r="U39" s="3116">
        <f t="shared" si="11"/>
        <v>100</v>
      </c>
      <c r="V39" s="3115" t="s">
        <v>3431</v>
      </c>
      <c r="W39" s="3116">
        <f t="shared" si="12"/>
        <v>100</v>
      </c>
      <c r="X39" s="3049"/>
      <c r="Y39" s="3629"/>
      <c r="Z39" s="3117" t="str">
        <f t="shared" si="13"/>
        <v>宗地形状</v>
      </c>
      <c r="AA39" s="3118">
        <f t="shared" si="3"/>
        <v>1</v>
      </c>
      <c r="AB39" s="3118">
        <f t="shared" si="4"/>
        <v>1</v>
      </c>
      <c r="AC39" s="3118">
        <f t="shared" si="5"/>
        <v>1</v>
      </c>
    </row>
    <row r="40" spans="1:29" ht="15">
      <c r="A40" s="3162"/>
      <c r="B40" s="3078" t="s">
        <v>3465</v>
      </c>
      <c r="C40" s="3370" t="s">
        <v>3466</v>
      </c>
      <c r="D40" s="3101">
        <v>100</v>
      </c>
      <c r="E40" s="3165" t="s">
        <v>3466</v>
      </c>
      <c r="F40" s="3101">
        <f>SUMIF(121:121,E40,122:122)-SUMIF(121:121,C40,122:122)+100</f>
        <v>100</v>
      </c>
      <c r="G40" s="3165" t="s">
        <v>3466</v>
      </c>
      <c r="H40" s="3101">
        <f>SUMIF(121:121,G40,122:122)-SUMIF(121:121,C40,122:122)+100</f>
        <v>100</v>
      </c>
      <c r="I40" s="3165" t="s">
        <v>3466</v>
      </c>
      <c r="J40" s="3101">
        <f>SUMIF(121:121,I40,122:122)-SUMIF(121:121,C40,122:122)+100</f>
        <v>100</v>
      </c>
      <c r="K40" s="3145">
        <v>1</v>
      </c>
      <c r="L40" s="3104"/>
      <c r="M40" s="3048"/>
      <c r="N40" s="3048"/>
      <c r="O40" s="3093"/>
      <c r="P40" s="3629"/>
      <c r="Q40" s="3114" t="str">
        <f t="shared" si="14"/>
        <v>临街宽度及深度</v>
      </c>
      <c r="R40" s="3115" t="s">
        <v>3431</v>
      </c>
      <c r="S40" s="3116">
        <f t="shared" si="10"/>
        <v>100</v>
      </c>
      <c r="T40" s="3115" t="s">
        <v>3431</v>
      </c>
      <c r="U40" s="3116">
        <f t="shared" si="11"/>
        <v>100</v>
      </c>
      <c r="V40" s="3115" t="s">
        <v>3431</v>
      </c>
      <c r="W40" s="3116">
        <f t="shared" si="12"/>
        <v>100</v>
      </c>
      <c r="X40" s="3049"/>
      <c r="Y40" s="3629"/>
      <c r="Z40" s="3117" t="str">
        <f t="shared" si="13"/>
        <v>临街宽度及深度</v>
      </c>
      <c r="AA40" s="3118">
        <f t="shared" si="3"/>
        <v>1</v>
      </c>
      <c r="AB40" s="3118">
        <f t="shared" si="4"/>
        <v>1</v>
      </c>
      <c r="AC40" s="3118">
        <f t="shared" si="5"/>
        <v>1</v>
      </c>
    </row>
    <row r="41" spans="1:29" s="3068" customFormat="1" ht="15">
      <c r="A41" s="3166"/>
      <c r="B41" s="3078" t="s">
        <v>3467</v>
      </c>
      <c r="C41" s="3371" t="s">
        <v>3412</v>
      </c>
      <c r="D41" s="3080">
        <v>100</v>
      </c>
      <c r="E41" s="3167" t="s">
        <v>3412</v>
      </c>
      <c r="F41" s="3101">
        <f>SUMIF(123:123,E41,124:124)-SUMIF(123:123,C41,124:124)+100</f>
        <v>100</v>
      </c>
      <c r="G41" s="3167" t="s">
        <v>3412</v>
      </c>
      <c r="H41" s="3101">
        <f>SUMIF(123:123,G41,124:124)-SUMIF(123:123,C41,124:124)+100</f>
        <v>100</v>
      </c>
      <c r="I41" s="3167" t="s">
        <v>3097</v>
      </c>
      <c r="J41" s="3101">
        <f>SUMIF(123:123,I41,124:124)-SUMIF(123:123,C41,124:124)+100</f>
        <v>102</v>
      </c>
      <c r="K41" s="3145">
        <v>2</v>
      </c>
      <c r="L41" s="3062"/>
      <c r="M41" s="3063"/>
      <c r="N41" s="3063"/>
      <c r="O41" s="3074"/>
      <c r="P41" s="3629"/>
      <c r="Q41" s="3114" t="str">
        <f t="shared" si="14"/>
        <v>宗地开发程度</v>
      </c>
      <c r="R41" s="3064" t="s">
        <v>3431</v>
      </c>
      <c r="S41" s="3065">
        <f t="shared" si="10"/>
        <v>100</v>
      </c>
      <c r="T41" s="3064" t="s">
        <v>3431</v>
      </c>
      <c r="U41" s="3065">
        <f t="shared" si="11"/>
        <v>100</v>
      </c>
      <c r="V41" s="3064" t="s">
        <v>3431</v>
      </c>
      <c r="W41" s="3065">
        <f t="shared" si="12"/>
        <v>102</v>
      </c>
      <c r="X41" s="3066"/>
      <c r="Y41" s="3629"/>
      <c r="Z41" s="3076" t="str">
        <f t="shared" si="13"/>
        <v>宗地开发程度</v>
      </c>
      <c r="AA41" s="3067">
        <f t="shared" si="3"/>
        <v>1</v>
      </c>
      <c r="AB41" s="3067">
        <f t="shared" si="4"/>
        <v>1</v>
      </c>
      <c r="AC41" s="3067">
        <f t="shared" si="5"/>
        <v>0.98039215686274506</v>
      </c>
    </row>
    <row r="42" spans="1:29" ht="15">
      <c r="A42" s="3162"/>
      <c r="B42" s="3078" t="s">
        <v>3468</v>
      </c>
      <c r="C42" s="3370" t="s">
        <v>3058</v>
      </c>
      <c r="D42" s="3101">
        <v>100</v>
      </c>
      <c r="E42" s="3165" t="s">
        <v>3058</v>
      </c>
      <c r="F42" s="3101">
        <f>SUMIF(125:125,E42,126:126)-SUMIF(125:125,C42,126:126)+100</f>
        <v>100</v>
      </c>
      <c r="G42" s="3165" t="s">
        <v>3058</v>
      </c>
      <c r="H42" s="3101">
        <f>SUMIF(125:125,G42,126:126)-SUMIF(125:125,C42,126:126)+100</f>
        <v>100</v>
      </c>
      <c r="I42" s="3165" t="s">
        <v>3058</v>
      </c>
      <c r="J42" s="3101">
        <f>SUMIF(125:125,I42,126:126)-SUMIF(125:125,C42,126:126)+100</f>
        <v>100</v>
      </c>
      <c r="K42" s="3145">
        <v>2</v>
      </c>
      <c r="L42" s="3104"/>
      <c r="M42" s="3048"/>
      <c r="N42" s="3048"/>
      <c r="O42" s="3093"/>
      <c r="P42" s="3629" t="s">
        <v>3460</v>
      </c>
      <c r="Q42" s="3114" t="str">
        <f t="shared" si="14"/>
        <v>工程地质条件</v>
      </c>
      <c r="R42" s="3115" t="s">
        <v>3431</v>
      </c>
      <c r="S42" s="3116">
        <f t="shared" si="10"/>
        <v>100</v>
      </c>
      <c r="T42" s="3115" t="s">
        <v>3431</v>
      </c>
      <c r="U42" s="3116">
        <f t="shared" si="11"/>
        <v>100</v>
      </c>
      <c r="V42" s="3115" t="s">
        <v>3431</v>
      </c>
      <c r="W42" s="3116">
        <f t="shared" si="12"/>
        <v>100</v>
      </c>
      <c r="X42" s="3049"/>
      <c r="Y42" s="3629" t="s">
        <v>3460</v>
      </c>
      <c r="Z42" s="3117" t="str">
        <f t="shared" si="13"/>
        <v>工程地质条件</v>
      </c>
      <c r="AA42" s="3118">
        <f t="shared" si="3"/>
        <v>1</v>
      </c>
      <c r="AB42" s="3118">
        <f t="shared" si="4"/>
        <v>1</v>
      </c>
      <c r="AC42" s="3118">
        <f t="shared" si="5"/>
        <v>1</v>
      </c>
    </row>
    <row r="43" spans="1:29" ht="15">
      <c r="A43" s="3162"/>
      <c r="B43" s="3149">
        <v>111</v>
      </c>
      <c r="C43" s="3103"/>
      <c r="D43" s="3101">
        <v>100</v>
      </c>
      <c r="E43" s="3103"/>
      <c r="F43" s="3101">
        <f>SUMIF(127:127,E43,128:128)-SUMIF(127:127,C43,128:128)+100</f>
        <v>100</v>
      </c>
      <c r="G43" s="3103"/>
      <c r="H43" s="3101">
        <f>SUMIF(127:127,G43,128:128)-SUMIF(127:127,C43,128:128)+100</f>
        <v>100</v>
      </c>
      <c r="I43" s="3102"/>
      <c r="J43" s="3101">
        <f>SUMIF(127:127,I43,128:128)-SUMIF(127:127,C43,128:128)+100</f>
        <v>100</v>
      </c>
      <c r="K43" s="3144"/>
      <c r="L43" s="3104"/>
      <c r="M43" s="3048"/>
      <c r="N43" s="3048"/>
      <c r="O43" s="3093"/>
      <c r="P43" s="3629"/>
      <c r="Q43" s="3114">
        <f t="shared" si="14"/>
        <v>111</v>
      </c>
      <c r="R43" s="3115" t="s">
        <v>3431</v>
      </c>
      <c r="S43" s="3116">
        <f t="shared" si="10"/>
        <v>100</v>
      </c>
      <c r="T43" s="3115" t="s">
        <v>3431</v>
      </c>
      <c r="U43" s="3116">
        <f t="shared" si="11"/>
        <v>100</v>
      </c>
      <c r="V43" s="3115" t="s">
        <v>3431</v>
      </c>
      <c r="W43" s="3116">
        <f t="shared" si="12"/>
        <v>100</v>
      </c>
      <c r="X43" s="3049"/>
      <c r="Y43" s="3629"/>
      <c r="Z43" s="3117">
        <f t="shared" si="13"/>
        <v>111</v>
      </c>
      <c r="AA43" s="3118">
        <f t="shared" si="3"/>
        <v>1</v>
      </c>
      <c r="AB43" s="3118">
        <f t="shared" si="4"/>
        <v>1</v>
      </c>
      <c r="AC43" s="3118">
        <f t="shared" si="5"/>
        <v>1</v>
      </c>
    </row>
    <row r="44" spans="1:29" ht="15">
      <c r="A44" s="3162"/>
      <c r="B44" s="3149">
        <v>111</v>
      </c>
      <c r="C44" s="3103"/>
      <c r="D44" s="3101">
        <v>100</v>
      </c>
      <c r="E44" s="3103"/>
      <c r="F44" s="3101">
        <f>SUMIF(129:129,E44,130:130)-SUMIF(129:129,C44,130:130)+100</f>
        <v>100</v>
      </c>
      <c r="G44" s="3103"/>
      <c r="H44" s="3101">
        <f>SUMIF(129:129,G44,130:130)-SUMIF(129:129,C44,130:130)+100</f>
        <v>100</v>
      </c>
      <c r="I44" s="3102"/>
      <c r="J44" s="3101">
        <f>SUMIF(129:129,I44,130:130)-SUMIF(129:129,C44,130:130)+100</f>
        <v>100</v>
      </c>
      <c r="K44" s="3144"/>
      <c r="L44" s="3104"/>
      <c r="M44" s="3048"/>
      <c r="N44" s="3048"/>
      <c r="O44" s="3093"/>
      <c r="P44" s="3629"/>
      <c r="Q44" s="3114">
        <f t="shared" si="14"/>
        <v>111</v>
      </c>
      <c r="R44" s="3115" t="s">
        <v>3431</v>
      </c>
      <c r="S44" s="3116">
        <f t="shared" si="10"/>
        <v>100</v>
      </c>
      <c r="T44" s="3115" t="s">
        <v>3431</v>
      </c>
      <c r="U44" s="3116">
        <f t="shared" si="11"/>
        <v>100</v>
      </c>
      <c r="V44" s="3115" t="s">
        <v>3431</v>
      </c>
      <c r="W44" s="3116">
        <f t="shared" si="12"/>
        <v>100</v>
      </c>
      <c r="X44" s="3049"/>
      <c r="Y44" s="3629"/>
      <c r="Z44" s="3117">
        <f t="shared" si="13"/>
        <v>111</v>
      </c>
      <c r="AA44" s="3118">
        <f t="shared" si="3"/>
        <v>1</v>
      </c>
      <c r="AB44" s="3118">
        <f t="shared" si="4"/>
        <v>1</v>
      </c>
      <c r="AC44" s="3118">
        <f t="shared" si="5"/>
        <v>1</v>
      </c>
    </row>
    <row r="45" spans="1:29" s="3161" customFormat="1" ht="15.75" thickBot="1">
      <c r="A45" s="3168"/>
      <c r="B45" s="3149">
        <v>111</v>
      </c>
      <c r="C45" s="3169"/>
      <c r="D45" s="3170">
        <v>100</v>
      </c>
      <c r="E45" s="3103"/>
      <c r="F45" s="3108">
        <f>SUMIF(131:131,E45,132:132)-SUMIF(131:131,C45,132:132)+100</f>
        <v>100</v>
      </c>
      <c r="G45" s="3103"/>
      <c r="H45" s="3108">
        <f>SUMIF(131:131,G45,132:132)-SUMIF(131:131,C45,132:132)+100</f>
        <v>100</v>
      </c>
      <c r="I45" s="3103"/>
      <c r="J45" s="3108">
        <f>SUMIF(131:131,I45,132:132)-SUMIF(131:131,C45,132:132)+100</f>
        <v>100</v>
      </c>
      <c r="K45" s="3171"/>
      <c r="L45" s="3092"/>
      <c r="M45" s="3155"/>
      <c r="N45" s="3155"/>
      <c r="O45" s="3156"/>
      <c r="P45" s="3629"/>
      <c r="Q45" s="3114">
        <f t="shared" si="14"/>
        <v>111</v>
      </c>
      <c r="R45" s="3157" t="s">
        <v>3431</v>
      </c>
      <c r="S45" s="3158">
        <f t="shared" si="10"/>
        <v>100</v>
      </c>
      <c r="T45" s="3157" t="s">
        <v>3431</v>
      </c>
      <c r="U45" s="3158">
        <f t="shared" si="11"/>
        <v>100</v>
      </c>
      <c r="V45" s="3157" t="s">
        <v>3431</v>
      </c>
      <c r="W45" s="3158">
        <f t="shared" si="12"/>
        <v>100</v>
      </c>
      <c r="X45" s="3159"/>
      <c r="Y45" s="3629"/>
      <c r="Z45" s="3160">
        <f t="shared" si="13"/>
        <v>111</v>
      </c>
      <c r="AA45" s="3118">
        <f t="shared" si="3"/>
        <v>1</v>
      </c>
      <c r="AB45" s="3118">
        <f t="shared" si="4"/>
        <v>1</v>
      </c>
      <c r="AC45" s="3118">
        <f t="shared" si="5"/>
        <v>1</v>
      </c>
    </row>
    <row r="46" spans="1:29" ht="15">
      <c r="A46" s="3172" t="s">
        <v>3469</v>
      </c>
      <c r="B46" s="3173" t="s">
        <v>2739</v>
      </c>
      <c r="C46" s="3372" t="s">
        <v>3470</v>
      </c>
      <c r="D46" s="3174"/>
      <c r="E46" s="3175">
        <v>24490</v>
      </c>
      <c r="F46" s="3176"/>
      <c r="G46" s="3177">
        <v>24368</v>
      </c>
      <c r="H46" s="3178"/>
      <c r="I46" s="3175">
        <v>26771</v>
      </c>
      <c r="J46" s="3178"/>
      <c r="K46" s="3179"/>
      <c r="L46" s="3180"/>
      <c r="M46" s="3181"/>
      <c r="N46" s="3048"/>
      <c r="O46" s="3181"/>
      <c r="P46" s="3620" t="str">
        <f>A46</f>
        <v>成交单价</v>
      </c>
      <c r="Q46" s="3620"/>
      <c r="R46" s="3630">
        <f>E46</f>
        <v>24490</v>
      </c>
      <c r="S46" s="3630"/>
      <c r="T46" s="3630">
        <f>G46</f>
        <v>24368</v>
      </c>
      <c r="U46" s="3630"/>
      <c r="V46" s="3630">
        <f>I46</f>
        <v>26771</v>
      </c>
      <c r="W46" s="3630"/>
      <c r="X46" s="3182"/>
      <c r="Y46" s="3183"/>
      <c r="Z46" s="3182"/>
      <c r="AA46" s="3182"/>
      <c r="AB46" s="3182"/>
      <c r="AC46" s="3182"/>
    </row>
    <row r="47" spans="1:29" ht="15.75" thickBot="1">
      <c r="A47" s="3184" t="s">
        <v>3471</v>
      </c>
      <c r="B47" s="3185"/>
      <c r="C47" s="3373">
        <f>R48</f>
        <v>29782</v>
      </c>
      <c r="D47" s="3187"/>
      <c r="E47" s="3186">
        <f>R47</f>
        <v>28747</v>
      </c>
      <c r="F47" s="3188"/>
      <c r="G47" s="3189">
        <f>T47</f>
        <v>29806</v>
      </c>
      <c r="H47" s="3187"/>
      <c r="I47" s="3186">
        <f>V47</f>
        <v>30792</v>
      </c>
      <c r="J47" s="3187"/>
      <c r="K47" s="3190"/>
      <c r="L47" s="3180"/>
      <c r="M47" s="3181"/>
      <c r="N47" s="3181"/>
      <c r="O47" s="3181"/>
      <c r="P47" s="3620" t="str">
        <f>A47</f>
        <v>比较价值（元/平方米）</v>
      </c>
      <c r="Q47" s="3620"/>
      <c r="R47" s="3622">
        <f>ROUND(PRODUCT(R46,AA7:AA45),0)</f>
        <v>28747</v>
      </c>
      <c r="S47" s="3622"/>
      <c r="T47" s="3622">
        <f>ROUND(PRODUCT(T46,AB7:AB45),0)</f>
        <v>29806</v>
      </c>
      <c r="U47" s="3622"/>
      <c r="V47" s="3622">
        <f>ROUND(PRODUCT(V46,AC7:AC45),0)</f>
        <v>30792</v>
      </c>
      <c r="W47" s="3622"/>
      <c r="X47" s="3182"/>
      <c r="Y47" s="3182"/>
      <c r="Z47" s="3182"/>
      <c r="AA47" s="3182"/>
      <c r="AB47" s="3182"/>
      <c r="AC47" s="3182"/>
    </row>
    <row r="48" spans="1:29" ht="15.75" thickBot="1">
      <c r="A48" s="3191" t="s">
        <v>3472</v>
      </c>
      <c r="B48" s="3192"/>
      <c r="C48" s="3374">
        <f>R48</f>
        <v>29782</v>
      </c>
      <c r="D48" s="3193"/>
      <c r="E48" s="3193"/>
      <c r="F48" s="3193"/>
      <c r="G48" s="3193"/>
      <c r="H48" s="3193"/>
      <c r="I48" s="3193"/>
      <c r="J48" s="3193"/>
      <c r="K48" s="3194"/>
      <c r="L48" s="3180"/>
      <c r="M48" s="3181"/>
      <c r="N48" s="3181"/>
      <c r="O48" s="3181"/>
      <c r="P48" s="3625" t="str">
        <f>A48</f>
        <v>估价对象XX用房的比较价值（楼面单价，元/平方米）</v>
      </c>
      <c r="Q48" s="3626"/>
      <c r="R48" s="3627">
        <f>ROUND(AVERAGE(R47:V47),0)</f>
        <v>29782</v>
      </c>
      <c r="S48" s="3627"/>
      <c r="T48" s="3627"/>
      <c r="U48" s="3627"/>
      <c r="V48" s="3627"/>
      <c r="W48" s="3627"/>
      <c r="X48" s="3182"/>
      <c r="Y48" s="3182"/>
      <c r="Z48" s="3182"/>
      <c r="AA48" s="3182"/>
      <c r="AB48" s="3182"/>
      <c r="AC48" s="3182"/>
    </row>
    <row r="49" spans="1:15">
      <c r="A49" s="3181"/>
      <c r="B49" s="3181"/>
      <c r="C49" s="3375"/>
      <c r="D49" s="3181"/>
      <c r="E49" s="3181"/>
      <c r="F49" s="3181"/>
      <c r="G49" s="3195"/>
      <c r="H49" s="3181"/>
      <c r="I49" s="3181"/>
      <c r="J49" s="3181"/>
      <c r="K49" s="3196"/>
      <c r="L49" s="3197"/>
      <c r="M49" s="3181"/>
      <c r="N49" s="3181"/>
      <c r="O49" s="3181"/>
    </row>
    <row r="50" spans="1:15">
      <c r="A50" s="3181"/>
      <c r="B50" s="3181"/>
      <c r="C50" s="3375"/>
      <c r="D50" s="3181"/>
      <c r="E50" s="3181"/>
      <c r="F50" s="3181"/>
      <c r="G50" s="3181"/>
      <c r="H50" s="3181"/>
      <c r="I50" s="3181"/>
      <c r="J50" s="3181"/>
      <c r="K50" s="3196"/>
      <c r="L50" s="3197"/>
      <c r="M50" s="3181"/>
      <c r="N50" s="3181"/>
      <c r="O50" s="3181"/>
    </row>
    <row r="51" spans="1:15" ht="13.5" customHeight="1">
      <c r="A51" s="3181"/>
      <c r="B51" s="3181"/>
      <c r="C51" s="3376" t="s">
        <v>3473</v>
      </c>
      <c r="D51" s="3198"/>
      <c r="E51" s="3199">
        <f>IF(E46&lt;E47,E47/E46-1,E46/E47-1)</f>
        <v>0.17382605144957131</v>
      </c>
      <c r="F51" s="3200" t="str">
        <f>IF(OR(E51&gt;=0.3,E51&lt;=-0.3),"超过30%","")</f>
        <v/>
      </c>
      <c r="G51" s="3199">
        <f>IF(G46&lt;G47,G47/G46-1,G46/G47-1)</f>
        <v>0.22316152330925809</v>
      </c>
      <c r="H51" s="3200" t="str">
        <f>IF(OR(G51&gt;=0.3,G51&lt;=-0.3),"超过30%","")</f>
        <v/>
      </c>
      <c r="I51" s="3199">
        <f>IF(I46&lt;I47,I47/I46-1,I46/I47-1)</f>
        <v>0.15019984311381718</v>
      </c>
      <c r="J51" s="3200" t="str">
        <f>IF(OR(I51&gt;=0.3,I51&lt;=-0.3),"超过30%","")</f>
        <v/>
      </c>
      <c r="K51" s="3196"/>
      <c r="L51" s="3197"/>
      <c r="M51" s="3181"/>
      <c r="N51" s="3181"/>
      <c r="O51" s="3181"/>
    </row>
    <row r="52" spans="1:15" ht="13.5" customHeight="1">
      <c r="A52" s="3181"/>
      <c r="B52" s="3181"/>
      <c r="C52" s="3376" t="s">
        <v>3474</v>
      </c>
      <c r="D52" s="3201"/>
      <c r="E52" s="3199">
        <f>IF(E47&lt;G47,G47/E47-1,E47/G47-1)</f>
        <v>3.6838626639301486E-2</v>
      </c>
      <c r="F52" s="3200" t="str">
        <f>IF(OR(E52&gt;=0.2,E52&lt;=-0.2),"超过20%","")</f>
        <v/>
      </c>
      <c r="G52" s="3199">
        <f>IF(G47&lt;I47,I47/G47-1,G47/I47-1)</f>
        <v>3.3080587801113781E-2</v>
      </c>
      <c r="H52" s="3200" t="str">
        <f>IF(OR(G52&gt;=0.2,G52&lt;=-0.2),"超过20%","")</f>
        <v/>
      </c>
      <c r="I52" s="3199">
        <f>IF(I47&lt;E47,E47/I47-1,I47/E47-1)</f>
        <v>7.1137857863429188E-2</v>
      </c>
      <c r="J52" s="3200" t="str">
        <f>IF(OR(I52&gt;=0.2,I52&lt;=-0.2),"超过20%","")</f>
        <v/>
      </c>
      <c r="K52" s="3196"/>
      <c r="L52" s="3197"/>
      <c r="M52" s="3181"/>
      <c r="N52" s="3181"/>
      <c r="O52" s="3181"/>
    </row>
    <row r="53" spans="1:15" s="3205" customFormat="1" ht="13.5" customHeight="1">
      <c r="A53" s="3202"/>
      <c r="B53" s="3202"/>
      <c r="C53" s="3376" t="s">
        <v>3475</v>
      </c>
      <c r="D53" s="3201"/>
      <c r="E53" s="3199">
        <f>IF(E46&lt;G46,G46/E46-1,E46/G46-1)</f>
        <v>5.0065659881812774E-3</v>
      </c>
      <c r="F53" s="3200" t="str">
        <f>IF(OR(E53&gt;=0.3,E53&lt;=-0.3),"超过30%","")</f>
        <v/>
      </c>
      <c r="G53" s="3199">
        <f>IF(G46&lt;I46,I46/G46-1,G46/I46-1)</f>
        <v>9.8612934996717083E-2</v>
      </c>
      <c r="H53" s="3200" t="str">
        <f>IF(OR(G53&gt;=0.3,G53&lt;=-0.3),"超过30%","")</f>
        <v/>
      </c>
      <c r="I53" s="3199">
        <f>IF(I46&lt;E46,E46/I46-1,I46/E46-1)</f>
        <v>9.3140057166190227E-2</v>
      </c>
      <c r="J53" s="3200" t="str">
        <f>IF(OR(I53&gt;=0.3,I53&lt;=-0.3),"超过30%","")</f>
        <v/>
      </c>
      <c r="K53" s="3203"/>
      <c r="L53" s="3204"/>
      <c r="M53" s="3202"/>
      <c r="N53" s="3202"/>
      <c r="O53" s="3202"/>
    </row>
    <row r="54" spans="1:15" s="3205" customFormat="1" ht="15" thickBot="1">
      <c r="A54" s="3202"/>
      <c r="B54" s="3206"/>
      <c r="C54" s="3377"/>
      <c r="D54" s="3207"/>
      <c r="E54" s="3207"/>
      <c r="F54" s="3207"/>
      <c r="G54" s="3207"/>
      <c r="H54" s="3207"/>
      <c r="I54" s="3207"/>
      <c r="J54" s="3207"/>
      <c r="K54" s="3203"/>
      <c r="L54" s="3204"/>
      <c r="M54" s="3202"/>
      <c r="N54" s="3202"/>
      <c r="O54" s="3202"/>
    </row>
    <row r="55" spans="1:15" ht="27" customHeight="1">
      <c r="A55" s="3208" t="s">
        <v>3476</v>
      </c>
      <c r="B55" s="3209" t="s">
        <v>3477</v>
      </c>
      <c r="C55" s="3378" t="s">
        <v>2742</v>
      </c>
      <c r="D55" s="3210" t="s">
        <v>3478</v>
      </c>
      <c r="E55" s="3211" t="s">
        <v>3479</v>
      </c>
      <c r="F55" s="3212" t="s">
        <v>3480</v>
      </c>
      <c r="G55" s="3617" t="s">
        <v>3481</v>
      </c>
      <c r="H55" s="3618"/>
      <c r="I55" s="3213" t="s">
        <v>3482</v>
      </c>
      <c r="J55" s="3214">
        <f>[1]项目基本情况!F35</f>
        <v>0</v>
      </c>
      <c r="K55" s="3215" t="s">
        <v>3483</v>
      </c>
      <c r="L55" s="3197"/>
      <c r="M55" s="3181"/>
      <c r="N55" s="3181"/>
      <c r="O55" s="3181"/>
    </row>
    <row r="56" spans="1:15" s="3222" customFormat="1">
      <c r="A56" s="3216" t="s">
        <v>3484</v>
      </c>
      <c r="B56" s="687">
        <f>C48</f>
        <v>29782</v>
      </c>
      <c r="C56" s="3379">
        <v>1</v>
      </c>
      <c r="D56" s="3218">
        <v>1</v>
      </c>
      <c r="E56" s="3217">
        <f>'[1]数据-汇总表'!E8+'[1]数据-汇总表'!E9</f>
        <v>25780.95</v>
      </c>
      <c r="F56" s="1093">
        <f t="shared" ref="F56:F65" si="15">ROUND(B56*E56/10000,0)</f>
        <v>76781</v>
      </c>
      <c r="G56" s="3619"/>
      <c r="H56" s="3620"/>
      <c r="I56" s="3219">
        <v>1</v>
      </c>
      <c r="J56" s="3220">
        <v>1</v>
      </c>
      <c r="K56" s="3202"/>
      <c r="L56" s="3221"/>
      <c r="M56" s="3221"/>
      <c r="N56" s="3221"/>
      <c r="O56" s="3221"/>
    </row>
    <row r="57" spans="1:15" s="3222" customFormat="1">
      <c r="A57" s="691" t="s">
        <v>3485</v>
      </c>
      <c r="B57" s="262" t="e">
        <f>ROUND($C$48*C57*D57,0)</f>
        <v>#VALUE!</v>
      </c>
      <c r="C57" s="3380" t="e">
        <f t="shared" ref="C57:C65" si="16">IF($C$55="北京市系数",I57,J57)</f>
        <v>#VALUE!</v>
      </c>
      <c r="D57" s="3223">
        <v>0.25</v>
      </c>
      <c r="E57" s="692"/>
      <c r="F57" s="1093" t="e">
        <f t="shared" si="15"/>
        <v>#VALUE!</v>
      </c>
      <c r="G57" s="3621" t="s">
        <v>3486</v>
      </c>
      <c r="H57" s="3224" t="str">
        <f>[1]项目基本情况!B37</f>
        <v>六级</v>
      </c>
      <c r="I57" s="3219" t="e">
        <f>SUMIF([1]修正!A45:A56,H57,[1]修正!B45:B56)</f>
        <v>#VALUE!</v>
      </c>
      <c r="J57" s="3225"/>
      <c r="K57" s="3181"/>
      <c r="L57" s="3221"/>
      <c r="M57" s="3221"/>
      <c r="N57" s="3221"/>
      <c r="O57" s="3221"/>
    </row>
    <row r="58" spans="1:15" s="3222" customFormat="1">
      <c r="A58" s="691" t="s">
        <v>3487</v>
      </c>
      <c r="B58" s="262" t="e">
        <f t="shared" ref="B58:B65" si="17">ROUND($C$48*C58*D58,0)</f>
        <v>#VALUE!</v>
      </c>
      <c r="C58" s="3380" t="e">
        <f t="shared" si="16"/>
        <v>#VALUE!</v>
      </c>
      <c r="D58" s="3223">
        <v>0.25</v>
      </c>
      <c r="E58" s="692"/>
      <c r="F58" s="1093" t="e">
        <f t="shared" si="15"/>
        <v>#VALUE!</v>
      </c>
      <c r="G58" s="3621"/>
      <c r="H58" s="3224" t="str">
        <f>[1]项目基本情况!B37</f>
        <v>六级</v>
      </c>
      <c r="I58" s="3219" t="e">
        <f>SUMIF([1]修正!A45:A56,H58,[1]修正!C45:C56)</f>
        <v>#VALUE!</v>
      </c>
      <c r="J58" s="3225"/>
      <c r="K58" s="3202"/>
      <c r="L58" s="3221"/>
      <c r="M58" s="3221"/>
      <c r="N58" s="3221"/>
      <c r="O58" s="3221"/>
    </row>
    <row r="59" spans="1:15" s="3222" customFormat="1">
      <c r="A59" s="691" t="s">
        <v>3488</v>
      </c>
      <c r="B59" s="262" t="e">
        <f t="shared" si="17"/>
        <v>#VALUE!</v>
      </c>
      <c r="C59" s="3380" t="e">
        <f t="shared" si="16"/>
        <v>#VALUE!</v>
      </c>
      <c r="D59" s="3223">
        <v>0.25</v>
      </c>
      <c r="E59" s="692"/>
      <c r="F59" s="1093" t="e">
        <f t="shared" si="15"/>
        <v>#VALUE!</v>
      </c>
      <c r="G59" s="3621"/>
      <c r="H59" s="3224" t="str">
        <f>[1]项目基本情况!B37</f>
        <v>六级</v>
      </c>
      <c r="I59" s="3219" t="e">
        <f>SUMIF([1]修正!A45:A56,H59,[1]修正!D45:D56)</f>
        <v>#VALUE!</v>
      </c>
      <c r="J59" s="3225"/>
      <c r="K59" s="3181"/>
      <c r="L59" s="3221"/>
      <c r="M59" s="3221"/>
      <c r="N59" s="3221"/>
      <c r="O59" s="3221"/>
    </row>
    <row r="60" spans="1:15" s="3222" customFormat="1">
      <c r="A60" s="691" t="s">
        <v>3489</v>
      </c>
      <c r="B60" s="262" t="e">
        <f t="shared" si="17"/>
        <v>#VALUE!</v>
      </c>
      <c r="C60" s="3380" t="e">
        <f t="shared" si="16"/>
        <v>#VALUE!</v>
      </c>
      <c r="D60" s="3223">
        <v>0.25</v>
      </c>
      <c r="E60" s="692"/>
      <c r="F60" s="1093" t="e">
        <f t="shared" si="15"/>
        <v>#VALUE!</v>
      </c>
      <c r="G60" s="3621"/>
      <c r="H60" s="3224" t="str">
        <f>[1]项目基本情况!B37</f>
        <v>六级</v>
      </c>
      <c r="I60" s="3219" t="e">
        <f>SUMIF([1]修正!A45:A56,H60,[1]修正!E45:E56)</f>
        <v>#VALUE!</v>
      </c>
      <c r="J60" s="3225"/>
      <c r="K60" s="3202"/>
      <c r="L60" s="3221"/>
      <c r="M60" s="3221"/>
      <c r="N60" s="3221"/>
      <c r="O60" s="3221"/>
    </row>
    <row r="61" spans="1:15" s="3222" customFormat="1">
      <c r="A61" s="691" t="s">
        <v>3490</v>
      </c>
      <c r="B61" s="262" t="e">
        <f t="shared" si="17"/>
        <v>#VALUE!</v>
      </c>
      <c r="C61" s="3380" t="e">
        <f t="shared" si="16"/>
        <v>#VALUE!</v>
      </c>
      <c r="D61" s="3223">
        <v>0.25</v>
      </c>
      <c r="E61" s="261">
        <f>'[1]数据-汇总表'!E11</f>
        <v>0</v>
      </c>
      <c r="F61" s="1093" t="e">
        <f t="shared" si="15"/>
        <v>#VALUE!</v>
      </c>
      <c r="G61" s="3226" t="s">
        <v>3491</v>
      </c>
      <c r="H61" s="3224" t="str">
        <f>[1]项目基本情况!C37</f>
        <v>六级</v>
      </c>
      <c r="I61" s="3219" t="e">
        <f>SUMIF([1]修正!A45:A56,H61,[1]修正!F45:F56)</f>
        <v>#VALUE!</v>
      </c>
      <c r="J61" s="3225"/>
      <c r="K61" s="3181"/>
      <c r="L61" s="3221"/>
      <c r="M61" s="3221"/>
      <c r="N61" s="3221"/>
      <c r="O61" s="3221"/>
    </row>
    <row r="62" spans="1:15" s="3222" customFormat="1">
      <c r="A62" s="691" t="s">
        <v>3492</v>
      </c>
      <c r="B62" s="262" t="e">
        <f t="shared" si="17"/>
        <v>#VALUE!</v>
      </c>
      <c r="C62" s="3380" t="e">
        <f t="shared" si="16"/>
        <v>#VALUE!</v>
      </c>
      <c r="D62" s="3223">
        <v>0.25</v>
      </c>
      <c r="E62" s="261">
        <f>'[1]数据-汇总表'!E12</f>
        <v>0</v>
      </c>
      <c r="F62" s="1093" t="e">
        <f t="shared" si="15"/>
        <v>#VALUE!</v>
      </c>
      <c r="G62" s="3227" t="s">
        <v>2757</v>
      </c>
      <c r="H62" s="3224" t="str">
        <f>IF(G62="商业",[1]项目基本情况!B37,IF(G62="办公",[1]项目基本情况!C37,IF(G62="住宅",[1]项目基本情况!D37,[1]项目基本情况!E37)))</f>
        <v>六级</v>
      </c>
      <c r="I62" s="3219" t="e">
        <f>SUMIF([1]修正!A45:A56,H62,[1]修正!G45:G56)</f>
        <v>#VALUE!</v>
      </c>
      <c r="J62" s="3225"/>
      <c r="K62" s="3202"/>
      <c r="L62" s="3221"/>
      <c r="M62" s="3221"/>
      <c r="N62" s="3221"/>
      <c r="O62" s="3221"/>
    </row>
    <row r="63" spans="1:15" s="3222" customFormat="1">
      <c r="A63" s="691" t="s">
        <v>3493</v>
      </c>
      <c r="B63" s="262" t="e">
        <f t="shared" si="17"/>
        <v>#VALUE!</v>
      </c>
      <c r="C63" s="3380" t="e">
        <f t="shared" si="16"/>
        <v>#VALUE!</v>
      </c>
      <c r="D63" s="3223">
        <v>0.25</v>
      </c>
      <c r="E63" s="261">
        <f>'[1]数据-汇总表'!E13</f>
        <v>3485.53</v>
      </c>
      <c r="F63" s="1093" t="e">
        <f t="shared" si="15"/>
        <v>#VALUE!</v>
      </c>
      <c r="G63" s="3227" t="s">
        <v>2759</v>
      </c>
      <c r="H63" s="3224" t="str">
        <f>IF(G63="商业",[1]项目基本情况!B37,IF(G63="办公",[1]项目基本情况!C37,IF(G63="住宅",[1]项目基本情况!D37,[1]项目基本情况!E37)))</f>
        <v>六级</v>
      </c>
      <c r="I63" s="3219" t="e">
        <f>SUMIF([1]修正!A45:A56,H63,[1]修正!H45:H56)</f>
        <v>#VALUE!</v>
      </c>
      <c r="J63" s="3225"/>
      <c r="K63" s="3181"/>
      <c r="L63" s="3221"/>
      <c r="M63" s="3221"/>
      <c r="N63" s="3221"/>
      <c r="O63" s="3221"/>
    </row>
    <row r="64" spans="1:15" s="3222" customFormat="1">
      <c r="A64" s="691" t="s">
        <v>3494</v>
      </c>
      <c r="B64" s="262" t="e">
        <f t="shared" si="17"/>
        <v>#VALUE!</v>
      </c>
      <c r="C64" s="3380" t="e">
        <f t="shared" si="16"/>
        <v>#VALUE!</v>
      </c>
      <c r="D64" s="3223">
        <v>0.25</v>
      </c>
      <c r="E64" s="261">
        <f>'[1]数据-汇总表'!E14</f>
        <v>0</v>
      </c>
      <c r="F64" s="1093" t="e">
        <f t="shared" si="15"/>
        <v>#VALUE!</v>
      </c>
      <c r="G64" s="3226" t="s">
        <v>3495</v>
      </c>
      <c r="H64" s="3224" t="str">
        <f>[1]项目基本情况!B37</f>
        <v>六级</v>
      </c>
      <c r="I64" s="3219" t="e">
        <f>SUMIF([1]修正!A45:A56,H64,[1]修正!H45:H56)</f>
        <v>#VALUE!</v>
      </c>
      <c r="J64" s="3225"/>
      <c r="K64" s="3202"/>
      <c r="L64" s="3221"/>
      <c r="M64" s="3221"/>
      <c r="N64" s="3221"/>
      <c r="O64" s="3221"/>
    </row>
    <row r="65" spans="1:17" s="3222" customFormat="1" ht="15" thickBot="1">
      <c r="A65" s="691" t="s">
        <v>3496</v>
      </c>
      <c r="B65" s="262" t="e">
        <f t="shared" si="17"/>
        <v>#VALUE!</v>
      </c>
      <c r="C65" s="3380" t="e">
        <f t="shared" si="16"/>
        <v>#VALUE!</v>
      </c>
      <c r="D65" s="3223">
        <v>0.25</v>
      </c>
      <c r="E65" s="261">
        <f>'[1]数据-汇总表'!E15</f>
        <v>0</v>
      </c>
      <c r="F65" s="1093" t="e">
        <f t="shared" si="15"/>
        <v>#VALUE!</v>
      </c>
      <c r="G65" s="3228" t="s">
        <v>3491</v>
      </c>
      <c r="H65" s="3229" t="str">
        <f>[1]项目基本情况!C37</f>
        <v>六级</v>
      </c>
      <c r="I65" s="3230" t="e">
        <f>SUMIF([1]修正!A45:A56,H65,[1]修正!H45:H56)</f>
        <v>#VALUE!</v>
      </c>
      <c r="J65" s="3231"/>
      <c r="K65" s="3181"/>
      <c r="L65" s="3221"/>
      <c r="M65" s="3221"/>
      <c r="N65" s="3221"/>
      <c r="O65" s="3221"/>
    </row>
    <row r="66" spans="1:17" s="3222" customFormat="1" ht="13.5" thickBot="1">
      <c r="A66" s="693" t="s">
        <v>3497</v>
      </c>
      <c r="B66" s="3232" t="s">
        <v>3498</v>
      </c>
      <c r="C66" s="3381" t="s">
        <v>3498</v>
      </c>
      <c r="D66" s="3232" t="s">
        <v>3498</v>
      </c>
      <c r="E66" s="3232">
        <f>IF(B46="楼面地价",SUM(E56:E65),'[1]数据-汇总表'!D3)</f>
        <v>29266.48</v>
      </c>
      <c r="F66" s="3233" t="e">
        <f>IF(B46="楼面地价",SUM(F56:F65),ROUND(C48*E66/10000,0))</f>
        <v>#VALUE!</v>
      </c>
      <c r="G66" s="3234"/>
      <c r="H66" s="3234"/>
      <c r="I66" s="3234"/>
      <c r="J66" s="3234"/>
      <c r="K66" s="3235"/>
      <c r="L66" s="3221"/>
      <c r="M66" s="3221"/>
      <c r="N66" s="3221"/>
      <c r="O66" s="3221"/>
    </row>
    <row r="67" spans="1:17">
      <c r="A67" s="3182"/>
      <c r="B67" s="3236"/>
      <c r="C67" s="3377"/>
      <c r="D67" s="3182"/>
      <c r="E67" s="3182"/>
      <c r="F67" s="3182"/>
      <c r="G67" s="3182"/>
      <c r="H67" s="3182"/>
      <c r="I67" s="3182"/>
      <c r="J67" s="3181"/>
      <c r="K67" s="3196"/>
      <c r="L67" s="3197"/>
      <c r="M67" s="3181"/>
      <c r="N67" s="3181"/>
      <c r="O67" s="3181"/>
    </row>
    <row r="68" spans="1:17">
      <c r="A68" s="3182"/>
      <c r="B68" s="3236"/>
      <c r="C68" s="3377" t="str">
        <f>YEAR(C7)&amp;"-"&amp;MONTH(C7)&amp;"-1"</f>
        <v>2020-1-1</v>
      </c>
      <c r="D68" s="3236">
        <f>EDATE(C68,-3)</f>
        <v>43739</v>
      </c>
      <c r="E68" s="3236">
        <f>EDATE(D68,-3)</f>
        <v>43647</v>
      </c>
      <c r="F68" s="3236">
        <f t="shared" ref="F68:O68" si="18">EDATE(E68,-3)</f>
        <v>43556</v>
      </c>
      <c r="G68" s="3236">
        <f t="shared" si="18"/>
        <v>43466</v>
      </c>
      <c r="H68" s="3236">
        <f t="shared" si="18"/>
        <v>43374</v>
      </c>
      <c r="I68" s="3236">
        <f t="shared" si="18"/>
        <v>43282</v>
      </c>
      <c r="J68" s="3236">
        <f t="shared" si="18"/>
        <v>43191</v>
      </c>
      <c r="K68" s="3236">
        <f t="shared" si="18"/>
        <v>43101</v>
      </c>
      <c r="L68" s="3236">
        <f t="shared" si="18"/>
        <v>43009</v>
      </c>
      <c r="M68" s="3236">
        <f t="shared" si="18"/>
        <v>42917</v>
      </c>
      <c r="N68" s="3236">
        <f t="shared" si="18"/>
        <v>42826</v>
      </c>
      <c r="O68" s="3236">
        <f t="shared" si="18"/>
        <v>42736</v>
      </c>
    </row>
    <row r="69" spans="1:17" ht="21.75" thickBot="1">
      <c r="A69" s="3237" t="s">
        <v>3499</v>
      </c>
      <c r="B69" s="3182"/>
      <c r="C69" s="3382"/>
      <c r="D69" s="3238"/>
      <c r="E69" s="3238"/>
      <c r="F69" s="3239"/>
      <c r="G69" s="3239"/>
      <c r="H69" s="3238"/>
      <c r="I69" s="3238"/>
      <c r="J69" s="3240"/>
      <c r="K69" s="3241"/>
      <c r="L69" s="3242"/>
      <c r="M69" s="3240"/>
      <c r="N69" s="3240"/>
      <c r="O69" s="3240"/>
      <c r="P69" s="3243"/>
      <c r="Q69" s="3244"/>
    </row>
    <row r="70" spans="1:17" s="3249" customFormat="1" ht="15">
      <c r="A70" s="3245" t="s">
        <v>3500</v>
      </c>
      <c r="B70" s="3246"/>
      <c r="C70" s="3247" t="str">
        <f>YEAR(C68)&amp;"-"&amp;ROUNDUP(MONTH(C68)/3,0)</f>
        <v>2020-1</v>
      </c>
      <c r="D70" s="3247" t="str">
        <f>YEAR(D68)&amp;"-"&amp;ROUNDUP(MONTH(D68)/3,0)</f>
        <v>2019-4</v>
      </c>
      <c r="E70" s="3247" t="str">
        <f t="shared" ref="E70:O70" si="19">YEAR(E68)&amp;"-"&amp;ROUNDUP(MONTH(E68)/3,0)</f>
        <v>2019-3</v>
      </c>
      <c r="F70" s="3247" t="str">
        <f t="shared" si="19"/>
        <v>2019-2</v>
      </c>
      <c r="G70" s="3247" t="str">
        <f t="shared" si="19"/>
        <v>2019-1</v>
      </c>
      <c r="H70" s="3247" t="str">
        <f t="shared" si="19"/>
        <v>2018-4</v>
      </c>
      <c r="I70" s="3247" t="str">
        <f t="shared" si="19"/>
        <v>2018-3</v>
      </c>
      <c r="J70" s="3247" t="str">
        <f t="shared" si="19"/>
        <v>2018-2</v>
      </c>
      <c r="K70" s="3247" t="str">
        <f t="shared" si="19"/>
        <v>2018-1</v>
      </c>
      <c r="L70" s="3247" t="str">
        <f t="shared" si="19"/>
        <v>2017-4</v>
      </c>
      <c r="M70" s="3247" t="str">
        <f t="shared" si="19"/>
        <v>2017-3</v>
      </c>
      <c r="N70" s="3247" t="str">
        <f t="shared" si="19"/>
        <v>2017-2</v>
      </c>
      <c r="O70" s="3247" t="str">
        <f t="shared" si="19"/>
        <v>2017-1</v>
      </c>
      <c r="P70" s="3248"/>
    </row>
    <row r="71" spans="1:17" s="3068" customFormat="1" ht="30" customHeight="1">
      <c r="A71" s="3250" t="s">
        <v>3436</v>
      </c>
      <c r="B71" s="3251" t="e">
        <f>"北京市平均增长率"&amp;TEXT(SUMIF([1]基准地价修正!N21:N25,A71,[1]基准地价修正!P21:P25),"0.00%")</f>
        <v>#VALUE!</v>
      </c>
      <c r="C71" s="3252">
        <v>100</v>
      </c>
      <c r="D71" s="3253">
        <f>C71-0.5</f>
        <v>99.5</v>
      </c>
      <c r="E71" s="3253">
        <v>99.5</v>
      </c>
      <c r="F71" s="3253">
        <v>99.5</v>
      </c>
      <c r="G71" s="3253">
        <v>99.5</v>
      </c>
      <c r="H71" s="3253">
        <v>99</v>
      </c>
      <c r="I71" s="3253">
        <v>99</v>
      </c>
      <c r="J71" s="3253">
        <v>99</v>
      </c>
      <c r="K71" s="3253">
        <v>99</v>
      </c>
      <c r="L71" s="3253">
        <v>98.5</v>
      </c>
      <c r="M71" s="3253">
        <v>98.5</v>
      </c>
      <c r="N71" s="3253">
        <v>98.5</v>
      </c>
      <c r="O71" s="3253">
        <v>98.5</v>
      </c>
      <c r="P71" s="3244"/>
    </row>
    <row r="72" spans="1:17" s="3068" customFormat="1" ht="15.75" thickBot="1">
      <c r="A72" s="3254" t="s">
        <v>3501</v>
      </c>
      <c r="B72" s="3255"/>
      <c r="C72" s="3256"/>
      <c r="D72" s="3257"/>
      <c r="E72" s="3257"/>
      <c r="F72" s="3257"/>
      <c r="G72" s="3257"/>
      <c r="H72" s="3257"/>
      <c r="I72" s="3257"/>
      <c r="J72" s="3257"/>
      <c r="K72" s="3257"/>
      <c r="L72" s="3257"/>
      <c r="M72" s="3258"/>
      <c r="N72" s="3257"/>
      <c r="O72" s="3259"/>
      <c r="P72" s="3244"/>
      <c r="Q72" s="3244"/>
    </row>
    <row r="73" spans="1:17" s="3068" customFormat="1" ht="15">
      <c r="A73" s="3260" t="s">
        <v>3432</v>
      </c>
      <c r="B73" s="3261"/>
      <c r="C73" s="3262" t="s">
        <v>3502</v>
      </c>
      <c r="D73" s="3263"/>
      <c r="E73" s="3263"/>
      <c r="F73" s="3263"/>
      <c r="G73" s="3263"/>
      <c r="H73" s="3263"/>
      <c r="I73" s="3263"/>
      <c r="J73" s="3263"/>
      <c r="K73" s="3263"/>
      <c r="L73" s="3264"/>
      <c r="M73" s="3265"/>
      <c r="N73" s="3266"/>
      <c r="O73" s="3266"/>
      <c r="P73" s="3267"/>
      <c r="Q73" s="3244"/>
    </row>
    <row r="74" spans="1:17" s="3068" customFormat="1" ht="15.75" thickBot="1">
      <c r="A74" s="3260"/>
      <c r="B74" s="3261"/>
      <c r="C74" s="3268">
        <v>100</v>
      </c>
      <c r="D74" s="3269"/>
      <c r="E74" s="3269"/>
      <c r="F74" s="3269"/>
      <c r="G74" s="3269"/>
      <c r="H74" s="3269"/>
      <c r="I74" s="3269"/>
      <c r="J74" s="3269"/>
      <c r="K74" s="3269"/>
      <c r="L74" s="3269"/>
      <c r="M74" s="3270"/>
      <c r="N74" s="3266"/>
      <c r="O74" s="3266"/>
      <c r="P74" s="3244"/>
      <c r="Q74" s="3244"/>
    </row>
    <row r="75" spans="1:17">
      <c r="A75" s="3271" t="s">
        <v>3503</v>
      </c>
      <c r="B75" s="3272" t="s">
        <v>3504</v>
      </c>
      <c r="C75" s="3273" t="s">
        <v>3505</v>
      </c>
      <c r="D75" s="3274"/>
      <c r="E75" s="3274"/>
      <c r="F75" s="3274"/>
      <c r="G75" s="3274"/>
      <c r="H75" s="3274"/>
      <c r="I75" s="3274"/>
      <c r="J75" s="3274"/>
      <c r="K75" s="3275"/>
      <c r="L75" s="3276"/>
      <c r="M75" s="3277"/>
      <c r="N75" s="3278"/>
      <c r="O75" s="3278"/>
      <c r="P75" s="3279"/>
      <c r="Q75" s="3244"/>
    </row>
    <row r="76" spans="1:17" ht="15.75" thickBot="1">
      <c r="A76" s="3280"/>
      <c r="B76" s="3281"/>
      <c r="C76" s="3282">
        <v>100</v>
      </c>
      <c r="D76" s="3282"/>
      <c r="E76" s="3282"/>
      <c r="F76" s="3282"/>
      <c r="G76" s="3282"/>
      <c r="H76" s="3282"/>
      <c r="I76" s="3282"/>
      <c r="J76" s="3282"/>
      <c r="K76" s="3282"/>
      <c r="L76" s="3282"/>
      <c r="M76" s="3283"/>
      <c r="N76" s="3284"/>
      <c r="O76" s="3284"/>
      <c r="P76" s="3279"/>
      <c r="Q76" s="3244"/>
    </row>
    <row r="77" spans="1:17" ht="27.75" thickTop="1">
      <c r="A77" s="3280"/>
      <c r="B77" s="3285" t="s">
        <v>2545</v>
      </c>
      <c r="C77" s="3286"/>
      <c r="D77" s="3286"/>
      <c r="E77" s="3286"/>
      <c r="F77" s="3286"/>
      <c r="G77" s="3286"/>
      <c r="H77" s="3286"/>
      <c r="I77" s="3286"/>
      <c r="J77" s="3286"/>
      <c r="K77" s="3287"/>
      <c r="L77" s="3288"/>
      <c r="M77" s="3289"/>
      <c r="N77" s="3278"/>
      <c r="O77" s="3278"/>
      <c r="P77" s="3279"/>
      <c r="Q77" s="3244"/>
    </row>
    <row r="78" spans="1:17" ht="15.75" thickBot="1">
      <c r="A78" s="3280"/>
      <c r="B78" s="3290"/>
      <c r="C78" s="3291"/>
      <c r="D78" s="3291"/>
      <c r="E78" s="3291"/>
      <c r="F78" s="3291"/>
      <c r="G78" s="3291"/>
      <c r="H78" s="3291"/>
      <c r="I78" s="3291"/>
      <c r="J78" s="3291"/>
      <c r="K78" s="3291"/>
      <c r="L78" s="3291"/>
      <c r="M78" s="3292"/>
      <c r="N78" s="3284"/>
      <c r="O78" s="3284"/>
      <c r="P78" s="3279"/>
      <c r="Q78" s="3244"/>
    </row>
    <row r="79" spans="1:17" ht="15.75" thickTop="1">
      <c r="A79" s="3280"/>
      <c r="B79" s="3293" t="s">
        <v>3441</v>
      </c>
      <c r="C79" s="3294" t="str">
        <f>C80&amp;"（含）"&amp;"-"&amp;D80</f>
        <v>0（含）-1</v>
      </c>
      <c r="D79" s="3294" t="str">
        <f t="shared" ref="D79:L79" si="20">D80&amp;"（含）"&amp;"-"&amp;E80</f>
        <v>1（含）-2</v>
      </c>
      <c r="E79" s="3294" t="str">
        <f t="shared" si="20"/>
        <v>2（含）-3</v>
      </c>
      <c r="F79" s="3294" t="str">
        <f t="shared" si="20"/>
        <v>3（含）-4</v>
      </c>
      <c r="G79" s="3294" t="str">
        <f t="shared" si="20"/>
        <v>4（含）-5</v>
      </c>
      <c r="H79" s="3294" t="str">
        <f t="shared" si="20"/>
        <v>5（含）-</v>
      </c>
      <c r="I79" s="3294" t="str">
        <f t="shared" si="20"/>
        <v>（含）-</v>
      </c>
      <c r="J79" s="3294" t="str">
        <f t="shared" si="20"/>
        <v>（含）-</v>
      </c>
      <c r="K79" s="3294" t="str">
        <f t="shared" si="20"/>
        <v>（含）-</v>
      </c>
      <c r="L79" s="3294" t="str">
        <f t="shared" si="20"/>
        <v>（含）-</v>
      </c>
      <c r="M79" s="3121" t="str">
        <f>M80&amp;"（含）"&amp;"-"&amp;P80</f>
        <v>（含）-</v>
      </c>
      <c r="N79" s="3284"/>
      <c r="O79" s="3284"/>
      <c r="P79" s="3279"/>
      <c r="Q79" s="3244"/>
    </row>
    <row r="80" spans="1:17" ht="15">
      <c r="A80" s="3280"/>
      <c r="B80" s="3295"/>
      <c r="C80" s="3102">
        <v>0</v>
      </c>
      <c r="D80" s="3102">
        <v>1</v>
      </c>
      <c r="E80" s="3102">
        <v>2</v>
      </c>
      <c r="F80" s="3102">
        <v>3</v>
      </c>
      <c r="G80" s="3102">
        <v>4</v>
      </c>
      <c r="H80" s="3102">
        <v>5</v>
      </c>
      <c r="I80" s="3102"/>
      <c r="J80" s="3102"/>
      <c r="K80" s="3296"/>
      <c r="L80" s="3297"/>
      <c r="M80" s="3298"/>
      <c r="N80" s="3278"/>
      <c r="O80" s="3278"/>
      <c r="P80" s="3279"/>
      <c r="Q80" s="3244"/>
    </row>
    <row r="81" spans="1:17" ht="15.75" thickBot="1">
      <c r="A81" s="3280"/>
      <c r="B81" s="3281"/>
      <c r="C81" s="3291">
        <v>100</v>
      </c>
      <c r="D81" s="3291">
        <f t="shared" ref="D81:M81" si="21">IF($B$46="单位面积地价",C81+$K11,C81-$K11)</f>
        <v>99</v>
      </c>
      <c r="E81" s="3291">
        <f t="shared" si="21"/>
        <v>98</v>
      </c>
      <c r="F81" s="3291">
        <f t="shared" si="21"/>
        <v>97</v>
      </c>
      <c r="G81" s="3291">
        <f t="shared" si="21"/>
        <v>96</v>
      </c>
      <c r="H81" s="3291">
        <f t="shared" si="21"/>
        <v>95</v>
      </c>
      <c r="I81" s="3291">
        <f t="shared" si="21"/>
        <v>94</v>
      </c>
      <c r="J81" s="3291">
        <f t="shared" si="21"/>
        <v>93</v>
      </c>
      <c r="K81" s="3291">
        <f t="shared" si="21"/>
        <v>92</v>
      </c>
      <c r="L81" s="3291">
        <f t="shared" si="21"/>
        <v>91</v>
      </c>
      <c r="M81" s="3291">
        <f t="shared" si="21"/>
        <v>90</v>
      </c>
      <c r="N81" s="3284"/>
      <c r="O81" s="3284"/>
      <c r="P81" s="3279"/>
      <c r="Q81" s="3244"/>
    </row>
    <row r="82" spans="1:17" s="3161" customFormat="1" ht="15.75" thickTop="1">
      <c r="A82" s="3299"/>
      <c r="B82" s="3285" t="str">
        <f>B12</f>
        <v>自持</v>
      </c>
      <c r="C82" s="3383" t="s">
        <v>3506</v>
      </c>
      <c r="D82" s="3300" t="s">
        <v>3443</v>
      </c>
      <c r="E82" s="3301"/>
      <c r="F82" s="3301"/>
      <c r="G82" s="3301"/>
      <c r="H82" s="3302"/>
      <c r="I82" s="3302"/>
      <c r="J82" s="3302"/>
      <c r="K82" s="3302"/>
      <c r="L82" s="3303"/>
      <c r="M82" s="3304"/>
      <c r="N82" s="3305"/>
      <c r="O82" s="3305"/>
      <c r="P82" s="3306"/>
      <c r="Q82" s="3307"/>
    </row>
    <row r="83" spans="1:17" s="3161" customFormat="1" ht="15.75" thickBot="1">
      <c r="A83" s="3299"/>
      <c r="B83" s="3290"/>
      <c r="C83" s="3308">
        <v>100</v>
      </c>
      <c r="D83" s="3282">
        <v>105</v>
      </c>
      <c r="E83" s="3282"/>
      <c r="F83" s="3282"/>
      <c r="G83" s="3282"/>
      <c r="H83" s="3282"/>
      <c r="I83" s="3282"/>
      <c r="J83" s="3282"/>
      <c r="K83" s="3282"/>
      <c r="L83" s="3282"/>
      <c r="M83" s="3283"/>
      <c r="N83" s="3284"/>
      <c r="O83" s="3284"/>
      <c r="P83" s="3306"/>
      <c r="Q83" s="3307"/>
    </row>
    <row r="84" spans="1:17" s="3161" customFormat="1" ht="15.75" thickTop="1">
      <c r="A84" s="3299"/>
      <c r="B84" s="3285">
        <f>B13</f>
        <v>0</v>
      </c>
      <c r="C84" s="3301"/>
      <c r="D84" s="3301"/>
      <c r="E84" s="3301"/>
      <c r="F84" s="3301"/>
      <c r="G84" s="3301"/>
      <c r="H84" s="3302"/>
      <c r="I84" s="3302"/>
      <c r="J84" s="3302"/>
      <c r="K84" s="3302"/>
      <c r="L84" s="3303"/>
      <c r="M84" s="3304"/>
      <c r="N84" s="3305"/>
      <c r="O84" s="3305"/>
      <c r="P84" s="3309"/>
      <c r="Q84" s="3310"/>
    </row>
    <row r="85" spans="1:17" s="3161" customFormat="1" ht="15.75" thickBot="1">
      <c r="A85" s="3299"/>
      <c r="B85" s="3290"/>
      <c r="C85" s="3308"/>
      <c r="D85" s="3308"/>
      <c r="E85" s="3308"/>
      <c r="F85" s="3308"/>
      <c r="G85" s="3308"/>
      <c r="H85" s="3311"/>
      <c r="I85" s="3311"/>
      <c r="J85" s="3311"/>
      <c r="K85" s="3311"/>
      <c r="L85" s="3311"/>
      <c r="M85" s="3312"/>
      <c r="N85" s="3305"/>
      <c r="O85" s="3305"/>
      <c r="P85" s="3306"/>
      <c r="Q85" s="3307"/>
    </row>
    <row r="86" spans="1:17" s="3161" customFormat="1" ht="15.75" thickTop="1">
      <c r="A86" s="3299"/>
      <c r="B86" s="3293">
        <f>B14</f>
        <v>0</v>
      </c>
      <c r="C86" s="3263"/>
      <c r="D86" s="3263"/>
      <c r="E86" s="3263"/>
      <c r="F86" s="3263"/>
      <c r="G86" s="3263"/>
      <c r="H86" s="3313"/>
      <c r="I86" s="3313"/>
      <c r="J86" s="3313"/>
      <c r="K86" s="3313"/>
      <c r="L86" s="3314"/>
      <c r="M86" s="3315"/>
      <c r="N86" s="3305"/>
      <c r="O86" s="3305"/>
      <c r="P86" s="3316"/>
      <c r="Q86" s="3307"/>
    </row>
    <row r="87" spans="1:17" s="3161" customFormat="1" ht="15.75" thickBot="1">
      <c r="A87" s="3317"/>
      <c r="B87" s="3318"/>
      <c r="C87" s="3319"/>
      <c r="D87" s="3319"/>
      <c r="E87" s="3319"/>
      <c r="F87" s="3319"/>
      <c r="G87" s="3319"/>
      <c r="H87" s="3320"/>
      <c r="I87" s="3320"/>
      <c r="J87" s="3320"/>
      <c r="K87" s="3320"/>
      <c r="L87" s="3320"/>
      <c r="M87" s="3321"/>
      <c r="N87" s="3305"/>
      <c r="O87" s="3305"/>
      <c r="P87" s="3306"/>
      <c r="Q87" s="3307"/>
    </row>
    <row r="88" spans="1:17">
      <c r="A88" s="3271" t="s">
        <v>3445</v>
      </c>
      <c r="B88" s="3272" t="s">
        <v>3507</v>
      </c>
      <c r="C88" s="3322" t="s">
        <v>3508</v>
      </c>
      <c r="D88" s="3322" t="s">
        <v>3509</v>
      </c>
      <c r="E88" s="3322" t="s">
        <v>3510</v>
      </c>
      <c r="F88" s="3322" t="s">
        <v>3511</v>
      </c>
      <c r="G88" s="3322" t="s">
        <v>3512</v>
      </c>
      <c r="H88" s="3323"/>
      <c r="I88" s="3323"/>
      <c r="J88" s="3323"/>
      <c r="K88" s="3324"/>
      <c r="L88" s="3325"/>
      <c r="M88" s="3326"/>
      <c r="N88" s="3278"/>
      <c r="O88" s="3278"/>
      <c r="P88" s="3327"/>
      <c r="Q88" s="3244"/>
    </row>
    <row r="89" spans="1:17" ht="15.75" thickBot="1">
      <c r="A89" s="3280"/>
      <c r="B89" s="3290"/>
      <c r="C89" s="3291">
        <v>100</v>
      </c>
      <c r="D89" s="3291">
        <f>C89-$K15</f>
        <v>100</v>
      </c>
      <c r="E89" s="3291">
        <f>D89-$K15</f>
        <v>100</v>
      </c>
      <c r="F89" s="3291">
        <f>E89-$K15</f>
        <v>100</v>
      </c>
      <c r="G89" s="3291">
        <f>F89-$K15</f>
        <v>100</v>
      </c>
      <c r="H89" s="3291"/>
      <c r="I89" s="3291"/>
      <c r="J89" s="3291"/>
      <c r="K89" s="3291"/>
      <c r="L89" s="3291"/>
      <c r="M89" s="3292"/>
      <c r="N89" s="3284"/>
      <c r="O89" s="3284"/>
      <c r="P89" s="3279"/>
      <c r="Q89" s="3244"/>
    </row>
    <row r="90" spans="1:17" ht="15.75" thickTop="1">
      <c r="A90" s="3280"/>
      <c r="B90" s="3285" t="s">
        <v>3513</v>
      </c>
      <c r="C90" s="3328" t="s">
        <v>3514</v>
      </c>
      <c r="D90" s="3328" t="s">
        <v>3515</v>
      </c>
      <c r="E90" s="3328" t="s">
        <v>3516</v>
      </c>
      <c r="F90" s="3328" t="s">
        <v>3511</v>
      </c>
      <c r="G90" s="3328" t="s">
        <v>3512</v>
      </c>
      <c r="H90" s="3286"/>
      <c r="I90" s="3286"/>
      <c r="J90" s="3286"/>
      <c r="K90" s="3287"/>
      <c r="L90" s="3288"/>
      <c r="M90" s="3289"/>
      <c r="N90" s="3278"/>
      <c r="O90" s="3278"/>
      <c r="P90" s="3279"/>
      <c r="Q90" s="3244"/>
    </row>
    <row r="91" spans="1:17" ht="15.75" thickBot="1">
      <c r="A91" s="3280"/>
      <c r="B91" s="3290"/>
      <c r="C91" s="3291">
        <v>100</v>
      </c>
      <c r="D91" s="3291">
        <f>C91-$K17</f>
        <v>98</v>
      </c>
      <c r="E91" s="3291">
        <f>D91-$K17</f>
        <v>96</v>
      </c>
      <c r="F91" s="3291">
        <f>E91-$K17</f>
        <v>94</v>
      </c>
      <c r="G91" s="3291">
        <f>F91-$K17</f>
        <v>92</v>
      </c>
      <c r="H91" s="3291"/>
      <c r="I91" s="3291"/>
      <c r="J91" s="3291"/>
      <c r="K91" s="3291"/>
      <c r="L91" s="3291"/>
      <c r="M91" s="3292"/>
      <c r="N91" s="3284"/>
      <c r="O91" s="3284"/>
      <c r="P91" s="3279"/>
      <c r="Q91" s="3244"/>
    </row>
    <row r="92" spans="1:17" ht="15.75" thickTop="1">
      <c r="A92" s="3280"/>
      <c r="B92" s="3285" t="s">
        <v>3517</v>
      </c>
      <c r="C92" s="3328" t="s">
        <v>3514</v>
      </c>
      <c r="D92" s="3328" t="s">
        <v>3515</v>
      </c>
      <c r="E92" s="3328" t="s">
        <v>3516</v>
      </c>
      <c r="F92" s="3328" t="s">
        <v>3511</v>
      </c>
      <c r="G92" s="3328" t="s">
        <v>3512</v>
      </c>
      <c r="H92" s="3286"/>
      <c r="I92" s="3286"/>
      <c r="J92" s="3286"/>
      <c r="K92" s="3287"/>
      <c r="L92" s="3288"/>
      <c r="M92" s="3289"/>
      <c r="N92" s="3278"/>
      <c r="O92" s="3278"/>
      <c r="P92" s="3279"/>
      <c r="Q92" s="3244"/>
    </row>
    <row r="93" spans="1:17" ht="15.75" thickBot="1">
      <c r="A93" s="3280"/>
      <c r="B93" s="3290"/>
      <c r="C93" s="3291">
        <v>100</v>
      </c>
      <c r="D93" s="3291">
        <f>C93-$K19</f>
        <v>98</v>
      </c>
      <c r="E93" s="3291">
        <f>D93-$K19</f>
        <v>96</v>
      </c>
      <c r="F93" s="3291">
        <f>E93-$K19</f>
        <v>94</v>
      </c>
      <c r="G93" s="3291">
        <f>F93-$K19</f>
        <v>92</v>
      </c>
      <c r="H93" s="3291"/>
      <c r="I93" s="3291"/>
      <c r="J93" s="3291"/>
      <c r="K93" s="3291"/>
      <c r="L93" s="3291"/>
      <c r="M93" s="3292"/>
      <c r="N93" s="3284"/>
      <c r="O93" s="3284"/>
      <c r="P93" s="3279"/>
      <c r="Q93" s="3244"/>
    </row>
    <row r="94" spans="1:17" ht="15.75" thickTop="1">
      <c r="A94" s="3280"/>
      <c r="B94" s="3285" t="s">
        <v>3518</v>
      </c>
      <c r="C94" s="3328" t="s">
        <v>3514</v>
      </c>
      <c r="D94" s="3328" t="s">
        <v>3515</v>
      </c>
      <c r="E94" s="3328" t="s">
        <v>3516</v>
      </c>
      <c r="F94" s="3328" t="s">
        <v>3511</v>
      </c>
      <c r="G94" s="3328" t="s">
        <v>3512</v>
      </c>
      <c r="H94" s="3286"/>
      <c r="I94" s="3286"/>
      <c r="J94" s="3286"/>
      <c r="K94" s="3287"/>
      <c r="L94" s="3288"/>
      <c r="M94" s="3289"/>
      <c r="N94" s="3278"/>
      <c r="O94" s="3278"/>
      <c r="P94" s="3279"/>
      <c r="Q94" s="3244"/>
    </row>
    <row r="95" spans="1:17" ht="15.75" thickBot="1">
      <c r="A95" s="3280"/>
      <c r="B95" s="3290"/>
      <c r="C95" s="3291">
        <v>100</v>
      </c>
      <c r="D95" s="3291">
        <f>C95-$K21</f>
        <v>98</v>
      </c>
      <c r="E95" s="3291">
        <f>D95-$K21</f>
        <v>96</v>
      </c>
      <c r="F95" s="3291">
        <f>E95-$K21</f>
        <v>94</v>
      </c>
      <c r="G95" s="3291">
        <f>F95-$K21</f>
        <v>92</v>
      </c>
      <c r="H95" s="3291"/>
      <c r="I95" s="3291"/>
      <c r="J95" s="3291"/>
      <c r="K95" s="3291"/>
      <c r="L95" s="3291"/>
      <c r="M95" s="3292"/>
      <c r="N95" s="3284"/>
      <c r="O95" s="3284"/>
      <c r="P95" s="3279"/>
      <c r="Q95" s="3244"/>
    </row>
    <row r="96" spans="1:17" s="3068" customFormat="1" ht="15.75" thickTop="1">
      <c r="A96" s="3329"/>
      <c r="B96" s="3285" t="s">
        <v>3519</v>
      </c>
      <c r="C96" s="3328" t="s">
        <v>3514</v>
      </c>
      <c r="D96" s="3328" t="s">
        <v>3515</v>
      </c>
      <c r="E96" s="3328" t="s">
        <v>3516</v>
      </c>
      <c r="F96" s="3328" t="s">
        <v>3511</v>
      </c>
      <c r="G96" s="3328" t="s">
        <v>3512</v>
      </c>
      <c r="H96" s="3328"/>
      <c r="I96" s="3328"/>
      <c r="J96" s="3328"/>
      <c r="K96" s="3328"/>
      <c r="L96" s="3330"/>
      <c r="M96" s="3331"/>
      <c r="N96" s="3266"/>
      <c r="O96" s="3266"/>
      <c r="P96" s="3279"/>
      <c r="Q96" s="3244"/>
    </row>
    <row r="97" spans="1:17" s="3068" customFormat="1" ht="15.75" thickBot="1">
      <c r="A97" s="3329"/>
      <c r="B97" s="3290"/>
      <c r="C97" s="3332">
        <v>100</v>
      </c>
      <c r="D97" s="3291">
        <f>C97-$K23</f>
        <v>99</v>
      </c>
      <c r="E97" s="3291">
        <f>D97-$K23</f>
        <v>98</v>
      </c>
      <c r="F97" s="3291">
        <f>E97-$K23</f>
        <v>97</v>
      </c>
      <c r="G97" s="3291">
        <f>F97-$K23</f>
        <v>96</v>
      </c>
      <c r="H97" s="3291"/>
      <c r="I97" s="3291"/>
      <c r="J97" s="3291"/>
      <c r="K97" s="3291"/>
      <c r="L97" s="3291"/>
      <c r="M97" s="3292"/>
      <c r="N97" s="3284"/>
      <c r="O97" s="3284"/>
      <c r="P97" s="3279"/>
      <c r="Q97" s="3244"/>
    </row>
    <row r="98" spans="1:17" s="3068" customFormat="1" ht="27.75" thickTop="1">
      <c r="A98" s="3329"/>
      <c r="B98" s="3285" t="s">
        <v>3520</v>
      </c>
      <c r="C98" s="3322" t="s">
        <v>3514</v>
      </c>
      <c r="D98" s="3322" t="s">
        <v>3515</v>
      </c>
      <c r="E98" s="3322" t="s">
        <v>3516</v>
      </c>
      <c r="F98" s="3322" t="s">
        <v>3511</v>
      </c>
      <c r="G98" s="3322" t="s">
        <v>3512</v>
      </c>
      <c r="H98" s="3328"/>
      <c r="I98" s="3328"/>
      <c r="J98" s="3328"/>
      <c r="K98" s="3328"/>
      <c r="L98" s="3328"/>
      <c r="M98" s="3331"/>
      <c r="N98" s="3266"/>
      <c r="O98" s="3266"/>
      <c r="P98" s="3279"/>
      <c r="Q98" s="3244"/>
    </row>
    <row r="99" spans="1:17" s="3068" customFormat="1" ht="15.75" thickBot="1">
      <c r="A99" s="3329"/>
      <c r="B99" s="3290"/>
      <c r="C99" s="3291">
        <v>100</v>
      </c>
      <c r="D99" s="3291">
        <f>C99-$K25</f>
        <v>99</v>
      </c>
      <c r="E99" s="3291">
        <f>D99-$K25</f>
        <v>98</v>
      </c>
      <c r="F99" s="3291">
        <f>E99-$K25</f>
        <v>97</v>
      </c>
      <c r="G99" s="3291">
        <f>F99-$K25</f>
        <v>96</v>
      </c>
      <c r="H99" s="3291"/>
      <c r="I99" s="3291"/>
      <c r="J99" s="3291"/>
      <c r="K99" s="3291"/>
      <c r="L99" s="3291"/>
      <c r="M99" s="3292"/>
      <c r="N99" s="3284"/>
      <c r="O99" s="3284"/>
      <c r="P99" s="3279"/>
      <c r="Q99" s="3244"/>
    </row>
    <row r="100" spans="1:17" s="3161" customFormat="1" ht="15.75" thickTop="1">
      <c r="A100" s="3299"/>
      <c r="B100" s="3285" t="s">
        <v>3521</v>
      </c>
      <c r="C100" s="3322" t="s">
        <v>3514</v>
      </c>
      <c r="D100" s="3322" t="s">
        <v>3515</v>
      </c>
      <c r="E100" s="3322" t="s">
        <v>3516</v>
      </c>
      <c r="F100" s="3322" t="s">
        <v>3511</v>
      </c>
      <c r="G100" s="3322" t="s">
        <v>3512</v>
      </c>
      <c r="H100" s="3333"/>
      <c r="I100" s="3333"/>
      <c r="J100" s="3333"/>
      <c r="K100" s="3333"/>
      <c r="L100" s="3334"/>
      <c r="M100" s="3335"/>
      <c r="N100" s="3305"/>
      <c r="O100" s="3305"/>
      <c r="P100" s="3306"/>
      <c r="Q100" s="3307"/>
    </row>
    <row r="101" spans="1:17" s="3161" customFormat="1" ht="15.75" thickBot="1">
      <c r="A101" s="3299"/>
      <c r="B101" s="3290"/>
      <c r="C101" s="3291">
        <v>100</v>
      </c>
      <c r="D101" s="3291">
        <f>C101-$K27</f>
        <v>98</v>
      </c>
      <c r="E101" s="3291">
        <f>D101-$K27</f>
        <v>96</v>
      </c>
      <c r="F101" s="3291">
        <f>E101-$K27</f>
        <v>94</v>
      </c>
      <c r="G101" s="3291">
        <f>F101-$K27</f>
        <v>92</v>
      </c>
      <c r="H101" s="3336"/>
      <c r="I101" s="3336"/>
      <c r="J101" s="3336"/>
      <c r="K101" s="3336"/>
      <c r="L101" s="3336"/>
      <c r="M101" s="3337"/>
      <c r="N101" s="3305"/>
      <c r="O101" s="3305"/>
      <c r="P101" s="3306"/>
      <c r="Q101" s="3307"/>
    </row>
    <row r="102" spans="1:17" s="3161" customFormat="1" ht="15.75" thickTop="1">
      <c r="A102" s="3299"/>
      <c r="B102" s="3293" t="s">
        <v>3522</v>
      </c>
      <c r="C102" s="3338" t="s">
        <v>3523</v>
      </c>
      <c r="D102" s="3338" t="s">
        <v>3524</v>
      </c>
      <c r="E102" s="3338" t="s">
        <v>3525</v>
      </c>
      <c r="F102" s="3338" t="s">
        <v>3526</v>
      </c>
      <c r="G102" s="3338" t="s">
        <v>3527</v>
      </c>
      <c r="H102" s="3333"/>
      <c r="I102" s="3333"/>
      <c r="J102" s="3333"/>
      <c r="K102" s="3333"/>
      <c r="L102" s="3333"/>
      <c r="M102" s="3339"/>
      <c r="N102" s="3305"/>
      <c r="O102" s="3305"/>
      <c r="P102" s="3306"/>
      <c r="Q102" s="3307"/>
    </row>
    <row r="103" spans="1:17" s="3161" customFormat="1" ht="15.75" thickBot="1">
      <c r="A103" s="3299"/>
      <c r="B103" s="3293"/>
      <c r="C103" s="3291">
        <v>100</v>
      </c>
      <c r="D103" s="3291">
        <f>C103-$K29</f>
        <v>98</v>
      </c>
      <c r="E103" s="3291">
        <f>D103-$K29</f>
        <v>96</v>
      </c>
      <c r="F103" s="3291">
        <f>E103-$K29</f>
        <v>94</v>
      </c>
      <c r="G103" s="3291">
        <f>F103-$K29</f>
        <v>92</v>
      </c>
      <c r="H103" s="3295"/>
      <c r="I103" s="3295"/>
      <c r="J103" s="3295"/>
      <c r="K103" s="3295"/>
      <c r="L103" s="3295"/>
      <c r="M103" s="3339"/>
      <c r="N103" s="3305"/>
      <c r="O103" s="3305"/>
      <c r="P103" s="3306"/>
      <c r="Q103" s="3307"/>
    </row>
    <row r="104" spans="1:17" ht="15.75" thickTop="1">
      <c r="A104" s="3280"/>
      <c r="B104" s="3285" t="str">
        <f>B31</f>
        <v>临街状况</v>
      </c>
      <c r="C104" s="3286" t="s">
        <v>3528</v>
      </c>
      <c r="D104" s="3286" t="s">
        <v>3529</v>
      </c>
      <c r="E104" s="3286" t="s">
        <v>3530</v>
      </c>
      <c r="F104" s="3286" t="s">
        <v>3531</v>
      </c>
      <c r="G104" s="3286"/>
      <c r="H104" s="3286"/>
      <c r="I104" s="3286"/>
      <c r="J104" s="3286"/>
      <c r="K104" s="3287"/>
      <c r="L104" s="3288"/>
      <c r="M104" s="3289"/>
      <c r="N104" s="3278"/>
      <c r="O104" s="3278"/>
      <c r="P104" s="3279"/>
      <c r="Q104" s="3244"/>
    </row>
    <row r="105" spans="1:17" ht="15.75" thickBot="1">
      <c r="A105" s="3280"/>
      <c r="B105" s="3290"/>
      <c r="C105" s="3291">
        <v>100</v>
      </c>
      <c r="D105" s="3291">
        <f>C105-$K31</f>
        <v>98</v>
      </c>
      <c r="E105" s="3291">
        <f t="shared" ref="E105:M105" si="22">D105-$K31</f>
        <v>96</v>
      </c>
      <c r="F105" s="3291">
        <f t="shared" si="22"/>
        <v>94</v>
      </c>
      <c r="G105" s="3291">
        <f t="shared" si="22"/>
        <v>92</v>
      </c>
      <c r="H105" s="3291">
        <f t="shared" si="22"/>
        <v>90</v>
      </c>
      <c r="I105" s="3291">
        <f t="shared" si="22"/>
        <v>88</v>
      </c>
      <c r="J105" s="3291">
        <f t="shared" si="22"/>
        <v>86</v>
      </c>
      <c r="K105" s="3291">
        <f t="shared" si="22"/>
        <v>84</v>
      </c>
      <c r="L105" s="3291">
        <f t="shared" si="22"/>
        <v>82</v>
      </c>
      <c r="M105" s="3291">
        <f t="shared" si="22"/>
        <v>80</v>
      </c>
      <c r="N105" s="3284"/>
      <c r="O105" s="3284"/>
      <c r="P105" s="3279"/>
      <c r="Q105" s="3244"/>
    </row>
    <row r="106" spans="1:17" ht="27.75" thickTop="1">
      <c r="A106" s="3280"/>
      <c r="B106" s="3285" t="s">
        <v>3532</v>
      </c>
      <c r="C106" s="3340" t="s">
        <v>3533</v>
      </c>
      <c r="D106" s="3340" t="s">
        <v>3534</v>
      </c>
      <c r="E106" s="3340" t="s">
        <v>3535</v>
      </c>
      <c r="F106" s="3340" t="s">
        <v>3536</v>
      </c>
      <c r="G106" s="3340" t="s">
        <v>3537</v>
      </c>
      <c r="H106" s="3341"/>
      <c r="I106" s="3341"/>
      <c r="J106" s="3341"/>
      <c r="K106" s="3342"/>
      <c r="L106" s="3343"/>
      <c r="M106" s="3344"/>
      <c r="N106" s="3278"/>
      <c r="O106" s="3278"/>
      <c r="P106" s="3279"/>
      <c r="Q106" s="3244"/>
    </row>
    <row r="107" spans="1:17" ht="15.75" thickBot="1">
      <c r="A107" s="3280"/>
      <c r="B107" s="3290"/>
      <c r="C107" s="3291">
        <v>100</v>
      </c>
      <c r="D107" s="3291">
        <f>C107-$K32</f>
        <v>98</v>
      </c>
      <c r="E107" s="3291">
        <f t="shared" ref="E107:M107" si="23">D107-$K32</f>
        <v>96</v>
      </c>
      <c r="F107" s="3291">
        <f t="shared" si="23"/>
        <v>94</v>
      </c>
      <c r="G107" s="3291">
        <f t="shared" si="23"/>
        <v>92</v>
      </c>
      <c r="H107" s="3291">
        <f t="shared" si="23"/>
        <v>90</v>
      </c>
      <c r="I107" s="3291">
        <f t="shared" si="23"/>
        <v>88</v>
      </c>
      <c r="J107" s="3291">
        <f t="shared" si="23"/>
        <v>86</v>
      </c>
      <c r="K107" s="3291">
        <f t="shared" si="23"/>
        <v>84</v>
      </c>
      <c r="L107" s="3291">
        <f t="shared" si="23"/>
        <v>82</v>
      </c>
      <c r="M107" s="3291">
        <f t="shared" si="23"/>
        <v>80</v>
      </c>
      <c r="N107" s="3284"/>
      <c r="O107" s="3284"/>
      <c r="P107" s="3279"/>
      <c r="Q107" s="3244"/>
    </row>
    <row r="108" spans="1:17" ht="15.75" thickTop="1">
      <c r="A108" s="3280"/>
      <c r="B108" s="3285" t="s">
        <v>3538</v>
      </c>
      <c r="C108" s="3341"/>
      <c r="D108" s="3341"/>
      <c r="E108" s="3341"/>
      <c r="F108" s="3341"/>
      <c r="G108" s="3341"/>
      <c r="H108" s="3341"/>
      <c r="I108" s="3341"/>
      <c r="J108" s="3341"/>
      <c r="K108" s="3342"/>
      <c r="L108" s="3343"/>
      <c r="M108" s="3344"/>
      <c r="N108" s="3278"/>
      <c r="O108" s="3278"/>
      <c r="P108" s="3279"/>
      <c r="Q108" s="3244"/>
    </row>
    <row r="109" spans="1:17" ht="15.75" thickBot="1">
      <c r="A109" s="3280"/>
      <c r="B109" s="3290"/>
      <c r="C109" s="3291">
        <v>100</v>
      </c>
      <c r="D109" s="3291">
        <f>C109-$K34</f>
        <v>100</v>
      </c>
      <c r="E109" s="3291">
        <f t="shared" ref="E109:M109" si="24">D109-$K34</f>
        <v>100</v>
      </c>
      <c r="F109" s="3291">
        <f t="shared" si="24"/>
        <v>100</v>
      </c>
      <c r="G109" s="3291">
        <f t="shared" si="24"/>
        <v>100</v>
      </c>
      <c r="H109" s="3291">
        <f t="shared" si="24"/>
        <v>100</v>
      </c>
      <c r="I109" s="3291">
        <f t="shared" si="24"/>
        <v>100</v>
      </c>
      <c r="J109" s="3291">
        <f t="shared" si="24"/>
        <v>100</v>
      </c>
      <c r="K109" s="3291">
        <f t="shared" si="24"/>
        <v>100</v>
      </c>
      <c r="L109" s="3291">
        <f t="shared" si="24"/>
        <v>100</v>
      </c>
      <c r="M109" s="3291">
        <f t="shared" si="24"/>
        <v>100</v>
      </c>
      <c r="N109" s="3284"/>
      <c r="O109" s="3284"/>
      <c r="P109" s="3279"/>
      <c r="Q109" s="3244"/>
    </row>
    <row r="110" spans="1:17" ht="15.75" thickTop="1">
      <c r="A110" s="3280"/>
      <c r="B110" s="3293">
        <f>B35</f>
        <v>111</v>
      </c>
      <c r="C110" s="3301"/>
      <c r="D110" s="3301"/>
      <c r="E110" s="3301"/>
      <c r="F110" s="3301"/>
      <c r="G110" s="3345"/>
      <c r="H110" s="3345"/>
      <c r="I110" s="3345"/>
      <c r="J110" s="3345"/>
      <c r="K110" s="3346"/>
      <c r="L110" s="3347"/>
      <c r="M110" s="3348"/>
      <c r="N110" s="3278"/>
      <c r="O110" s="3278"/>
      <c r="P110" s="3279"/>
      <c r="Q110" s="3244"/>
    </row>
    <row r="111" spans="1:17" ht="15.75" thickBot="1">
      <c r="A111" s="3280"/>
      <c r="B111" s="3318"/>
      <c r="C111" s="3308"/>
      <c r="D111" s="3308"/>
      <c r="E111" s="3308"/>
      <c r="F111" s="3308"/>
      <c r="G111" s="3349"/>
      <c r="H111" s="3349"/>
      <c r="I111" s="3349"/>
      <c r="J111" s="3349"/>
      <c r="K111" s="3349"/>
      <c r="L111" s="3349"/>
      <c r="M111" s="3350"/>
      <c r="N111" s="3284"/>
      <c r="O111" s="3284"/>
      <c r="P111" s="3279"/>
      <c r="Q111" s="3244"/>
    </row>
    <row r="112" spans="1:17" ht="15" thickTop="1">
      <c r="A112" s="3148"/>
      <c r="B112" s="3285">
        <f>B36</f>
        <v>111</v>
      </c>
      <c r="C112" s="3263"/>
      <c r="D112" s="3263"/>
      <c r="E112" s="3263"/>
      <c r="F112" s="3263"/>
      <c r="G112" s="3341"/>
      <c r="H112" s="3341"/>
      <c r="I112" s="3341"/>
      <c r="J112" s="3341"/>
      <c r="K112" s="3342"/>
      <c r="L112" s="3343"/>
      <c r="M112" s="3344"/>
      <c r="N112" s="3278"/>
      <c r="O112" s="3278"/>
      <c r="P112" s="3279"/>
      <c r="Q112" s="3244"/>
    </row>
    <row r="113" spans="1:17" ht="15.75" thickBot="1">
      <c r="A113" s="3280"/>
      <c r="B113" s="3290"/>
      <c r="C113" s="3319"/>
      <c r="D113" s="3319"/>
      <c r="E113" s="3319"/>
      <c r="F113" s="3319"/>
      <c r="G113" s="3282"/>
      <c r="H113" s="3282"/>
      <c r="I113" s="3282"/>
      <c r="J113" s="3282"/>
      <c r="K113" s="3282"/>
      <c r="L113" s="3282"/>
      <c r="M113" s="3283"/>
      <c r="N113" s="3284"/>
      <c r="O113" s="3284"/>
      <c r="P113" s="3279"/>
      <c r="Q113" s="3244"/>
    </row>
    <row r="114" spans="1:17" s="3161" customFormat="1" ht="15" thickTop="1">
      <c r="A114" s="3351"/>
      <c r="B114" s="3352">
        <f>B37</f>
        <v>111</v>
      </c>
      <c r="C114" s="3253"/>
      <c r="D114" s="3253"/>
      <c r="E114" s="3253"/>
      <c r="F114" s="3253"/>
      <c r="G114" s="3253"/>
      <c r="H114" s="3253"/>
      <c r="I114" s="3253"/>
      <c r="J114" s="3353"/>
      <c r="K114" s="3353"/>
      <c r="L114" s="3354"/>
      <c r="M114" s="3355"/>
      <c r="N114" s="3305"/>
      <c r="O114" s="3305"/>
      <c r="P114" s="3306"/>
      <c r="Q114" s="3307"/>
    </row>
    <row r="115" spans="1:17" s="3161" customFormat="1" ht="15.75" thickBot="1">
      <c r="A115" s="3299"/>
      <c r="B115" s="3293"/>
      <c r="C115" s="3269"/>
      <c r="D115" s="3356"/>
      <c r="E115" s="3356"/>
      <c r="F115" s="3356"/>
      <c r="G115" s="3356"/>
      <c r="H115" s="3356"/>
      <c r="I115" s="3356"/>
      <c r="J115" s="3356"/>
      <c r="K115" s="3356"/>
      <c r="L115" s="3356"/>
      <c r="M115" s="3357"/>
      <c r="N115" s="3284"/>
      <c r="O115" s="3284"/>
      <c r="P115" s="3306"/>
      <c r="Q115" s="3307"/>
    </row>
    <row r="116" spans="1:17" ht="28.5">
      <c r="A116" s="3271" t="s">
        <v>3461</v>
      </c>
      <c r="B116" s="3272" t="s">
        <v>3539</v>
      </c>
      <c r="C116" s="3323" t="str">
        <f>C117&amp;"(含)"&amp;"-"&amp;D117</f>
        <v>0(含)-10000</v>
      </c>
      <c r="D116" s="3323" t="str">
        <f t="shared" ref="D116:M116" si="25">D117&amp;"(含)"&amp;"-"&amp;E117</f>
        <v>10000(含)-20000</v>
      </c>
      <c r="E116" s="3323" t="str">
        <f t="shared" si="25"/>
        <v>20000(含)-50000</v>
      </c>
      <c r="F116" s="3323" t="str">
        <f t="shared" si="25"/>
        <v>50000(含)-100000</v>
      </c>
      <c r="G116" s="3323" t="str">
        <f t="shared" si="25"/>
        <v>100000(含)-</v>
      </c>
      <c r="H116" s="3323" t="str">
        <f t="shared" si="25"/>
        <v>(含)-</v>
      </c>
      <c r="I116" s="3323" t="str">
        <f t="shared" si="25"/>
        <v>(含)-</v>
      </c>
      <c r="J116" s="3323" t="str">
        <f t="shared" si="25"/>
        <v>(含)-</v>
      </c>
      <c r="K116" s="3323" t="str">
        <f t="shared" si="25"/>
        <v>(含)-</v>
      </c>
      <c r="L116" s="3323" t="str">
        <f t="shared" si="25"/>
        <v>(含)-</v>
      </c>
      <c r="M116" s="3323" t="str">
        <f t="shared" si="25"/>
        <v>(含)-</v>
      </c>
      <c r="N116" s="3278"/>
      <c r="O116" s="3278"/>
      <c r="P116" s="3279"/>
      <c r="Q116" s="3244"/>
    </row>
    <row r="117" spans="1:17" ht="15">
      <c r="A117" s="3280"/>
      <c r="B117" s="3293"/>
      <c r="C117" s="3253">
        <v>0</v>
      </c>
      <c r="D117" s="3253">
        <v>10000</v>
      </c>
      <c r="E117" s="3253">
        <v>20000</v>
      </c>
      <c r="F117" s="3253">
        <v>50000</v>
      </c>
      <c r="G117" s="3253">
        <v>100000</v>
      </c>
      <c r="H117" s="3253"/>
      <c r="I117" s="3253"/>
      <c r="J117" s="3353"/>
      <c r="K117" s="3353"/>
      <c r="L117" s="3354"/>
      <c r="M117" s="3355"/>
      <c r="N117" s="3278"/>
      <c r="O117" s="3278"/>
      <c r="P117" s="3279"/>
      <c r="Q117" s="3244"/>
    </row>
    <row r="118" spans="1:17" ht="15.75" thickBot="1">
      <c r="A118" s="3280"/>
      <c r="B118" s="3290"/>
      <c r="C118" s="3319">
        <v>100</v>
      </c>
      <c r="D118" s="3349">
        <f>C118-2</f>
        <v>98</v>
      </c>
      <c r="E118" s="3349">
        <f t="shared" ref="E118:G118" si="26">D118-2</f>
        <v>96</v>
      </c>
      <c r="F118" s="3349">
        <f t="shared" si="26"/>
        <v>94</v>
      </c>
      <c r="G118" s="3349">
        <f t="shared" si="26"/>
        <v>92</v>
      </c>
      <c r="H118" s="3349"/>
      <c r="I118" s="3349"/>
      <c r="J118" s="3349"/>
      <c r="K118" s="3349"/>
      <c r="L118" s="3349"/>
      <c r="M118" s="3350"/>
      <c r="N118" s="3284"/>
      <c r="O118" s="3284"/>
      <c r="P118" s="3279"/>
      <c r="Q118" s="3244"/>
    </row>
    <row r="119" spans="1:17" ht="15" thickTop="1">
      <c r="A119" s="3358"/>
      <c r="B119" s="3285" t="s">
        <v>3463</v>
      </c>
      <c r="C119" s="3359" t="s">
        <v>3540</v>
      </c>
      <c r="D119" s="3359" t="s">
        <v>3541</v>
      </c>
      <c r="E119" s="3359" t="s">
        <v>3542</v>
      </c>
      <c r="F119" s="3359" t="s">
        <v>3543</v>
      </c>
      <c r="G119" s="3359" t="s">
        <v>3544</v>
      </c>
      <c r="H119" s="3341"/>
      <c r="I119" s="3341"/>
      <c r="J119" s="3341"/>
      <c r="K119" s="3342"/>
      <c r="L119" s="3343"/>
      <c r="M119" s="3344"/>
      <c r="N119" s="3278"/>
      <c r="O119" s="3278"/>
      <c r="P119" s="3279"/>
      <c r="Q119" s="3244"/>
    </row>
    <row r="120" spans="1:17" ht="15.75" thickBot="1">
      <c r="A120" s="3280"/>
      <c r="B120" s="3290"/>
      <c r="C120" s="3291">
        <v>100</v>
      </c>
      <c r="D120" s="3291">
        <f t="shared" ref="D120:M120" si="27">C120-$K39</f>
        <v>98</v>
      </c>
      <c r="E120" s="3291">
        <f t="shared" si="27"/>
        <v>96</v>
      </c>
      <c r="F120" s="3291">
        <f t="shared" si="27"/>
        <v>94</v>
      </c>
      <c r="G120" s="3291">
        <f t="shared" si="27"/>
        <v>92</v>
      </c>
      <c r="H120" s="3291">
        <f t="shared" si="27"/>
        <v>90</v>
      </c>
      <c r="I120" s="3291">
        <f t="shared" si="27"/>
        <v>88</v>
      </c>
      <c r="J120" s="3291">
        <f t="shared" si="27"/>
        <v>86</v>
      </c>
      <c r="K120" s="3291">
        <f t="shared" si="27"/>
        <v>84</v>
      </c>
      <c r="L120" s="3291">
        <f t="shared" si="27"/>
        <v>82</v>
      </c>
      <c r="M120" s="3292">
        <f t="shared" si="27"/>
        <v>80</v>
      </c>
      <c r="N120" s="3284"/>
      <c r="O120" s="3284"/>
      <c r="P120" s="3279"/>
      <c r="Q120" s="3244"/>
    </row>
    <row r="121" spans="1:17" ht="15" thickTop="1">
      <c r="A121" s="3358"/>
      <c r="B121" s="3285" t="s">
        <v>3465</v>
      </c>
      <c r="C121" s="3340" t="s">
        <v>3545</v>
      </c>
      <c r="D121" s="3340" t="s">
        <v>3546</v>
      </c>
      <c r="E121" s="3340" t="s">
        <v>3542</v>
      </c>
      <c r="F121" s="3359" t="s">
        <v>3547</v>
      </c>
      <c r="G121" s="3359" t="s">
        <v>3548</v>
      </c>
      <c r="H121" s="3341"/>
      <c r="I121" s="3341"/>
      <c r="J121" s="3341"/>
      <c r="K121" s="3342"/>
      <c r="L121" s="3343"/>
      <c r="M121" s="3344"/>
      <c r="N121" s="3278"/>
      <c r="O121" s="3278"/>
      <c r="P121" s="3279"/>
      <c r="Q121" s="3244"/>
    </row>
    <row r="122" spans="1:17" ht="15.75" thickBot="1">
      <c r="A122" s="3280"/>
      <c r="B122" s="3290"/>
      <c r="C122" s="3291">
        <v>100</v>
      </c>
      <c r="D122" s="3291">
        <f t="shared" ref="D122:M122" si="28">C122-$K40</f>
        <v>99</v>
      </c>
      <c r="E122" s="3291">
        <f t="shared" si="28"/>
        <v>98</v>
      </c>
      <c r="F122" s="3291">
        <f t="shared" si="28"/>
        <v>97</v>
      </c>
      <c r="G122" s="3291">
        <f t="shared" si="28"/>
        <v>96</v>
      </c>
      <c r="H122" s="3291">
        <f t="shared" si="28"/>
        <v>95</v>
      </c>
      <c r="I122" s="3291">
        <f t="shared" si="28"/>
        <v>94</v>
      </c>
      <c r="J122" s="3291">
        <f t="shared" si="28"/>
        <v>93</v>
      </c>
      <c r="K122" s="3291">
        <f t="shared" si="28"/>
        <v>92</v>
      </c>
      <c r="L122" s="3291">
        <f t="shared" si="28"/>
        <v>91</v>
      </c>
      <c r="M122" s="3292">
        <f t="shared" si="28"/>
        <v>90</v>
      </c>
      <c r="N122" s="3284"/>
      <c r="O122" s="3284"/>
      <c r="P122" s="3279"/>
      <c r="Q122" s="3244"/>
    </row>
    <row r="123" spans="1:17" s="3161" customFormat="1" ht="15" thickTop="1">
      <c r="A123" s="3351"/>
      <c r="B123" s="3285" t="s">
        <v>3467</v>
      </c>
      <c r="C123" s="3360" t="s">
        <v>3549</v>
      </c>
      <c r="D123" s="3360" t="s">
        <v>3550</v>
      </c>
      <c r="E123" s="3360" t="s">
        <v>3551</v>
      </c>
      <c r="F123" s="3360" t="s">
        <v>3552</v>
      </c>
      <c r="G123" s="3360" t="s">
        <v>3553</v>
      </c>
      <c r="H123" s="3341"/>
      <c r="I123" s="3341"/>
      <c r="J123" s="3341"/>
      <c r="K123" s="3342"/>
      <c r="L123" s="3343"/>
      <c r="M123" s="3344"/>
      <c r="N123" s="3305"/>
      <c r="O123" s="3305"/>
      <c r="P123" s="3306"/>
      <c r="Q123" s="3307"/>
    </row>
    <row r="124" spans="1:17" s="3161" customFormat="1" ht="15.75" thickBot="1">
      <c r="A124" s="3299"/>
      <c r="B124" s="3290"/>
      <c r="C124" s="3291">
        <v>100</v>
      </c>
      <c r="D124" s="3291">
        <f>C124-$K41</f>
        <v>98</v>
      </c>
      <c r="E124" s="3291">
        <f t="shared" ref="E124:M124" si="29">D124-$K41</f>
        <v>96</v>
      </c>
      <c r="F124" s="3291">
        <f t="shared" si="29"/>
        <v>94</v>
      </c>
      <c r="G124" s="3291">
        <f t="shared" si="29"/>
        <v>92</v>
      </c>
      <c r="H124" s="3291">
        <f t="shared" si="29"/>
        <v>90</v>
      </c>
      <c r="I124" s="3291">
        <f t="shared" si="29"/>
        <v>88</v>
      </c>
      <c r="J124" s="3291">
        <f t="shared" si="29"/>
        <v>86</v>
      </c>
      <c r="K124" s="3291">
        <f t="shared" si="29"/>
        <v>84</v>
      </c>
      <c r="L124" s="3291">
        <f t="shared" si="29"/>
        <v>82</v>
      </c>
      <c r="M124" s="3292">
        <f t="shared" si="29"/>
        <v>80</v>
      </c>
      <c r="N124" s="3305"/>
      <c r="O124" s="3305"/>
      <c r="P124" s="3306"/>
      <c r="Q124" s="3307"/>
    </row>
    <row r="125" spans="1:17" ht="15" thickTop="1">
      <c r="A125" s="3358"/>
      <c r="B125" s="3285" t="s">
        <v>3468</v>
      </c>
      <c r="C125" s="3340" t="s">
        <v>3554</v>
      </c>
      <c r="D125" s="3340" t="s">
        <v>3555</v>
      </c>
      <c r="E125" s="3359" t="s">
        <v>3542</v>
      </c>
      <c r="F125" s="3359" t="s">
        <v>3556</v>
      </c>
      <c r="G125" s="3359" t="s">
        <v>3557</v>
      </c>
      <c r="H125" s="3341"/>
      <c r="I125" s="3341"/>
      <c r="J125" s="3341"/>
      <c r="K125" s="3342"/>
      <c r="L125" s="3343"/>
      <c r="M125" s="3344"/>
      <c r="N125" s="3278"/>
      <c r="O125" s="3278"/>
      <c r="P125" s="3279"/>
      <c r="Q125" s="3244"/>
    </row>
    <row r="126" spans="1:17" ht="15.75" thickBot="1">
      <c r="A126" s="3280"/>
      <c r="B126" s="3290"/>
      <c r="C126" s="3291">
        <v>100</v>
      </c>
      <c r="D126" s="3291">
        <f t="shared" ref="D126:M126" si="30">C126-$K42</f>
        <v>98</v>
      </c>
      <c r="E126" s="3291">
        <f t="shared" si="30"/>
        <v>96</v>
      </c>
      <c r="F126" s="3291">
        <f t="shared" si="30"/>
        <v>94</v>
      </c>
      <c r="G126" s="3291">
        <f t="shared" si="30"/>
        <v>92</v>
      </c>
      <c r="H126" s="3291">
        <f t="shared" si="30"/>
        <v>90</v>
      </c>
      <c r="I126" s="3291">
        <f t="shared" si="30"/>
        <v>88</v>
      </c>
      <c r="J126" s="3291">
        <f t="shared" si="30"/>
        <v>86</v>
      </c>
      <c r="K126" s="3291">
        <f t="shared" si="30"/>
        <v>84</v>
      </c>
      <c r="L126" s="3291">
        <f t="shared" si="30"/>
        <v>82</v>
      </c>
      <c r="M126" s="3292">
        <f t="shared" si="30"/>
        <v>80</v>
      </c>
      <c r="N126" s="3284"/>
      <c r="O126" s="3284"/>
      <c r="P126" s="3279"/>
      <c r="Q126" s="3244"/>
    </row>
    <row r="127" spans="1:17" ht="15" thickTop="1">
      <c r="A127" s="3358"/>
      <c r="B127" s="3285">
        <f>B43</f>
        <v>111</v>
      </c>
      <c r="C127" s="3301"/>
      <c r="D127" s="3301"/>
      <c r="E127" s="3301"/>
      <c r="F127" s="3301"/>
      <c r="G127" s="3301"/>
      <c r="H127" s="3341"/>
      <c r="I127" s="3341"/>
      <c r="J127" s="3341"/>
      <c r="K127" s="3342"/>
      <c r="L127" s="3343"/>
      <c r="M127" s="3344"/>
      <c r="N127" s="3278"/>
      <c r="O127" s="3278"/>
      <c r="P127" s="3279"/>
      <c r="Q127" s="3244"/>
    </row>
    <row r="128" spans="1:17" ht="15.75" thickBot="1">
      <c r="A128" s="3280"/>
      <c r="B128" s="3290"/>
      <c r="C128" s="3308"/>
      <c r="D128" s="3308"/>
      <c r="E128" s="3308"/>
      <c r="F128" s="3308"/>
      <c r="G128" s="3282"/>
      <c r="H128" s="3282"/>
      <c r="I128" s="3282"/>
      <c r="J128" s="3282"/>
      <c r="K128" s="3282"/>
      <c r="L128" s="3282"/>
      <c r="M128" s="3283"/>
      <c r="N128" s="3284"/>
      <c r="O128" s="3284"/>
      <c r="P128" s="3279"/>
      <c r="Q128" s="3244"/>
    </row>
    <row r="129" spans="1:17" ht="15" thickTop="1">
      <c r="A129" s="3358"/>
      <c r="B129" s="3285">
        <f>B44</f>
        <v>111</v>
      </c>
      <c r="C129" s="3263"/>
      <c r="D129" s="3263"/>
      <c r="E129" s="3263"/>
      <c r="F129" s="3263"/>
      <c r="G129" s="3341"/>
      <c r="H129" s="3341"/>
      <c r="I129" s="3341"/>
      <c r="J129" s="3341"/>
      <c r="K129" s="3342"/>
      <c r="L129" s="3343"/>
      <c r="M129" s="3344"/>
      <c r="N129" s="3278"/>
      <c r="O129" s="3278"/>
      <c r="P129" s="3279"/>
      <c r="Q129" s="3244"/>
    </row>
    <row r="130" spans="1:17" ht="15.75" thickBot="1">
      <c r="A130" s="3280"/>
      <c r="B130" s="3290"/>
      <c r="C130" s="3319"/>
      <c r="D130" s="3319"/>
      <c r="E130" s="3319"/>
      <c r="F130" s="3319"/>
      <c r="G130" s="3282"/>
      <c r="H130" s="3282"/>
      <c r="I130" s="3282"/>
      <c r="J130" s="3282"/>
      <c r="K130" s="3282"/>
      <c r="L130" s="3282"/>
      <c r="M130" s="3283"/>
      <c r="N130" s="3284"/>
      <c r="O130" s="3284"/>
      <c r="P130" s="3279"/>
      <c r="Q130" s="3244"/>
    </row>
    <row r="131" spans="1:17" s="3161" customFormat="1" ht="15" thickTop="1">
      <c r="A131" s="3351"/>
      <c r="B131" s="3285">
        <f>B45</f>
        <v>111</v>
      </c>
      <c r="C131" s="3263"/>
      <c r="D131" s="3263"/>
      <c r="E131" s="3263"/>
      <c r="F131" s="3263"/>
      <c r="G131" s="3302"/>
      <c r="H131" s="3302"/>
      <c r="I131" s="3302"/>
      <c r="J131" s="3302"/>
      <c r="K131" s="3302"/>
      <c r="L131" s="3303"/>
      <c r="M131" s="3304"/>
      <c r="N131" s="3305"/>
      <c r="O131" s="3305"/>
      <c r="P131" s="3306"/>
      <c r="Q131" s="3307"/>
    </row>
    <row r="132" spans="1:17" s="3161" customFormat="1" ht="15.75" thickBot="1">
      <c r="A132" s="3317"/>
      <c r="B132" s="3361"/>
      <c r="C132" s="3319"/>
      <c r="D132" s="3319"/>
      <c r="E132" s="3319"/>
      <c r="F132" s="3319"/>
      <c r="G132" s="3349"/>
      <c r="H132" s="3349"/>
      <c r="I132" s="3349"/>
      <c r="J132" s="3349"/>
      <c r="K132" s="3349"/>
      <c r="L132" s="3349"/>
      <c r="M132" s="3350"/>
      <c r="N132" s="3305"/>
      <c r="O132" s="3305"/>
      <c r="P132" s="3306"/>
      <c r="Q132" s="3307"/>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49" sqref="L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7</v>
      </c>
    </row>
    <row r="2" spans="1:9" s="244" customFormat="1" ht="18" customHeight="1">
      <c r="A2" s="245" t="s">
        <v>2315</v>
      </c>
      <c r="B2" s="246">
        <f ca="1">IF(D2="——",C52,C52-E2)</f>
        <v>119057</v>
      </c>
      <c r="C2" s="243" t="s">
        <v>2316</v>
      </c>
      <c r="D2" s="2519" t="s">
        <v>70</v>
      </c>
      <c r="E2" s="1421" t="e">
        <f ca="1">SUMIF(INDIRECT("'"&amp;G2&amp;"'"&amp;"!A:A"),"承租人权益价值",INDIRECT("'"&amp;G2&amp;"'"&amp;"!c:c"))</f>
        <v>#REF!</v>
      </c>
      <c r="F2" s="2520" t="s">
        <v>2316</v>
      </c>
      <c r="G2" s="2521"/>
    </row>
    <row r="3" spans="1:9" s="244" customFormat="1" ht="18" customHeight="1" thickBot="1">
      <c r="A3" s="247" t="s">
        <v>2317</v>
      </c>
      <c r="B3" s="248">
        <f ca="1">ROUND(B2*10000/(IF(B1="",'数据-汇总表'!E3,INDIRECT("'数据-取费表'!k"&amp;$G$1))),0)</f>
        <v>48897</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74970</v>
      </c>
      <c r="D5" s="255" t="s">
        <v>2322</v>
      </c>
      <c r="E5" s="256" t="s">
        <v>2323</v>
      </c>
      <c r="F5" s="256" t="s">
        <v>2324</v>
      </c>
      <c r="G5" s="257"/>
    </row>
    <row r="6" spans="1:9" s="258" customFormat="1" ht="13.5" customHeight="1">
      <c r="A6" s="939" t="s">
        <v>2325</v>
      </c>
      <c r="B6" s="259" t="s">
        <v>2326</v>
      </c>
      <c r="C6" s="260">
        <f>ROUND('土地比较法-住宅、综合'!B56*'数据-汇总表'!F27/10000,0)</f>
        <v>72515</v>
      </c>
      <c r="D6" s="261"/>
      <c r="E6" s="262"/>
      <c r="F6" s="262"/>
      <c r="G6" s="263"/>
    </row>
    <row r="7" spans="1:9" s="258" customFormat="1" ht="13.5" customHeight="1">
      <c r="A7" s="939" t="s">
        <v>2327</v>
      </c>
      <c r="B7" s="259" t="s">
        <v>2328</v>
      </c>
      <c r="C7" s="264">
        <f>ROUND(C6*F7,0)</f>
        <v>2212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243</v>
      </c>
      <c r="D8" s="266"/>
      <c r="E8" s="264"/>
      <c r="F8" s="265"/>
      <c r="G8" s="2522" t="s">
        <v>3594</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100</v>
      </c>
      <c r="F9" s="265"/>
      <c r="G9" s="2523" t="s">
        <v>3595</v>
      </c>
      <c r="H9" s="1371"/>
      <c r="I9" s="2524" t="s">
        <v>2332</v>
      </c>
    </row>
    <row r="10" spans="1:9" s="258" customFormat="1" ht="13.5" customHeight="1">
      <c r="A10" s="940" t="s">
        <v>801</v>
      </c>
      <c r="B10" s="268" t="s">
        <v>2333</v>
      </c>
      <c r="C10" s="269">
        <f ca="1">ROUND(D10*E10/10000,0)</f>
        <v>243</v>
      </c>
      <c r="D10" s="1022">
        <f ca="1">IF(B1="",'数据-汇总表'!E6,IF(INDIRECT("'数据-取费表'!c"&amp;$G$1)="住宅",INDIRECT("'数据-取费表'!s"&amp;$G$1),INDIRECT("'数据-取费表'!k"&amp;$G$1)+INDIRECT("'数据-取费表'!s"&amp;$G$1)))</f>
        <v>24348.570000000003</v>
      </c>
      <c r="E10" s="269">
        <f>'数据-取费表'!B28</f>
        <v>100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24348.570000000003</v>
      </c>
      <c r="E19" s="255">
        <f>'数据-取费表'!B31</f>
        <v>150</v>
      </c>
      <c r="F19" s="275"/>
      <c r="G19" s="2522" t="s">
        <v>3596</v>
      </c>
    </row>
    <row r="20" spans="1:7" s="258" customFormat="1" ht="13.5" customHeight="1">
      <c r="A20" s="299" t="s">
        <v>2346</v>
      </c>
      <c r="B20" s="254" t="s">
        <v>2347</v>
      </c>
      <c r="C20" s="276">
        <f ca="1">ROUND((C5+C19)*F20,0)</f>
        <v>1499</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7362</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7291</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71</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15294</v>
      </c>
      <c r="D27" s="279">
        <f ca="1">C29</f>
        <v>4.0000000000000001E-3</v>
      </c>
      <c r="E27" s="280" t="s">
        <v>2367</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15294</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107546</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8508</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7792</v>
      </c>
      <c r="D34" s="261"/>
      <c r="E34" s="264"/>
      <c r="F34" s="301">
        <f ca="1">IF('数据-取费表'!B24=0,1,IF(B1="",'数据-取费表'!N16,INDIRECT("'数据-取费表'!n"&amp;$G$1)))</f>
        <v>1</v>
      </c>
      <c r="G34" s="263" t="s">
        <v>2379</v>
      </c>
    </row>
    <row r="35" spans="1:7" ht="13.5" customHeight="1">
      <c r="A35" s="941" t="s">
        <v>796</v>
      </c>
      <c r="B35" s="259" t="s">
        <v>2380</v>
      </c>
      <c r="C35" s="264">
        <f ca="1">ROUND(C34*F35,0)</f>
        <v>234</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365</v>
      </c>
      <c r="D37" s="261">
        <f ca="1">D19</f>
        <v>24348.570000000003</v>
      </c>
      <c r="E37" s="293">
        <f>'数据-取费表'!B35</f>
        <v>150</v>
      </c>
      <c r="F37" s="303"/>
      <c r="G37" s="305" t="s">
        <v>2385</v>
      </c>
    </row>
    <row r="38" spans="1:7" ht="13.5" customHeight="1">
      <c r="A38" s="941" t="s">
        <v>799</v>
      </c>
      <c r="B38" s="259" t="s">
        <v>2386</v>
      </c>
      <c r="C38" s="264">
        <f ca="1">ROUND(C34*F38,0)</f>
        <v>117</v>
      </c>
      <c r="D38" s="264"/>
      <c r="E38" s="264"/>
      <c r="F38" s="303">
        <f>'数据-取费表'!B36</f>
        <v>1.4999999999999999E-2</v>
      </c>
      <c r="G38" s="263" t="s">
        <v>2381</v>
      </c>
    </row>
    <row r="39" spans="1:7" s="258" customFormat="1" ht="13.5" customHeight="1">
      <c r="A39" s="299" t="s">
        <v>2387</v>
      </c>
      <c r="B39" s="254" t="s">
        <v>2388</v>
      </c>
      <c r="C39" s="276">
        <f ca="1">ROUND(C33*F20,0)</f>
        <v>170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412</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404</v>
      </c>
      <c r="D42" s="282"/>
      <c r="E42" s="282"/>
      <c r="F42" s="283"/>
      <c r="G42" s="3661" t="s">
        <v>2397</v>
      </c>
    </row>
    <row r="43" spans="1:7" ht="13.5" customHeight="1">
      <c r="A43" s="941" t="s">
        <v>792</v>
      </c>
      <c r="B43" s="259" t="s">
        <v>2398</v>
      </c>
      <c r="C43" s="282">
        <f ca="1">ROUND(IF('数据-取费表'!B22&lt;=1,C39*F22*'数据-取费表'!B21/2,C39*(POWER((1+F22),'数据-取费表'!B21/2)-1)),0)</f>
        <v>8</v>
      </c>
      <c r="D43" s="282"/>
      <c r="E43" s="282"/>
      <c r="F43" s="283"/>
      <c r="G43" s="3662"/>
    </row>
    <row r="44" spans="1:7" ht="13.5" customHeight="1">
      <c r="A44" s="941" t="s">
        <v>793</v>
      </c>
      <c r="B44" s="259" t="s">
        <v>2399</v>
      </c>
      <c r="C44" s="282">
        <f ca="1">ROUND(IF('数据-取费表'!B22&lt;=1,C40*F22*'数据-取费表'!B21/2,C40*(POWER((1+F22),'数据-取费表'!B21/2)-1)),4)</f>
        <v>1E-3</v>
      </c>
      <c r="D44" s="282"/>
      <c r="E44" s="282"/>
      <c r="F44" s="283"/>
      <c r="G44" s="3663"/>
    </row>
    <row r="45" spans="1:7" s="258" customFormat="1" ht="13.5" customHeight="1">
      <c r="A45" s="299" t="s">
        <v>2400</v>
      </c>
      <c r="B45" s="288" t="s">
        <v>2366</v>
      </c>
      <c r="C45" s="289">
        <f ca="1">C46</f>
        <v>1736</v>
      </c>
      <c r="D45" s="279">
        <f ca="1">C47</f>
        <v>4.0000000000000001E-3</v>
      </c>
      <c r="E45" s="280" t="s">
        <v>2392</v>
      </c>
      <c r="F45" s="290"/>
      <c r="G45" s="291" t="s">
        <v>2401</v>
      </c>
    </row>
    <row r="46" spans="1:7" s="258" customFormat="1" ht="13.5" customHeight="1">
      <c r="A46" s="941" t="s">
        <v>791</v>
      </c>
      <c r="B46" s="292" t="s">
        <v>2402</v>
      </c>
      <c r="C46" s="293">
        <f ca="1">ROUND((C33+C39)*F27,0)</f>
        <v>1736</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11746</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f ca="1">ROUND(C49*F50,0)</f>
        <v>11511</v>
      </c>
      <c r="D51" s="276"/>
      <c r="E51" s="276"/>
      <c r="F51" s="308"/>
      <c r="G51" s="278" t="s">
        <v>2413</v>
      </c>
    </row>
    <row r="52" spans="1:7" s="252" customFormat="1" ht="16.5" thickBot="1">
      <c r="A52" s="309" t="s">
        <v>2414</v>
      </c>
      <c r="B52" s="310"/>
      <c r="C52" s="311">
        <f ca="1">C31+C51</f>
        <v>119057</v>
      </c>
      <c r="D52" s="310"/>
      <c r="E52" s="310"/>
      <c r="F52" s="310"/>
      <c r="G52" s="312"/>
    </row>
    <row r="55" spans="1:7" ht="15">
      <c r="B55" s="314" t="s">
        <v>2415</v>
      </c>
      <c r="C55" s="315"/>
    </row>
    <row r="56" spans="1:7">
      <c r="B56" s="317" t="s">
        <v>1501</v>
      </c>
      <c r="C56" s="319">
        <f ca="1">1-C57</f>
        <v>0.90300000000000002</v>
      </c>
    </row>
    <row r="57" spans="1:7">
      <c r="B57" s="317" t="s">
        <v>1502</v>
      </c>
      <c r="C57" s="318">
        <f ca="1">ROUND(C51/C52,3)</f>
        <v>9.7000000000000003E-2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F47" sqref="F4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4" t="s">
        <v>2630</v>
      </c>
      <c r="C1" s="1614" t="s">
        <v>2518</v>
      </c>
      <c r="D1" s="1601" t="s">
        <v>3663</v>
      </c>
      <c r="E1" s="2629"/>
      <c r="F1" s="2556" t="s">
        <v>3050</v>
      </c>
      <c r="G1" s="1611" t="s">
        <v>2631</v>
      </c>
      <c r="H1" s="1610"/>
      <c r="I1" s="1610"/>
      <c r="J1" s="1610"/>
      <c r="K1" s="1612"/>
      <c r="L1" s="1613"/>
      <c r="M1" s="1614"/>
      <c r="N1" s="1614"/>
      <c r="O1" s="1614"/>
      <c r="P1" s="2630"/>
      <c r="Q1" s="2631"/>
      <c r="R1" s="2631"/>
      <c r="S1" s="2631"/>
      <c r="T1" s="2631"/>
      <c r="U1" s="2631"/>
      <c r="V1" s="2631"/>
      <c r="W1" s="2631"/>
      <c r="X1" s="2631"/>
      <c r="Y1" s="2631"/>
      <c r="Z1" s="2631"/>
      <c r="AA1" s="2631"/>
      <c r="AB1" s="2631"/>
      <c r="AC1" s="2632"/>
    </row>
    <row r="2" spans="1:29" s="397" customFormat="1" ht="28.5" customHeight="1" thickTop="1">
      <c r="A2" s="1597" t="s">
        <v>2315</v>
      </c>
      <c r="B2" s="1399">
        <f>IF(C2="——",ROUND(C49*D3/10000,0),ROUND(C49*D3/10000,0)-D2)</f>
        <v>54838</v>
      </c>
      <c r="C2" s="2558" t="s">
        <v>70</v>
      </c>
      <c r="D2" s="1347" t="e">
        <f ca="1">SUMIF(INDIRECT("'"&amp;F2&amp;"'"&amp;"!A:A"),"承租人权益价值",INDIRECT("'"&amp;F2&amp;"'"&amp;"!c:c"))</f>
        <v>#REF!</v>
      </c>
      <c r="E2" s="2559" t="s">
        <v>2316</v>
      </c>
      <c r="F2" s="2560"/>
      <c r="G2" s="1108"/>
      <c r="H2" s="1108"/>
      <c r="I2" s="1108"/>
      <c r="J2" s="1108"/>
      <c r="K2" s="1108"/>
      <c r="L2" s="1111"/>
      <c r="M2" s="1112"/>
      <c r="N2" s="1112"/>
      <c r="O2" s="1112"/>
      <c r="P2" s="2633"/>
      <c r="Q2" s="1112"/>
      <c r="R2" s="1112"/>
      <c r="S2" s="1112"/>
      <c r="T2" s="1112"/>
      <c r="U2" s="1112"/>
      <c r="V2" s="1112"/>
      <c r="W2" s="1112"/>
      <c r="X2" s="1112"/>
      <c r="Y2" s="1112"/>
      <c r="Z2" s="1112"/>
      <c r="AA2" s="1112"/>
      <c r="AB2" s="1112"/>
      <c r="AC2" s="2634"/>
    </row>
    <row r="3" spans="1:29" s="397" customFormat="1" ht="28.5" customHeight="1" thickBot="1">
      <c r="A3" s="247" t="s">
        <v>2317</v>
      </c>
      <c r="B3" s="608">
        <f>IF(C2="——",C49,ROUND(B2*10000/D3,0))</f>
        <v>22522</v>
      </c>
      <c r="C3" s="399" t="s">
        <v>2632</v>
      </c>
      <c r="D3" s="398">
        <f>IF(D1="",'数据-汇总表'!E3,SUMIF('数据-汇总表'!$C19:$C33,D1,'数据-汇总表'!$E19:$E33))</f>
        <v>24348.570000000003</v>
      </c>
      <c r="E3" s="2635"/>
      <c r="F3" s="1109"/>
      <c r="G3" s="1108"/>
      <c r="H3" s="1108"/>
      <c r="I3" s="1108"/>
      <c r="J3" s="1108"/>
      <c r="K3" s="1110"/>
      <c r="L3" s="1111"/>
      <c r="M3" s="1112"/>
      <c r="N3" s="1112"/>
      <c r="O3" s="1112"/>
      <c r="P3" s="2633"/>
      <c r="Q3" s="1112"/>
      <c r="R3" s="1112"/>
      <c r="S3" s="1112"/>
      <c r="T3" s="1112"/>
      <c r="U3" s="1112"/>
      <c r="V3" s="1112"/>
      <c r="W3" s="1112"/>
      <c r="X3" s="1112"/>
      <c r="Y3" s="1112"/>
      <c r="Z3" s="1112"/>
      <c r="AA3" s="1112"/>
      <c r="AB3" s="1112"/>
      <c r="AC3" s="2635"/>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78" t="s">
        <v>2636</v>
      </c>
      <c r="AC4" s="3680" t="s">
        <v>2637</v>
      </c>
    </row>
    <row r="5" spans="1:29" ht="15">
      <c r="A5" s="403"/>
      <c r="B5" s="404"/>
      <c r="C5" s="3701"/>
      <c r="D5" s="3702"/>
      <c r="E5" s="3708"/>
      <c r="F5" s="3709"/>
      <c r="G5" s="3701"/>
      <c r="H5" s="3702"/>
      <c r="I5" s="3701"/>
      <c r="J5" s="3702"/>
      <c r="K5" s="609"/>
      <c r="L5" s="1113"/>
      <c r="M5" s="1114"/>
      <c r="N5" s="1114"/>
      <c r="O5" s="1114"/>
      <c r="P5" s="3689"/>
      <c r="Q5" s="3690"/>
      <c r="R5" s="3695"/>
      <c r="S5" s="3696"/>
      <c r="T5" s="3695"/>
      <c r="U5" s="3696"/>
      <c r="V5" s="3678"/>
      <c r="W5" s="3678"/>
      <c r="X5" s="1793"/>
      <c r="Y5" s="3695"/>
      <c r="Z5" s="3696"/>
      <c r="AA5" s="3681"/>
      <c r="AB5" s="3678"/>
      <c r="AC5" s="3681"/>
    </row>
    <row r="6" spans="1:29" ht="15.7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78"/>
      <c r="AC6" s="3682"/>
    </row>
    <row r="7" spans="1:29" s="117" customFormat="1" ht="15.75" thickBot="1">
      <c r="A7" s="407" t="s">
        <v>2536</v>
      </c>
      <c r="B7" s="408"/>
      <c r="C7" s="409">
        <f>'数据-取费表'!B2</f>
        <v>43840</v>
      </c>
      <c r="D7" s="410">
        <v>100</v>
      </c>
      <c r="E7" s="411">
        <v>43840</v>
      </c>
      <c r="F7" s="412">
        <f>SUMIF(58:58,YEAR(E7)&amp;"-"&amp;MONTH(E7),59:59)</f>
        <v>100</v>
      </c>
      <c r="G7" s="411">
        <v>43840</v>
      </c>
      <c r="H7" s="410">
        <f>SUMIF(58:58,YEAR(G7)&amp;"-"&amp;MONTH(G7),59:59)</f>
        <v>100</v>
      </c>
      <c r="I7" s="411">
        <v>43840</v>
      </c>
      <c r="J7" s="410">
        <f>SUMIF(58:58,YEAR(I7)&amp;"-"&amp;MONTH(I7),59:59)</f>
        <v>100</v>
      </c>
      <c r="K7" s="610"/>
      <c r="L7" s="1115"/>
      <c r="M7" s="1116"/>
      <c r="N7" s="1116"/>
      <c r="O7" s="1116"/>
      <c r="P7" s="3703" t="s">
        <v>2537</v>
      </c>
      <c r="Q7" s="3705"/>
      <c r="R7" s="766" t="s">
        <v>17</v>
      </c>
      <c r="S7" s="767">
        <f t="shared" ref="S7:S15" si="0">F7</f>
        <v>100</v>
      </c>
      <c r="T7" s="766" t="s">
        <v>17</v>
      </c>
      <c r="U7" s="767">
        <f t="shared" ref="U7:U15" si="1">H7</f>
        <v>100</v>
      </c>
      <c r="V7" s="766" t="s">
        <v>17</v>
      </c>
      <c r="W7" s="767">
        <f t="shared" ref="W7:W15" si="2">J7</f>
        <v>100</v>
      </c>
      <c r="X7" s="768"/>
      <c r="Y7" s="3703" t="s">
        <v>2537</v>
      </c>
      <c r="Z7" s="3704"/>
      <c r="AA7" s="769">
        <f>D7/F7</f>
        <v>1</v>
      </c>
      <c r="AB7" s="769">
        <f>D7/H7</f>
        <v>1</v>
      </c>
      <c r="AC7" s="769">
        <f>D7/J7</f>
        <v>1</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703" t="s">
        <v>2540</v>
      </c>
      <c r="Q8" s="3704"/>
      <c r="R8" s="766" t="s">
        <v>17</v>
      </c>
      <c r="S8" s="767">
        <f t="shared" si="0"/>
        <v>100</v>
      </c>
      <c r="T8" s="766" t="s">
        <v>17</v>
      </c>
      <c r="U8" s="767">
        <f t="shared" si="1"/>
        <v>100</v>
      </c>
      <c r="V8" s="766" t="s">
        <v>17</v>
      </c>
      <c r="W8" s="767">
        <f t="shared" si="2"/>
        <v>100</v>
      </c>
      <c r="X8" s="768"/>
      <c r="Y8" s="3703" t="s">
        <v>2540</v>
      </c>
      <c r="Z8" s="3704"/>
      <c r="AA8" s="769">
        <f t="shared" ref="AA8:AA46" si="3">D8/F8</f>
        <v>1</v>
      </c>
      <c r="AB8" s="769">
        <f t="shared" ref="AB8:AB46" si="4">D8/H8</f>
        <v>1</v>
      </c>
      <c r="AC8" s="769">
        <f t="shared" ref="AC8:AC46" si="5">D8/J8</f>
        <v>1</v>
      </c>
    </row>
    <row r="9" spans="1:29" s="117" customFormat="1">
      <c r="A9" s="414" t="s">
        <v>2541</v>
      </c>
      <c r="B9" s="71" t="s">
        <v>2542</v>
      </c>
      <c r="C9" s="2964"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79"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7">
      <c r="A10" s="420"/>
      <c r="B10" s="421" t="s">
        <v>2545</v>
      </c>
      <c r="C10" s="422" t="s">
        <v>3405</v>
      </c>
      <c r="D10" s="136">
        <v>100</v>
      </c>
      <c r="E10" s="422" t="s">
        <v>3405</v>
      </c>
      <c r="F10" s="424">
        <f>SUMIF(65:65,E10,66:66)-SUMIF(65:65,C10,66:66)+100</f>
        <v>100</v>
      </c>
      <c r="G10" s="422" t="s">
        <v>3405</v>
      </c>
      <c r="H10" s="136">
        <f>SUMIF(65:65,G10,66:66)-SUMIF(65:65,C10,66:66)+100</f>
        <v>100</v>
      </c>
      <c r="I10" s="422" t="s">
        <v>3405</v>
      </c>
      <c r="J10" s="136">
        <f>SUMIF(65:65,I10,66:66)-SUMIF(65:65,C10,66:66)+100</f>
        <v>100</v>
      </c>
      <c r="K10" s="611"/>
      <c r="L10" s="1118"/>
      <c r="M10" s="1119"/>
      <c r="N10" s="1119"/>
      <c r="O10" s="1119"/>
      <c r="P10" s="3679"/>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79"/>
      <c r="Q11" s="1775" t="str">
        <f t="shared" si="6"/>
        <v>容积率</v>
      </c>
      <c r="R11" s="766" t="s">
        <v>17</v>
      </c>
      <c r="S11" s="767">
        <f t="shared" si="0"/>
        <v>100</v>
      </c>
      <c r="T11" s="766" t="s">
        <v>17</v>
      </c>
      <c r="U11" s="767">
        <f t="shared" si="1"/>
        <v>100</v>
      </c>
      <c r="V11" s="766" t="s">
        <v>17</v>
      </c>
      <c r="W11" s="767">
        <f t="shared" si="2"/>
        <v>100</v>
      </c>
      <c r="X11" s="768"/>
      <c r="Y11" s="3466"/>
      <c r="Z11" s="55" t="str">
        <f t="shared" si="7"/>
        <v>容积率</v>
      </c>
      <c r="AA11" s="769">
        <f t="shared" si="3"/>
        <v>1</v>
      </c>
      <c r="AB11" s="769">
        <f t="shared" si="4"/>
        <v>1</v>
      </c>
      <c r="AC11" s="769">
        <f t="shared" si="5"/>
        <v>1</v>
      </c>
    </row>
    <row r="12" spans="1:29" s="117" customFormat="1" ht="15">
      <c r="A12" s="430"/>
      <c r="B12" s="2572">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79"/>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79"/>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5.75" thickBot="1">
      <c r="A14" s="435"/>
      <c r="B14" s="2574">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79"/>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769">
        <f t="shared" si="5"/>
        <v>1</v>
      </c>
    </row>
    <row r="15" spans="1:29" ht="81">
      <c r="A15" s="439" t="s">
        <v>2547</v>
      </c>
      <c r="B15" s="69" t="s">
        <v>2641</v>
      </c>
      <c r="C15" s="2575" t="str">
        <f>估价对象房地状况!C4</f>
        <v>估价对象位于望京商圈，周边商业氛围较成熟，人流量较大，商业繁华度较好</v>
      </c>
      <c r="D15" s="440">
        <v>100</v>
      </c>
      <c r="E15" s="2963" t="str">
        <f>C15</f>
        <v>估价对象位于望京商圈，周边商业氛围较成熟，人流量较大，商业繁华度较好</v>
      </c>
      <c r="F15" s="442">
        <f>SUMIF(76:76,E16,77:77)-SUMIF(76:76,C16,77:77)+100</f>
        <v>100</v>
      </c>
      <c r="G15" s="2963" t="str">
        <f>E15</f>
        <v>估价对象位于望京商圈，周边商业氛围较成熟，人流量较大，商业繁华度较好</v>
      </c>
      <c r="H15" s="440">
        <f>SUMIF(76:76,G16,77:77)-SUMIF(76:76,C16,77:77)+100</f>
        <v>100</v>
      </c>
      <c r="I15" s="2963" t="str">
        <f>G15</f>
        <v>估价对象位于望京商圈，周边商业氛围较成熟，人流量较大，商业繁华度较好</v>
      </c>
      <c r="J15" s="440">
        <f>SUMIF(76:76,I16,77:77)-SUMIF(76:76,C16,77:77)+100</f>
        <v>100</v>
      </c>
      <c r="K15" s="613">
        <v>3</v>
      </c>
      <c r="L15" s="1123"/>
      <c r="M15" s="1114"/>
      <c r="N15" s="1114"/>
      <c r="O15" s="1114"/>
      <c r="P15" s="3669" t="s">
        <v>2548</v>
      </c>
      <c r="Q15" s="1790" t="str">
        <f t="shared" si="6"/>
        <v>商业繁华度</v>
      </c>
      <c r="R15" s="770" t="s">
        <v>17</v>
      </c>
      <c r="S15" s="771">
        <f t="shared" si="0"/>
        <v>100</v>
      </c>
      <c r="T15" s="770" t="s">
        <v>17</v>
      </c>
      <c r="U15" s="771">
        <f t="shared" si="1"/>
        <v>100</v>
      </c>
      <c r="V15" s="770" t="s">
        <v>17</v>
      </c>
      <c r="W15" s="771">
        <f t="shared" si="2"/>
        <v>100</v>
      </c>
      <c r="X15" s="1793"/>
      <c r="Y15" s="3671"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670"/>
      <c r="Q16" s="1790"/>
      <c r="R16" s="770"/>
      <c r="S16" s="771"/>
      <c r="T16" s="770"/>
      <c r="U16" s="771"/>
      <c r="V16" s="770"/>
      <c r="W16" s="771"/>
      <c r="X16" s="1793"/>
      <c r="Y16" s="3672"/>
      <c r="Z16" s="1794"/>
      <c r="AA16" s="1791">
        <v>1</v>
      </c>
      <c r="AB16" s="1791">
        <v>1</v>
      </c>
      <c r="AC16" s="1791">
        <v>1</v>
      </c>
    </row>
    <row r="17" spans="1:29" ht="135">
      <c r="A17" s="427"/>
      <c r="B17" s="450" t="s">
        <v>2085</v>
      </c>
      <c r="C17" s="2579" t="str">
        <f>估价对象房地状况!C6</f>
        <v>估价对象周边道路状况较好、地铁14、15号线通过，公共交通通达情况较好、停车便捷程度较好，综合评价交通便捷度较好</v>
      </c>
      <c r="D17" s="449">
        <v>100</v>
      </c>
      <c r="E17" s="2965" t="str">
        <f>C17</f>
        <v>估价对象周边道路状况较好、地铁14、15号线通过，公共交通通达情况较好、停车便捷程度较好，综合评价交通便捷度较好</v>
      </c>
      <c r="F17" s="452">
        <f>SUMIF(78:78,E18,79:79)-SUMIF(78:78,C18,79:79)+100</f>
        <v>100</v>
      </c>
      <c r="G17" s="2965" t="str">
        <f>E17</f>
        <v>估价对象周边道路状况较好、地铁14、15号线通过，公共交通通达情况较好、停车便捷程度较好，综合评价交通便捷度较好</v>
      </c>
      <c r="H17" s="454">
        <f>SUMIF(78:78,G18,79:79)-SUMIF(78:78,C18,79:79)+100</f>
        <v>100</v>
      </c>
      <c r="I17" s="2965"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70"/>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1791">
        <f t="shared" si="5"/>
        <v>1</v>
      </c>
    </row>
    <row r="18" spans="1:29" ht="15">
      <c r="A18" s="427"/>
      <c r="B18" s="455"/>
      <c r="C18" s="2580" t="s">
        <v>3058</v>
      </c>
      <c r="D18" s="449"/>
      <c r="E18" s="2580" t="s">
        <v>3058</v>
      </c>
      <c r="F18" s="452"/>
      <c r="G18" s="2580" t="s">
        <v>3058</v>
      </c>
      <c r="H18" s="447"/>
      <c r="I18" s="2580" t="s">
        <v>3058</v>
      </c>
      <c r="J18" s="447"/>
      <c r="K18" s="614"/>
      <c r="L18" s="1123"/>
      <c r="M18" s="1114"/>
      <c r="N18" s="1114"/>
      <c r="O18" s="1114"/>
      <c r="P18" s="3670"/>
      <c r="Q18" s="1790"/>
      <c r="R18" s="770"/>
      <c r="S18" s="771"/>
      <c r="T18" s="770"/>
      <c r="U18" s="771"/>
      <c r="V18" s="770"/>
      <c r="W18" s="771"/>
      <c r="X18" s="1793"/>
      <c r="Y18" s="3672"/>
      <c r="Z18" s="1794"/>
      <c r="AA18" s="1791">
        <v>1</v>
      </c>
      <c r="AB18" s="1791">
        <v>1</v>
      </c>
      <c r="AC18" s="1791">
        <v>1</v>
      </c>
    </row>
    <row r="19" spans="1:29" ht="54">
      <c r="A19" s="427"/>
      <c r="B19" s="450" t="s">
        <v>2642</v>
      </c>
      <c r="C19" s="2579" t="str">
        <f>估价对象房地状况!C7</f>
        <v>估价对象所在区域公共配套设施齐备情况较好</v>
      </c>
      <c r="D19" s="454">
        <v>100</v>
      </c>
      <c r="E19" s="2966" t="str">
        <f>C19</f>
        <v>估价对象所在区域公共配套设施齐备情况较好</v>
      </c>
      <c r="F19" s="457">
        <f>SUMIF(80:80,E20,81:81)-SUMIF(80:80,C20,81:81)+100</f>
        <v>100</v>
      </c>
      <c r="G19" s="2966" t="str">
        <f>E19</f>
        <v>估价对象所在区域公共配套设施齐备情况较好</v>
      </c>
      <c r="H19" s="449">
        <f>SUMIF(80:80,G20,81:81)-SUMIF(80:80,C20,81:81)+100</f>
        <v>100</v>
      </c>
      <c r="I19" s="2966" t="str">
        <f>G19</f>
        <v>估价对象所在区域公共配套设施齐备情况较好</v>
      </c>
      <c r="J19" s="449">
        <f>SUMIF(80:80,I20,81:81)-SUMIF(80:80,C20,81:81)+100</f>
        <v>100</v>
      </c>
      <c r="K19" s="613">
        <v>2</v>
      </c>
      <c r="L19" s="1123"/>
      <c r="M19" s="1114"/>
      <c r="N19" s="1114"/>
      <c r="O19" s="1114"/>
      <c r="P19" s="3670"/>
      <c r="Q19" s="1790" t="str">
        <f>B19</f>
        <v>公共配套设施</v>
      </c>
      <c r="R19" s="770" t="s">
        <v>17</v>
      </c>
      <c r="S19" s="771">
        <f>F19</f>
        <v>100</v>
      </c>
      <c r="T19" s="770" t="s">
        <v>17</v>
      </c>
      <c r="U19" s="771">
        <f>H19</f>
        <v>100</v>
      </c>
      <c r="V19" s="770" t="s">
        <v>17</v>
      </c>
      <c r="W19" s="771">
        <f>J19</f>
        <v>100</v>
      </c>
      <c r="X19" s="1793"/>
      <c r="Y19" s="3672"/>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670"/>
      <c r="Q20" s="1790"/>
      <c r="R20" s="770"/>
      <c r="S20" s="771"/>
      <c r="T20" s="770"/>
      <c r="U20" s="771"/>
      <c r="V20" s="770"/>
      <c r="W20" s="771"/>
      <c r="X20" s="1793"/>
      <c r="Y20" s="3672"/>
      <c r="Z20" s="1794"/>
      <c r="AA20" s="1791">
        <v>1</v>
      </c>
      <c r="AB20" s="1791">
        <v>1</v>
      </c>
      <c r="AC20" s="1791">
        <v>1</v>
      </c>
    </row>
    <row r="21" spans="1:29" ht="54">
      <c r="A21" s="427"/>
      <c r="B21" s="1366" t="s">
        <v>2643</v>
      </c>
      <c r="C21" s="2579" t="str">
        <f>估价对象房地状况!C8</f>
        <v>估价对象所在区域基础设施水平“七通一平</v>
      </c>
      <c r="D21" s="454">
        <v>100</v>
      </c>
      <c r="E21" s="2966" t="s">
        <v>3065</v>
      </c>
      <c r="F21" s="457">
        <f>SUMIF(82:82,E22,83:83)-SUMIF(82:82,C22,83:83)+100</f>
        <v>100</v>
      </c>
      <c r="G21" s="2966" t="s">
        <v>3065</v>
      </c>
      <c r="H21" s="449">
        <f>SUMIF(82:82,G22,83:83)-SUMIF(82:82,C22,83:83)+100</f>
        <v>100</v>
      </c>
      <c r="I21" s="2966" t="s">
        <v>3065</v>
      </c>
      <c r="J21" s="449">
        <f>SUMIF(82:82,I22,83:83)-SUMIF(82:82,C22,83:83)+100</f>
        <v>100</v>
      </c>
      <c r="K21" s="613">
        <v>1</v>
      </c>
      <c r="L21" s="1123"/>
      <c r="M21" s="1114"/>
      <c r="N21" s="1114"/>
      <c r="O21" s="1114"/>
      <c r="P21" s="3670"/>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1791">
        <f t="shared" ref="AC21" si="10">D21/J21</f>
        <v>1</v>
      </c>
    </row>
    <row r="22" spans="1:29" ht="15">
      <c r="A22" s="427"/>
      <c r="B22" s="1366"/>
      <c r="C22" s="2580" t="s">
        <v>3097</v>
      </c>
      <c r="D22" s="447"/>
      <c r="E22" s="2580" t="s">
        <v>3097</v>
      </c>
      <c r="F22" s="448"/>
      <c r="G22" s="2580" t="s">
        <v>3097</v>
      </c>
      <c r="H22" s="447"/>
      <c r="I22" s="2580" t="s">
        <v>3097</v>
      </c>
      <c r="J22" s="447"/>
      <c r="K22" s="1365"/>
      <c r="L22" s="1123"/>
      <c r="M22" s="1114"/>
      <c r="N22" s="1114"/>
      <c r="O22" s="1114"/>
      <c r="P22" s="3670"/>
      <c r="Q22" s="1790"/>
      <c r="R22" s="770"/>
      <c r="S22" s="771"/>
      <c r="T22" s="770"/>
      <c r="U22" s="771"/>
      <c r="V22" s="770"/>
      <c r="W22" s="771"/>
      <c r="X22" s="1793"/>
      <c r="Y22" s="3672"/>
      <c r="Z22" s="1794"/>
      <c r="AA22" s="1791">
        <v>1</v>
      </c>
      <c r="AB22" s="1791">
        <v>1</v>
      </c>
      <c r="AC22" s="1791">
        <v>1</v>
      </c>
    </row>
    <row r="23" spans="1:29" ht="108">
      <c r="A23" s="427"/>
      <c r="B23" s="450" t="s">
        <v>2090</v>
      </c>
      <c r="C23" s="2636" t="str">
        <f>估价对象房地状况!C9</f>
        <v>区域自然环境：望湖公园、北小河公园；人文环境：青年政治学院；综合评价环境状况较好</v>
      </c>
      <c r="D23" s="449">
        <v>100</v>
      </c>
      <c r="E23" s="2967" t="str">
        <f>C23</f>
        <v>区域自然环境：望湖公园、北小河公园；人文环境：青年政治学院；综合评价环境状况较好</v>
      </c>
      <c r="F23" s="452">
        <f>SUMIF(84:84,E24,85:85)-SUMIF(84:84,C24,85:85)+100</f>
        <v>100</v>
      </c>
      <c r="G23" s="2967" t="str">
        <f>E23</f>
        <v>区域自然环境：望湖公园、北小河公园；人文环境：青年政治学院；综合评价环境状况较好</v>
      </c>
      <c r="H23" s="449">
        <f>SUMIF(84:84,G24,85:85)-SUMIF(84:84,C24,85:85)+100</f>
        <v>100</v>
      </c>
      <c r="I23" s="2967" t="str">
        <f>G23</f>
        <v>区域自然环境：望湖公园、北小河公园；人文环境：青年政治学院；综合评价环境状况较好</v>
      </c>
      <c r="J23" s="449">
        <f>SUMIF(84:84,I24,85:85)-SUMIF(84:84,C24,85:85)+100</f>
        <v>100</v>
      </c>
      <c r="K23" s="613">
        <v>2</v>
      </c>
      <c r="L23" s="1123"/>
      <c r="M23" s="1114"/>
      <c r="N23" s="1114"/>
      <c r="O23" s="1114"/>
      <c r="P23" s="3670"/>
      <c r="Q23" s="1790" t="str">
        <f>B23</f>
        <v>自然及人文环境</v>
      </c>
      <c r="R23" s="770" t="s">
        <v>17</v>
      </c>
      <c r="S23" s="771">
        <f>F23</f>
        <v>100</v>
      </c>
      <c r="T23" s="770" t="s">
        <v>17</v>
      </c>
      <c r="U23" s="771">
        <f>H23</f>
        <v>100</v>
      </c>
      <c r="V23" s="770" t="s">
        <v>17</v>
      </c>
      <c r="W23" s="771">
        <f>J23</f>
        <v>100</v>
      </c>
      <c r="X23" s="1793"/>
      <c r="Y23" s="3672"/>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670"/>
      <c r="Q24" s="1790"/>
      <c r="R24" s="770"/>
      <c r="S24" s="771"/>
      <c r="T24" s="770"/>
      <c r="U24" s="771"/>
      <c r="V24" s="770"/>
      <c r="W24" s="771"/>
      <c r="X24" s="1793"/>
      <c r="Y24" s="3672"/>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670"/>
      <c r="Q25" s="1790" t="str">
        <f t="shared" ref="Q25:Q46" si="11">B25</f>
        <v>临街状况</v>
      </c>
      <c r="R25" s="770" t="s">
        <v>17</v>
      </c>
      <c r="S25" s="771">
        <f>F25</f>
        <v>100</v>
      </c>
      <c r="T25" s="770" t="s">
        <v>17</v>
      </c>
      <c r="U25" s="771">
        <f>H25</f>
        <v>100</v>
      </c>
      <c r="V25" s="770" t="s">
        <v>17</v>
      </c>
      <c r="W25" s="771">
        <f>J25</f>
        <v>100</v>
      </c>
      <c r="X25" s="1793"/>
      <c r="Y25" s="3672"/>
      <c r="Z25" s="1794" t="str">
        <f>Q25</f>
        <v>临街状况</v>
      </c>
      <c r="AA25" s="1791">
        <f t="shared" si="3"/>
        <v>1</v>
      </c>
      <c r="AB25" s="1791">
        <f t="shared" si="4"/>
        <v>1</v>
      </c>
      <c r="AC25" s="1791">
        <f t="shared" si="5"/>
        <v>1</v>
      </c>
    </row>
    <row r="26" spans="1:29" ht="15">
      <c r="A26" s="427"/>
      <c r="B26" s="1368" t="s">
        <v>2645</v>
      </c>
      <c r="C26" s="2969" t="s">
        <v>3411</v>
      </c>
      <c r="D26" s="434">
        <v>100</v>
      </c>
      <c r="E26" s="2969" t="s">
        <v>3075</v>
      </c>
      <c r="F26" s="460">
        <f>SUMIF(88:88,E26,89:89)-SUMIF(88:88,C26,89:89)+100</f>
        <v>100</v>
      </c>
      <c r="G26" s="2969" t="s">
        <v>3075</v>
      </c>
      <c r="H26" s="434">
        <f>SUMIF(88:88,G26,89:89)-SUMIF(88:88,C26,89:89)+100</f>
        <v>100</v>
      </c>
      <c r="I26" s="2969" t="s">
        <v>3075</v>
      </c>
      <c r="J26" s="434">
        <f>SUMIF(88:88,I26,89:89)-SUMIF(88:88,C26,89:89)+100</f>
        <v>100</v>
      </c>
      <c r="K26" s="612"/>
      <c r="L26" s="1123"/>
      <c r="M26" s="1114"/>
      <c r="N26" s="1114"/>
      <c r="O26" s="1114"/>
      <c r="P26" s="3670"/>
      <c r="Q26" s="1790" t="str">
        <f t="shared" si="11"/>
        <v>平面位置/可视性</v>
      </c>
      <c r="R26" s="770" t="s">
        <v>17</v>
      </c>
      <c r="S26" s="771">
        <f>F26</f>
        <v>100</v>
      </c>
      <c r="T26" s="770" t="s">
        <v>17</v>
      </c>
      <c r="U26" s="771">
        <f>H26</f>
        <v>100</v>
      </c>
      <c r="V26" s="770" t="s">
        <v>17</v>
      </c>
      <c r="W26" s="771">
        <f>J26</f>
        <v>100</v>
      </c>
      <c r="X26" s="1793"/>
      <c r="Y26" s="3672"/>
      <c r="Z26" s="1794" t="str">
        <f>Q26</f>
        <v>平面位置/可视性</v>
      </c>
      <c r="AA26" s="1791">
        <f t="shared" si="3"/>
        <v>1</v>
      </c>
      <c r="AB26" s="1791">
        <f t="shared" si="4"/>
        <v>1</v>
      </c>
      <c r="AC26" s="1791">
        <f t="shared" si="5"/>
        <v>1</v>
      </c>
    </row>
    <row r="27" spans="1:29" s="117" customFormat="1" ht="15">
      <c r="A27" s="430"/>
      <c r="B27" s="450" t="s">
        <v>2646</v>
      </c>
      <c r="C27" s="2637" t="s">
        <v>3058</v>
      </c>
      <c r="D27" s="461">
        <v>100</v>
      </c>
      <c r="E27" s="2637" t="s">
        <v>3058</v>
      </c>
      <c r="F27" s="463">
        <f>SUMIF(90:90,E27,91:91)-SUMIF(90:90,C27,91:91)+100</f>
        <v>100</v>
      </c>
      <c r="G27" s="2637" t="s">
        <v>3058</v>
      </c>
      <c r="H27" s="461">
        <f>SUMIF(90:90,G27,91:91)-SUMIF(90:90,C27,91:91)+100</f>
        <v>100</v>
      </c>
      <c r="I27" s="2637" t="s">
        <v>3058</v>
      </c>
      <c r="J27" s="461">
        <f>SUMIF(90:90,I27,91:91)-SUMIF(90:90,C27,91:91)+100</f>
        <v>100</v>
      </c>
      <c r="K27" s="611">
        <v>2</v>
      </c>
      <c r="L27" s="1115"/>
      <c r="M27" s="1116"/>
      <c r="N27" s="1116"/>
      <c r="O27" s="1116"/>
      <c r="P27" s="3670"/>
      <c r="Q27" s="1775" t="str">
        <f t="shared" si="11"/>
        <v>人流量</v>
      </c>
      <c r="R27" s="766" t="s">
        <v>17</v>
      </c>
      <c r="S27" s="767">
        <f>F27</f>
        <v>100</v>
      </c>
      <c r="T27" s="766" t="s">
        <v>17</v>
      </c>
      <c r="U27" s="767">
        <f>H27</f>
        <v>100</v>
      </c>
      <c r="V27" s="766" t="s">
        <v>17</v>
      </c>
      <c r="W27" s="767">
        <f>J27</f>
        <v>100</v>
      </c>
      <c r="X27" s="768"/>
      <c r="Y27" s="3672"/>
      <c r="Z27" s="55" t="str">
        <f>Q27</f>
        <v>人流量</v>
      </c>
      <c r="AA27" s="1791">
        <f>D27/F27</f>
        <v>1</v>
      </c>
      <c r="AB27" s="1791">
        <f>D27/H27</f>
        <v>1</v>
      </c>
      <c r="AC27" s="1791">
        <f>D27/J27</f>
        <v>1</v>
      </c>
    </row>
    <row r="28" spans="1:29" ht="15">
      <c r="A28" s="427"/>
      <c r="B28" s="421" t="s">
        <v>2647</v>
      </c>
      <c r="C28" s="615">
        <v>2</v>
      </c>
      <c r="D28" s="434">
        <v>100</v>
      </c>
      <c r="E28" s="615">
        <v>1</v>
      </c>
      <c r="F28" s="460">
        <f>SUMIF(92:92,E28,93:93)-SUMIF(92:92,C28,93:93)+100</f>
        <v>140</v>
      </c>
      <c r="G28" s="615">
        <v>1</v>
      </c>
      <c r="H28" s="434">
        <f>SUMIF(92:92,G28,93:93)-SUMIF(92:92,C28,93:93)+100</f>
        <v>140</v>
      </c>
      <c r="I28" s="615">
        <v>1</v>
      </c>
      <c r="J28" s="434">
        <f>SUMIF(92:92,I28,93:93)-SUMIF(92:92,C28,93:93)+100</f>
        <v>140</v>
      </c>
      <c r="K28" s="612"/>
      <c r="L28" s="1123"/>
      <c r="M28" s="1114"/>
      <c r="N28" s="1114"/>
      <c r="O28" s="1114"/>
      <c r="P28" s="3670"/>
      <c r="Q28" s="1790" t="str">
        <f t="shared" si="11"/>
        <v>楼层</v>
      </c>
      <c r="R28" s="770" t="s">
        <v>17</v>
      </c>
      <c r="S28" s="771">
        <f t="shared" ref="S28:S46" si="12">F28</f>
        <v>140</v>
      </c>
      <c r="T28" s="770" t="s">
        <v>17</v>
      </c>
      <c r="U28" s="771">
        <f t="shared" ref="U28:U46" si="13">H28</f>
        <v>140</v>
      </c>
      <c r="V28" s="770" t="s">
        <v>17</v>
      </c>
      <c r="W28" s="771">
        <f t="shared" ref="W28:W46" si="14">J28</f>
        <v>140</v>
      </c>
      <c r="X28" s="1793"/>
      <c r="Y28" s="3672"/>
      <c r="Z28" s="1794" t="str">
        <f t="shared" ref="Z28:Z46" si="15">Q28</f>
        <v>楼层</v>
      </c>
      <c r="AA28" s="1791">
        <f t="shared" si="3"/>
        <v>0.7142857142857143</v>
      </c>
      <c r="AB28" s="1791">
        <f t="shared" si="4"/>
        <v>0.7142857142857143</v>
      </c>
      <c r="AC28" s="1791">
        <f t="shared" si="5"/>
        <v>0.7142857142857143</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70"/>
      <c r="Q29" s="1790">
        <f t="shared" si="11"/>
        <v>111</v>
      </c>
      <c r="R29" s="770" t="s">
        <v>17</v>
      </c>
      <c r="S29" s="771">
        <f t="shared" si="12"/>
        <v>100</v>
      </c>
      <c r="T29" s="770" t="s">
        <v>17</v>
      </c>
      <c r="U29" s="771">
        <f t="shared" si="13"/>
        <v>100</v>
      </c>
      <c r="V29" s="770" t="s">
        <v>17</v>
      </c>
      <c r="W29" s="771">
        <f t="shared" si="14"/>
        <v>100</v>
      </c>
      <c r="X29" s="1793"/>
      <c r="Y29" s="3672"/>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70"/>
      <c r="Q30" s="1790">
        <f t="shared" si="11"/>
        <v>111</v>
      </c>
      <c r="R30" s="770" t="s">
        <v>17</v>
      </c>
      <c r="S30" s="771">
        <f t="shared" si="12"/>
        <v>100</v>
      </c>
      <c r="T30" s="770" t="s">
        <v>17</v>
      </c>
      <c r="U30" s="771">
        <f t="shared" si="13"/>
        <v>100</v>
      </c>
      <c r="V30" s="770" t="s">
        <v>17</v>
      </c>
      <c r="W30" s="771">
        <f t="shared" si="14"/>
        <v>100</v>
      </c>
      <c r="X30" s="1793"/>
      <c r="Y30" s="3672"/>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70"/>
      <c r="Q31" s="1790">
        <f t="shared" si="11"/>
        <v>111</v>
      </c>
      <c r="R31" s="770" t="s">
        <v>17</v>
      </c>
      <c r="S31" s="771">
        <f t="shared" si="12"/>
        <v>100</v>
      </c>
      <c r="T31" s="770" t="s">
        <v>17</v>
      </c>
      <c r="U31" s="771">
        <f t="shared" si="13"/>
        <v>100</v>
      </c>
      <c r="V31" s="770" t="s">
        <v>17</v>
      </c>
      <c r="W31" s="771">
        <f t="shared" si="14"/>
        <v>100</v>
      </c>
      <c r="X31" s="1793"/>
      <c r="Y31" s="3672"/>
      <c r="Z31" s="1794">
        <f t="shared" si="15"/>
        <v>111</v>
      </c>
      <c r="AA31" s="1791">
        <f t="shared" si="3"/>
        <v>1</v>
      </c>
      <c r="AB31" s="1791">
        <f t="shared" si="4"/>
        <v>1</v>
      </c>
      <c r="AC31" s="1791">
        <f t="shared" si="5"/>
        <v>1</v>
      </c>
    </row>
    <row r="32" spans="1:29" ht="15">
      <c r="A32" s="439" t="s">
        <v>2551</v>
      </c>
      <c r="B32" s="71" t="s">
        <v>2648</v>
      </c>
      <c r="C32" s="2589" t="s">
        <v>3094</v>
      </c>
      <c r="D32" s="466">
        <v>100</v>
      </c>
      <c r="E32" s="2589" t="s">
        <v>3094</v>
      </c>
      <c r="F32" s="460">
        <f>SUMIF(100:100,E32,101:101)-SUMIF(100:100,C32,101:101)+100</f>
        <v>100</v>
      </c>
      <c r="G32" s="2589" t="s">
        <v>3094</v>
      </c>
      <c r="H32" s="434">
        <f>SUMIF(100:100,G32,101:101)-SUMIF(100:100,C32,101:101)+100</f>
        <v>100</v>
      </c>
      <c r="I32" s="2589" t="s">
        <v>3094</v>
      </c>
      <c r="J32" s="466">
        <f>SUMIF(100:100,I32,101:101)-SUMIF(100:100,C32,101:101)+100</f>
        <v>100</v>
      </c>
      <c r="K32" s="611">
        <v>3</v>
      </c>
      <c r="L32" s="1123"/>
      <c r="M32" s="1114"/>
      <c r="N32" s="1114"/>
      <c r="O32" s="1114"/>
      <c r="P32" s="3673" t="s">
        <v>2553</v>
      </c>
      <c r="Q32" s="1790" t="str">
        <f t="shared" si="11"/>
        <v>商业类型</v>
      </c>
      <c r="R32" s="770" t="s">
        <v>17</v>
      </c>
      <c r="S32" s="771">
        <f t="shared" si="12"/>
        <v>100</v>
      </c>
      <c r="T32" s="770" t="s">
        <v>17</v>
      </c>
      <c r="U32" s="771">
        <f t="shared" si="13"/>
        <v>100</v>
      </c>
      <c r="V32" s="770" t="s">
        <v>17</v>
      </c>
      <c r="W32" s="771">
        <f t="shared" si="14"/>
        <v>100</v>
      </c>
      <c r="X32" s="1793"/>
      <c r="Y32" s="3676" t="s">
        <v>2553</v>
      </c>
      <c r="Z32" s="1794" t="str">
        <f t="shared" si="15"/>
        <v>商业类型</v>
      </c>
      <c r="AA32" s="1791">
        <f t="shared" si="3"/>
        <v>1</v>
      </c>
      <c r="AB32" s="1791">
        <f t="shared" si="4"/>
        <v>1</v>
      </c>
      <c r="AC32" s="1791">
        <f t="shared" si="5"/>
        <v>1</v>
      </c>
    </row>
    <row r="33" spans="1:29" s="470" customFormat="1" ht="15">
      <c r="A33" s="467"/>
      <c r="B33" s="421" t="s">
        <v>2554</v>
      </c>
      <c r="C33" s="468">
        <v>100</v>
      </c>
      <c r="D33" s="136">
        <v>100</v>
      </c>
      <c r="E33" s="429"/>
      <c r="F33" s="424">
        <f>LOOKUP(E33,103:103,104:104)-LOOKUP(C33,103:103,104:104)+100</f>
        <v>100.5</v>
      </c>
      <c r="G33" s="428"/>
      <c r="H33" s="136">
        <f>LOOKUP(G33,103:103,104:104)-LOOKUP(C33,103:103,104:104)+100</f>
        <v>100.5</v>
      </c>
      <c r="I33" s="428"/>
      <c r="J33" s="136">
        <f>LOOKUP(I33,103:103,104:104)-LOOKUP(C33,103:103,104:104)+100</f>
        <v>100.5</v>
      </c>
      <c r="K33" s="612"/>
      <c r="L33" s="1121"/>
      <c r="M33" s="1124"/>
      <c r="N33" s="1124"/>
      <c r="O33" s="1124"/>
      <c r="P33" s="3674"/>
      <c r="Q33" s="772" t="str">
        <f t="shared" si="11"/>
        <v>项目建筑规模</v>
      </c>
      <c r="R33" s="773" t="s">
        <v>17</v>
      </c>
      <c r="S33" s="774">
        <f t="shared" si="12"/>
        <v>100.5</v>
      </c>
      <c r="T33" s="773" t="s">
        <v>17</v>
      </c>
      <c r="U33" s="774">
        <f t="shared" si="13"/>
        <v>100.5</v>
      </c>
      <c r="V33" s="773" t="s">
        <v>17</v>
      </c>
      <c r="W33" s="774">
        <f t="shared" si="14"/>
        <v>100.5</v>
      </c>
      <c r="X33" s="775"/>
      <c r="Y33" s="3676"/>
      <c r="Z33" s="776" t="str">
        <f t="shared" si="15"/>
        <v>项目建筑规模</v>
      </c>
      <c r="AA33" s="1791">
        <f t="shared" si="3"/>
        <v>0.99502487562189057</v>
      </c>
      <c r="AB33" s="1791">
        <f t="shared" si="4"/>
        <v>0.99502487562189057</v>
      </c>
      <c r="AC33" s="1791">
        <f t="shared" si="5"/>
        <v>0.99502487562189057</v>
      </c>
    </row>
    <row r="34" spans="1:29" ht="15">
      <c r="A34" s="471"/>
      <c r="B34" s="421" t="s">
        <v>2555</v>
      </c>
      <c r="C34" s="2591" t="s">
        <v>3044</v>
      </c>
      <c r="D34" s="434">
        <v>100</v>
      </c>
      <c r="E34" s="2591" t="s">
        <v>3044</v>
      </c>
      <c r="F34" s="460">
        <f>SUMIF(105:105,E34,106:106)-SUMIF(105:105,C34,106:106)+100</f>
        <v>100</v>
      </c>
      <c r="G34" s="2591" t="s">
        <v>3044</v>
      </c>
      <c r="H34" s="434">
        <f>SUMIF(105:105,G34,106:106)-SUMIF(105:105,C34,106:106)+100</f>
        <v>100</v>
      </c>
      <c r="I34" s="2591" t="s">
        <v>3044</v>
      </c>
      <c r="J34" s="434">
        <f>SUMIF(105:105,I34,106:106)-SUMIF(105:105,C34,106:106)+100</f>
        <v>100</v>
      </c>
      <c r="K34" s="611">
        <v>2</v>
      </c>
      <c r="L34" s="1123"/>
      <c r="M34" s="1114"/>
      <c r="N34" s="1114"/>
      <c r="O34" s="1114"/>
      <c r="P34" s="3674"/>
      <c r="Q34" s="1790" t="str">
        <f t="shared" si="11"/>
        <v>建筑结构</v>
      </c>
      <c r="R34" s="770" t="s">
        <v>17</v>
      </c>
      <c r="S34" s="771">
        <f t="shared" si="12"/>
        <v>100</v>
      </c>
      <c r="T34" s="770" t="s">
        <v>17</v>
      </c>
      <c r="U34" s="771">
        <f t="shared" si="13"/>
        <v>100</v>
      </c>
      <c r="V34" s="770" t="s">
        <v>17</v>
      </c>
      <c r="W34" s="771">
        <f t="shared" si="14"/>
        <v>100</v>
      </c>
      <c r="X34" s="1793"/>
      <c r="Y34" s="3676"/>
      <c r="Z34" s="1794" t="str">
        <f t="shared" si="15"/>
        <v>建筑结构</v>
      </c>
      <c r="AA34" s="1791">
        <f t="shared" si="3"/>
        <v>1</v>
      </c>
      <c r="AB34" s="1791">
        <f t="shared" si="4"/>
        <v>1</v>
      </c>
      <c r="AC34" s="1791">
        <f t="shared" si="5"/>
        <v>1</v>
      </c>
    </row>
    <row r="35" spans="1:29" ht="15">
      <c r="A35" s="471"/>
      <c r="B35" s="421" t="s">
        <v>2649</v>
      </c>
      <c r="C35" s="2585" t="s">
        <v>3096</v>
      </c>
      <c r="D35" s="434">
        <v>100</v>
      </c>
      <c r="E35" s="2585" t="s">
        <v>3096</v>
      </c>
      <c r="F35" s="460">
        <f>SUMIF(107:107,E35,108:108)-SUMIF(107:107,C35,108:108)+100</f>
        <v>100</v>
      </c>
      <c r="G35" s="2585" t="s">
        <v>3096</v>
      </c>
      <c r="H35" s="434">
        <f>SUMIF(107:107,G35,108:108)-SUMIF(107:107,C35,108:108)+100</f>
        <v>100</v>
      </c>
      <c r="I35" s="2585" t="s">
        <v>3096</v>
      </c>
      <c r="J35" s="434">
        <f>SUMIF(107:107,I35,108:108)-SUMIF(107:107,C35,108:108)+100</f>
        <v>100</v>
      </c>
      <c r="K35" s="611">
        <v>2</v>
      </c>
      <c r="L35" s="1123"/>
      <c r="M35" s="1114"/>
      <c r="N35" s="1114"/>
      <c r="O35" s="1114"/>
      <c r="P35" s="3674"/>
      <c r="Q35" s="1790" t="str">
        <f t="shared" si="11"/>
        <v>公共部分装修</v>
      </c>
      <c r="R35" s="770" t="s">
        <v>17</v>
      </c>
      <c r="S35" s="771">
        <f t="shared" si="12"/>
        <v>100</v>
      </c>
      <c r="T35" s="770" t="s">
        <v>17</v>
      </c>
      <c r="U35" s="771">
        <f t="shared" si="13"/>
        <v>100</v>
      </c>
      <c r="V35" s="770" t="s">
        <v>17</v>
      </c>
      <c r="W35" s="771">
        <f t="shared" si="14"/>
        <v>100</v>
      </c>
      <c r="X35" s="1793"/>
      <c r="Y35" s="3676"/>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74"/>
      <c r="Q36" s="1790" t="str">
        <f t="shared" si="11"/>
        <v>成新度</v>
      </c>
      <c r="R36" s="770" t="s">
        <v>17</v>
      </c>
      <c r="S36" s="771">
        <f t="shared" si="12"/>
        <v>100</v>
      </c>
      <c r="T36" s="770" t="s">
        <v>17</v>
      </c>
      <c r="U36" s="771">
        <f t="shared" si="13"/>
        <v>100</v>
      </c>
      <c r="V36" s="770" t="s">
        <v>17</v>
      </c>
      <c r="W36" s="771">
        <f t="shared" si="14"/>
        <v>100</v>
      </c>
      <c r="X36" s="1793"/>
      <c r="Y36" s="3676"/>
      <c r="Z36" s="1794" t="str">
        <f t="shared" si="15"/>
        <v>成新度</v>
      </c>
      <c r="AA36" s="1791">
        <f t="shared" si="3"/>
        <v>1</v>
      </c>
      <c r="AB36" s="1791">
        <f t="shared" si="4"/>
        <v>1</v>
      </c>
      <c r="AC36" s="1791">
        <f t="shared" si="5"/>
        <v>1</v>
      </c>
    </row>
    <row r="37" spans="1:29" s="117" customFormat="1" ht="15">
      <c r="A37" s="472"/>
      <c r="B37" s="421" t="s">
        <v>2651</v>
      </c>
      <c r="C37" s="2585" t="s">
        <v>3412</v>
      </c>
      <c r="D37" s="136">
        <v>100</v>
      </c>
      <c r="E37" s="2585" t="s">
        <v>3412</v>
      </c>
      <c r="F37" s="460">
        <f>SUMIF(112:112,E37,113:113)-SUMIF(112:112,C37,113:113)+100</f>
        <v>100</v>
      </c>
      <c r="G37" s="2585" t="s">
        <v>3412</v>
      </c>
      <c r="H37" s="434">
        <f>SUMIF(112:112,G37,113:113)-SUMIF(112:112,C37,113:113)+100</f>
        <v>100</v>
      </c>
      <c r="I37" s="2585" t="s">
        <v>3412</v>
      </c>
      <c r="J37" s="434">
        <f>SUMIF(112:112,I37,113:113)-SUMIF(112:112,C37,113:113)+100</f>
        <v>100</v>
      </c>
      <c r="K37" s="611">
        <v>1</v>
      </c>
      <c r="L37" s="1115"/>
      <c r="M37" s="1116"/>
      <c r="N37" s="1116"/>
      <c r="O37" s="1116"/>
      <c r="P37" s="3674"/>
      <c r="Q37" s="1775" t="str">
        <f t="shared" si="11"/>
        <v>市政基础设施</v>
      </c>
      <c r="R37" s="766" t="s">
        <v>17</v>
      </c>
      <c r="S37" s="767">
        <f t="shared" si="12"/>
        <v>100</v>
      </c>
      <c r="T37" s="766" t="s">
        <v>17</v>
      </c>
      <c r="U37" s="767">
        <f t="shared" si="13"/>
        <v>100</v>
      </c>
      <c r="V37" s="766" t="s">
        <v>17</v>
      </c>
      <c r="W37" s="767">
        <f t="shared" si="14"/>
        <v>100</v>
      </c>
      <c r="X37" s="768"/>
      <c r="Y37" s="3676"/>
      <c r="Z37" s="55" t="str">
        <f t="shared" si="15"/>
        <v>市政基础设施</v>
      </c>
      <c r="AA37" s="769">
        <f t="shared" si="3"/>
        <v>1</v>
      </c>
      <c r="AB37" s="769">
        <f t="shared" si="4"/>
        <v>1</v>
      </c>
      <c r="AC37" s="769">
        <f t="shared" si="5"/>
        <v>1</v>
      </c>
    </row>
    <row r="38" spans="1:29" ht="15">
      <c r="A38" s="471"/>
      <c r="B38" s="421" t="s">
        <v>2652</v>
      </c>
      <c r="C38" s="2585" t="s">
        <v>3098</v>
      </c>
      <c r="D38" s="434">
        <v>100</v>
      </c>
      <c r="E38" s="2585" t="s">
        <v>3098</v>
      </c>
      <c r="F38" s="460">
        <f>SUMIF(114:114,E38,115:115)-SUMIF(114:114,C38,115:115)+100</f>
        <v>100</v>
      </c>
      <c r="G38" s="2585" t="s">
        <v>3098</v>
      </c>
      <c r="H38" s="434">
        <f>SUMIF(114:114,G38,115:115)-SUMIF(114:114,C38,115:115)+100</f>
        <v>100</v>
      </c>
      <c r="I38" s="2585" t="s">
        <v>3098</v>
      </c>
      <c r="J38" s="434">
        <f>SUMIF(114:114,I38,115:115)-SUMIF(114:114,C38,115:115)+100</f>
        <v>100</v>
      </c>
      <c r="K38" s="611">
        <v>3</v>
      </c>
      <c r="L38" s="1123"/>
      <c r="M38" s="1114"/>
      <c r="N38" s="1114"/>
      <c r="O38" s="1114"/>
      <c r="P38" s="3674" t="s">
        <v>2553</v>
      </c>
      <c r="Q38" s="1790" t="str">
        <f t="shared" si="11"/>
        <v>业态</v>
      </c>
      <c r="R38" s="770" t="s">
        <v>17</v>
      </c>
      <c r="S38" s="771">
        <f t="shared" si="12"/>
        <v>100</v>
      </c>
      <c r="T38" s="770" t="s">
        <v>17</v>
      </c>
      <c r="U38" s="771">
        <f t="shared" si="13"/>
        <v>100</v>
      </c>
      <c r="V38" s="770" t="s">
        <v>17</v>
      </c>
      <c r="W38" s="771">
        <f t="shared" si="14"/>
        <v>100</v>
      </c>
      <c r="X38" s="1793"/>
      <c r="Y38" s="3676" t="s">
        <v>2553</v>
      </c>
      <c r="Z38" s="1794" t="str">
        <f t="shared" si="15"/>
        <v>业态</v>
      </c>
      <c r="AA38" s="1791">
        <f t="shared" si="3"/>
        <v>1</v>
      </c>
      <c r="AB38" s="1791">
        <f t="shared" si="4"/>
        <v>1</v>
      </c>
      <c r="AC38" s="1791">
        <f t="shared" si="5"/>
        <v>1</v>
      </c>
    </row>
    <row r="39" spans="1:29" ht="15">
      <c r="A39" s="471"/>
      <c r="B39" s="421" t="s">
        <v>2653</v>
      </c>
      <c r="C39" s="2585" t="s">
        <v>3099</v>
      </c>
      <c r="D39" s="434">
        <v>100</v>
      </c>
      <c r="E39" s="2585" t="s">
        <v>3099</v>
      </c>
      <c r="F39" s="460">
        <f>SUMIF(116:116,E39,117:117)-SUMIF(116:116,C39,117:117)+100</f>
        <v>100</v>
      </c>
      <c r="G39" s="2585" t="s">
        <v>3099</v>
      </c>
      <c r="H39" s="434">
        <f>SUMIF(116:116,G39,117:117)-SUMIF(116:116,C39,117:117)+100</f>
        <v>100</v>
      </c>
      <c r="I39" s="2585" t="s">
        <v>3102</v>
      </c>
      <c r="J39" s="434">
        <f>SUMIF(116:116,I39,117:117)-SUMIF(116:116,C39,117:117)+100</f>
        <v>103</v>
      </c>
      <c r="K39" s="611">
        <v>3</v>
      </c>
      <c r="L39" s="1123"/>
      <c r="M39" s="1114"/>
      <c r="N39" s="1114"/>
      <c r="O39" s="1114"/>
      <c r="P39" s="3674"/>
      <c r="Q39" s="1790" t="str">
        <f t="shared" si="11"/>
        <v>层高</v>
      </c>
      <c r="R39" s="770" t="s">
        <v>17</v>
      </c>
      <c r="S39" s="771">
        <f t="shared" si="12"/>
        <v>100</v>
      </c>
      <c r="T39" s="770" t="s">
        <v>17</v>
      </c>
      <c r="U39" s="771">
        <f t="shared" si="13"/>
        <v>100</v>
      </c>
      <c r="V39" s="770" t="s">
        <v>17</v>
      </c>
      <c r="W39" s="771">
        <f t="shared" si="14"/>
        <v>103</v>
      </c>
      <c r="X39" s="1793"/>
      <c r="Y39" s="3676"/>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74"/>
      <c r="Q40" s="1790" t="str">
        <f t="shared" si="11"/>
        <v>单套建筑面积</v>
      </c>
      <c r="R40" s="770" t="s">
        <v>17</v>
      </c>
      <c r="S40" s="771">
        <f t="shared" si="12"/>
        <v>100</v>
      </c>
      <c r="T40" s="770" t="s">
        <v>17</v>
      </c>
      <c r="U40" s="771">
        <f t="shared" si="13"/>
        <v>100</v>
      </c>
      <c r="V40" s="770" t="s">
        <v>17</v>
      </c>
      <c r="W40" s="771">
        <f t="shared" si="14"/>
        <v>100</v>
      </c>
      <c r="X40" s="1793"/>
      <c r="Y40" s="3676"/>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674"/>
      <c r="Q41" s="772" t="str">
        <f t="shared" si="11"/>
        <v>进深比</v>
      </c>
      <c r="R41" s="773" t="s">
        <v>17</v>
      </c>
      <c r="S41" s="774">
        <f t="shared" si="12"/>
        <v>100</v>
      </c>
      <c r="T41" s="773" t="s">
        <v>17</v>
      </c>
      <c r="U41" s="774">
        <f t="shared" si="13"/>
        <v>100</v>
      </c>
      <c r="V41" s="773" t="s">
        <v>17</v>
      </c>
      <c r="W41" s="774">
        <f t="shared" si="14"/>
        <v>100</v>
      </c>
      <c r="X41" s="775"/>
      <c r="Y41" s="3676"/>
      <c r="Z41" s="776" t="str">
        <f t="shared" si="15"/>
        <v>进深比</v>
      </c>
      <c r="AA41" s="1791">
        <f t="shared" si="3"/>
        <v>1</v>
      </c>
      <c r="AB41" s="1791">
        <f t="shared" si="4"/>
        <v>1</v>
      </c>
      <c r="AC41" s="1791">
        <f t="shared" si="5"/>
        <v>1</v>
      </c>
    </row>
    <row r="42" spans="1:29" ht="15">
      <c r="A42" s="471"/>
      <c r="B42" s="421" t="s">
        <v>2656</v>
      </c>
      <c r="C42" s="2585" t="s">
        <v>3101</v>
      </c>
      <c r="D42" s="434">
        <v>100</v>
      </c>
      <c r="E42" s="2585" t="s">
        <v>3101</v>
      </c>
      <c r="F42" s="460">
        <f>SUMIF(122:122,E42,123:123)-SUMIF(122:122,C42,123:123)+100</f>
        <v>100</v>
      </c>
      <c r="G42" s="2585" t="s">
        <v>3101</v>
      </c>
      <c r="H42" s="434">
        <f>SUMIF(122:122,G42,123:123)-SUMIF(122:122,C42,123:123)+100</f>
        <v>100</v>
      </c>
      <c r="I42" s="2585" t="s">
        <v>3101</v>
      </c>
      <c r="J42" s="434">
        <f>SUMIF(122:122,I42,123:123)-SUMIF(122:122,C42,123:123)+100</f>
        <v>100</v>
      </c>
      <c r="K42" s="611">
        <v>3</v>
      </c>
      <c r="L42" s="1123"/>
      <c r="M42" s="1114"/>
      <c r="N42" s="1114"/>
      <c r="O42" s="1114"/>
      <c r="P42" s="3674"/>
      <c r="Q42" s="1790" t="str">
        <f t="shared" si="11"/>
        <v>内部装修</v>
      </c>
      <c r="R42" s="770" t="s">
        <v>17</v>
      </c>
      <c r="S42" s="771">
        <f t="shared" si="12"/>
        <v>100</v>
      </c>
      <c r="T42" s="770" t="s">
        <v>17</v>
      </c>
      <c r="U42" s="771">
        <f t="shared" si="13"/>
        <v>100</v>
      </c>
      <c r="V42" s="770" t="s">
        <v>17</v>
      </c>
      <c r="W42" s="771">
        <f t="shared" si="14"/>
        <v>100</v>
      </c>
      <c r="X42" s="1793"/>
      <c r="Y42" s="3676"/>
      <c r="Z42" s="1794" t="str">
        <f t="shared" si="15"/>
        <v>内部装修</v>
      </c>
      <c r="AA42" s="1791">
        <f t="shared" si="3"/>
        <v>1</v>
      </c>
      <c r="AB42" s="1791">
        <f t="shared" si="4"/>
        <v>1</v>
      </c>
      <c r="AC42" s="1791">
        <f t="shared" si="5"/>
        <v>1</v>
      </c>
    </row>
    <row r="43" spans="1:29" ht="15">
      <c r="A43" s="471"/>
      <c r="B43" s="421" t="s">
        <v>2564</v>
      </c>
      <c r="C43" s="2585" t="s">
        <v>3058</v>
      </c>
      <c r="D43" s="434">
        <v>100</v>
      </c>
      <c r="E43" s="2585" t="s">
        <v>3058</v>
      </c>
      <c r="F43" s="460">
        <f>SUMIF(124:124,E43,125:125)-SUMIF(124:124,C43,125:125)+100</f>
        <v>100</v>
      </c>
      <c r="G43" s="2585" t="s">
        <v>3058</v>
      </c>
      <c r="H43" s="434">
        <f>SUMIF(124:124,G43,125:125)-SUMIF(124:124,C43,125:125)+100</f>
        <v>100</v>
      </c>
      <c r="I43" s="2585" t="s">
        <v>3058</v>
      </c>
      <c r="J43" s="434">
        <f>SUMIF(124:124,I43,125:125)-SUMIF(124:124,C43,125:125)+100</f>
        <v>100</v>
      </c>
      <c r="K43" s="611">
        <v>2</v>
      </c>
      <c r="L43" s="1123"/>
      <c r="M43" s="1114"/>
      <c r="N43" s="1114"/>
      <c r="O43" s="1114"/>
      <c r="P43" s="3674"/>
      <c r="Q43" s="1790" t="str">
        <f t="shared" si="11"/>
        <v>内部装修维护情况</v>
      </c>
      <c r="R43" s="770" t="s">
        <v>17</v>
      </c>
      <c r="S43" s="771">
        <f t="shared" si="12"/>
        <v>100</v>
      </c>
      <c r="T43" s="770" t="s">
        <v>17</v>
      </c>
      <c r="U43" s="771">
        <f t="shared" si="13"/>
        <v>100</v>
      </c>
      <c r="V43" s="770" t="s">
        <v>17</v>
      </c>
      <c r="W43" s="771">
        <f t="shared" si="14"/>
        <v>100</v>
      </c>
      <c r="X43" s="1793"/>
      <c r="Y43" s="3676"/>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74"/>
      <c r="Q44" s="1775">
        <f t="shared" si="11"/>
        <v>0</v>
      </c>
      <c r="R44" s="766" t="s">
        <v>17</v>
      </c>
      <c r="S44" s="767">
        <f t="shared" si="12"/>
        <v>100</v>
      </c>
      <c r="T44" s="766" t="s">
        <v>17</v>
      </c>
      <c r="U44" s="767">
        <f t="shared" si="13"/>
        <v>100</v>
      </c>
      <c r="V44" s="766" t="s">
        <v>17</v>
      </c>
      <c r="W44" s="767">
        <f t="shared" si="14"/>
        <v>100</v>
      </c>
      <c r="X44" s="768"/>
      <c r="Y44" s="3676"/>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74"/>
      <c r="Q45" s="1790">
        <f t="shared" si="11"/>
        <v>0</v>
      </c>
      <c r="R45" s="770" t="s">
        <v>17</v>
      </c>
      <c r="S45" s="771">
        <f t="shared" si="12"/>
        <v>100</v>
      </c>
      <c r="T45" s="770" t="s">
        <v>17</v>
      </c>
      <c r="U45" s="771">
        <f t="shared" si="13"/>
        <v>100</v>
      </c>
      <c r="V45" s="770" t="s">
        <v>17</v>
      </c>
      <c r="W45" s="771">
        <f t="shared" si="14"/>
        <v>100</v>
      </c>
      <c r="X45" s="1793"/>
      <c r="Y45" s="3676"/>
      <c r="Z45" s="1794">
        <f t="shared" si="15"/>
        <v>0</v>
      </c>
      <c r="AA45" s="1791">
        <f t="shared" si="3"/>
        <v>1</v>
      </c>
      <c r="AB45" s="1791">
        <f t="shared" si="4"/>
        <v>1</v>
      </c>
      <c r="AC45" s="1791">
        <f t="shared" si="5"/>
        <v>1</v>
      </c>
    </row>
    <row r="46" spans="1:29" ht="15.75" thickBot="1">
      <c r="A46" s="477"/>
      <c r="B46" s="2574">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75"/>
      <c r="Q46" s="1790">
        <f t="shared" si="11"/>
        <v>1</v>
      </c>
      <c r="R46" s="770" t="s">
        <v>17</v>
      </c>
      <c r="S46" s="771">
        <f t="shared" si="12"/>
        <v>100</v>
      </c>
      <c r="T46" s="770" t="s">
        <v>17</v>
      </c>
      <c r="U46" s="771">
        <f t="shared" si="13"/>
        <v>100</v>
      </c>
      <c r="V46" s="770" t="s">
        <v>17</v>
      </c>
      <c r="W46" s="771">
        <f t="shared" si="14"/>
        <v>100</v>
      </c>
      <c r="X46" s="1793"/>
      <c r="Y46" s="3677"/>
      <c r="Z46" s="1794">
        <f t="shared" si="15"/>
        <v>1</v>
      </c>
      <c r="AA46" s="1791">
        <f t="shared" si="3"/>
        <v>1</v>
      </c>
      <c r="AB46" s="1791">
        <f t="shared" si="4"/>
        <v>1</v>
      </c>
      <c r="AC46" s="1791">
        <f t="shared" si="5"/>
        <v>1</v>
      </c>
    </row>
    <row r="47" spans="1:29" ht="15">
      <c r="A47" s="478" t="s">
        <v>2565</v>
      </c>
      <c r="B47" s="479"/>
      <c r="C47" s="1388" t="s">
        <v>1</v>
      </c>
      <c r="D47" s="1389"/>
      <c r="E47" s="1390">
        <v>32000</v>
      </c>
      <c r="F47" s="1391"/>
      <c r="G47" s="1390">
        <f>E47</f>
        <v>32000</v>
      </c>
      <c r="H47" s="1393"/>
      <c r="I47" s="1390">
        <f>G47</f>
        <v>32000</v>
      </c>
      <c r="J47" s="1393"/>
      <c r="K47" s="779"/>
      <c r="L47" s="1126"/>
      <c r="M47" s="1127"/>
      <c r="N47" s="1114"/>
      <c r="O47" s="1127"/>
      <c r="P47" s="3664" t="str">
        <f>A47</f>
        <v>成交单价（元/平方米）</v>
      </c>
      <c r="Q47" s="3664"/>
      <c r="R47" s="3678">
        <f>E47</f>
        <v>32000</v>
      </c>
      <c r="S47" s="3678"/>
      <c r="T47" s="3678">
        <f>G47</f>
        <v>32000</v>
      </c>
      <c r="U47" s="3678"/>
      <c r="V47" s="3678">
        <f>I47</f>
        <v>32000</v>
      </c>
      <c r="W47" s="3678"/>
      <c r="X47" s="755"/>
      <c r="Y47" s="777"/>
      <c r="Z47" s="755"/>
      <c r="AA47" s="755"/>
      <c r="AB47" s="755"/>
      <c r="AC47" s="755"/>
    </row>
    <row r="48" spans="1:29" ht="15.75" thickBot="1">
      <c r="A48" s="485" t="s">
        <v>2657</v>
      </c>
      <c r="B48" s="486"/>
      <c r="C48" s="1394">
        <f>R49</f>
        <v>22522</v>
      </c>
      <c r="D48" s="1395"/>
      <c r="E48" s="1396">
        <f>R48</f>
        <v>22743</v>
      </c>
      <c r="F48" s="1396"/>
      <c r="G48" s="1394">
        <f>T48</f>
        <v>22743</v>
      </c>
      <c r="H48" s="1395"/>
      <c r="I48" s="1396">
        <f>V48</f>
        <v>22081</v>
      </c>
      <c r="J48" s="1395"/>
      <c r="K48" s="780"/>
      <c r="L48" s="1126"/>
      <c r="M48" s="1127"/>
      <c r="N48" s="1114"/>
      <c r="O48" s="1127"/>
      <c r="P48" s="3664" t="str">
        <f>A48</f>
        <v>比较价值（元/平方米）</v>
      </c>
      <c r="Q48" s="3664"/>
      <c r="R48" s="3665">
        <f>IF(F1="售价",ROUND(PRODUCT(R47,AA7:AA46),0),ROUND(PRODUCT(R47,AA7:AA46),1))</f>
        <v>22743</v>
      </c>
      <c r="S48" s="3665"/>
      <c r="T48" s="3665">
        <f>IF(F1="售价",ROUND(PRODUCT(T47,AB7:AB46),0),ROUND(PRODUCT(T47,AB7:AB46),1))</f>
        <v>22743</v>
      </c>
      <c r="U48" s="3665"/>
      <c r="V48" s="3665">
        <f>IF(F1="售价",ROUND(PRODUCT(V47,AC7:AC46),0),ROUND(PRODUCT(V47,AC7:AC46),1))</f>
        <v>22081</v>
      </c>
      <c r="W48" s="3665"/>
      <c r="X48" s="755"/>
      <c r="Y48" s="755"/>
      <c r="Z48" s="755"/>
      <c r="AA48" s="755"/>
      <c r="AB48" s="755"/>
      <c r="AC48" s="755"/>
    </row>
    <row r="49" spans="1:29" ht="15.75" thickBot="1">
      <c r="A49" s="491" t="s">
        <v>2658</v>
      </c>
      <c r="B49" s="492"/>
      <c r="C49" s="1398">
        <f>R49</f>
        <v>22522</v>
      </c>
      <c r="D49" s="1398"/>
      <c r="E49" s="1398"/>
      <c r="F49" s="1398"/>
      <c r="G49" s="1398"/>
      <c r="H49" s="1398"/>
      <c r="I49" s="1398"/>
      <c r="J49" s="1398"/>
      <c r="K49" s="781"/>
      <c r="L49" s="1126"/>
      <c r="M49" s="1127"/>
      <c r="N49" s="1114"/>
      <c r="O49" s="1127"/>
      <c r="P49" s="3666" t="str">
        <f>A49</f>
        <v>估价对象XX用房的比较价值（楼面单价，元/平方米）</v>
      </c>
      <c r="Q49" s="3667"/>
      <c r="R49" s="3668">
        <f>IF(F1="售价",ROUND(AVERAGE(R48:V48),0),ROUND(AVERAGE(R48:V48),1))</f>
        <v>22522</v>
      </c>
      <c r="S49" s="3668"/>
      <c r="T49" s="3668"/>
      <c r="U49" s="3668"/>
      <c r="V49" s="3668"/>
      <c r="W49" s="3668"/>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0.40702633777426023</v>
      </c>
      <c r="F52" s="499" t="str">
        <f>IF(OR(E52&gt;=0.3,E52&lt;=-0.3),"超过30%","")</f>
        <v>超过30%</v>
      </c>
      <c r="G52" s="498">
        <f>IF(G47&lt;G48,G48/G47-1,G47/G48-1)</f>
        <v>0.40702633777426023</v>
      </c>
      <c r="H52" s="499" t="str">
        <f>IF(OR(G52&gt;=0.3,G52&lt;=-0.3),"超过30%","")</f>
        <v>超过30%</v>
      </c>
      <c r="I52" s="498">
        <f>IF(I47&lt;I48,I48/I47-1,I47/I48-1)</f>
        <v>0.449209727820298</v>
      </c>
      <c r="J52" s="499" t="str">
        <f>IF(OR(I52&gt;=0.3,I52&lt;=-0.3),"超过30%","")</f>
        <v>超过30%</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0</v>
      </c>
      <c r="F53" s="499" t="str">
        <f>IF(OR(E53&gt;=0.2,E53&lt;=-0.2),"超过20%","")</f>
        <v/>
      </c>
      <c r="G53" s="498">
        <f>IF(G48&lt;I48,I48/G48-1,G48/I48-1)</f>
        <v>2.998052624428249E-2</v>
      </c>
      <c r="H53" s="499" t="str">
        <f>IF(OR(G53&gt;=0.2,G53&lt;=-0.2),"超过20%","")</f>
        <v/>
      </c>
      <c r="I53" s="498">
        <f>IF(I48&lt;E48,E48/I48-1,I48/E48-1)</f>
        <v>2.998052624428249E-2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31"/>
      <c r="L54" s="1132"/>
      <c r="M54" s="1128"/>
      <c r="N54" s="1128"/>
      <c r="O54" s="1128"/>
      <c r="P54" s="2638"/>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8"/>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39"/>
      <c r="Q57" s="2640"/>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0"/>
    </row>
    <row r="60" spans="1:29" s="117" customFormat="1" ht="15.75" thickBot="1">
      <c r="A60" s="514" t="s">
        <v>2573</v>
      </c>
      <c r="B60" s="515"/>
      <c r="C60" s="516"/>
      <c r="D60" s="517"/>
      <c r="E60" s="517"/>
      <c r="F60" s="517"/>
      <c r="G60" s="517"/>
      <c r="H60" s="517"/>
      <c r="I60" s="517"/>
      <c r="J60" s="517"/>
      <c r="K60" s="517"/>
      <c r="L60" s="517"/>
      <c r="M60" s="518"/>
      <c r="N60" s="517"/>
      <c r="O60" s="518"/>
      <c r="P60" s="2600"/>
      <c r="Q60" s="503"/>
    </row>
    <row r="61" spans="1:29" s="117" customFormat="1" ht="15">
      <c r="A61" s="520" t="s">
        <v>2538</v>
      </c>
      <c r="B61" s="509"/>
      <c r="C61" s="521" t="s">
        <v>2640</v>
      </c>
      <c r="D61" s="522"/>
      <c r="E61" s="522"/>
      <c r="F61" s="522"/>
      <c r="G61" s="522"/>
      <c r="H61" s="522"/>
      <c r="I61" s="522"/>
      <c r="J61" s="522"/>
      <c r="K61" s="522"/>
      <c r="L61" s="523"/>
      <c r="M61" s="524"/>
      <c r="N61" s="1134"/>
      <c r="O61" s="1134"/>
      <c r="P61" s="2601"/>
      <c r="Q61" s="503"/>
    </row>
    <row r="62" spans="1:29" s="117" customFormat="1" ht="15.75" thickBot="1">
      <c r="A62" s="520"/>
      <c r="B62" s="509"/>
      <c r="C62" s="510">
        <v>100</v>
      </c>
      <c r="D62" s="511"/>
      <c r="E62" s="511"/>
      <c r="F62" s="511"/>
      <c r="G62" s="511"/>
      <c r="H62" s="511"/>
      <c r="I62" s="511"/>
      <c r="J62" s="511"/>
      <c r="K62" s="511"/>
      <c r="L62" s="511"/>
      <c r="M62" s="513"/>
      <c r="N62" s="1134"/>
      <c r="O62" s="1134"/>
      <c r="P62" s="2600"/>
      <c r="Q62" s="503"/>
    </row>
    <row r="63" spans="1:29">
      <c r="A63" s="526" t="s">
        <v>2576</v>
      </c>
      <c r="B63" s="527" t="s">
        <v>2542</v>
      </c>
      <c r="C63" s="528" t="str">
        <f>C9</f>
        <v>商业</v>
      </c>
      <c r="D63" s="529"/>
      <c r="E63" s="529"/>
      <c r="F63" s="529"/>
      <c r="G63" s="529"/>
      <c r="H63" s="529"/>
      <c r="I63" s="529"/>
      <c r="J63" s="529"/>
      <c r="K63" s="530"/>
      <c r="L63" s="531"/>
      <c r="M63" s="532"/>
      <c r="N63" s="1135"/>
      <c r="O63" s="1135"/>
      <c r="P63" s="2602"/>
      <c r="Q63" s="503"/>
    </row>
    <row r="64" spans="1:29" ht="15.75" thickBot="1">
      <c r="A64" s="533"/>
      <c r="B64" s="534"/>
      <c r="C64" s="535">
        <v>100</v>
      </c>
      <c r="D64" s="535"/>
      <c r="E64" s="535"/>
      <c r="F64" s="535"/>
      <c r="G64" s="535"/>
      <c r="H64" s="535"/>
      <c r="I64" s="535"/>
      <c r="J64" s="535"/>
      <c r="K64" s="535"/>
      <c r="L64" s="535"/>
      <c r="M64" s="536"/>
      <c r="N64" s="1136"/>
      <c r="O64" s="1136"/>
      <c r="P64" s="260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2"/>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2"/>
      <c r="Q67" s="503"/>
    </row>
    <row r="68" spans="1:17" ht="15">
      <c r="A68" s="533"/>
      <c r="B68" s="547"/>
      <c r="C68" s="548">
        <v>0</v>
      </c>
      <c r="D68" s="548">
        <v>2</v>
      </c>
      <c r="E68" s="548">
        <v>4</v>
      </c>
      <c r="F68" s="548">
        <v>6</v>
      </c>
      <c r="G68" s="548">
        <v>8</v>
      </c>
      <c r="H68" s="548">
        <v>10</v>
      </c>
      <c r="I68" s="548">
        <v>12</v>
      </c>
      <c r="J68" s="548"/>
      <c r="K68" s="549"/>
      <c r="L68" s="550"/>
      <c r="M68" s="551"/>
      <c r="N68" s="1135"/>
      <c r="O68" s="1135"/>
      <c r="P68" s="260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2"/>
      <c r="Q69" s="503"/>
    </row>
    <row r="70" spans="1:17" s="470" customFormat="1" ht="15.75" thickTop="1">
      <c r="A70" s="552"/>
      <c r="B70" s="537">
        <f>B12</f>
        <v>111</v>
      </c>
      <c r="C70" s="553"/>
      <c r="D70" s="553"/>
      <c r="E70" s="553"/>
      <c r="F70" s="553"/>
      <c r="G70" s="553"/>
      <c r="H70" s="554"/>
      <c r="I70" s="554"/>
      <c r="J70" s="554"/>
      <c r="K70" s="554"/>
      <c r="L70" s="555"/>
      <c r="M70" s="556"/>
      <c r="N70" s="1137"/>
      <c r="O70" s="1137"/>
      <c r="P70" s="2603"/>
      <c r="Q70" s="558"/>
    </row>
    <row r="71" spans="1:17" s="470" customFormat="1" ht="15.75" thickBot="1">
      <c r="A71" s="552"/>
      <c r="B71" s="542"/>
      <c r="C71" s="559"/>
      <c r="D71" s="535"/>
      <c r="E71" s="535"/>
      <c r="F71" s="535"/>
      <c r="G71" s="535"/>
      <c r="H71" s="535"/>
      <c r="I71" s="535"/>
      <c r="J71" s="535"/>
      <c r="K71" s="535"/>
      <c r="L71" s="535"/>
      <c r="M71" s="536"/>
      <c r="N71" s="1136"/>
      <c r="O71" s="1136"/>
      <c r="P71" s="2603"/>
      <c r="Q71" s="558"/>
    </row>
    <row r="72" spans="1:17" s="470" customFormat="1" ht="15.75" thickTop="1">
      <c r="A72" s="552"/>
      <c r="B72" s="537">
        <f>B13</f>
        <v>111</v>
      </c>
      <c r="C72" s="553"/>
      <c r="D72" s="553"/>
      <c r="E72" s="553"/>
      <c r="F72" s="553"/>
      <c r="G72" s="553"/>
      <c r="H72" s="554"/>
      <c r="I72" s="554"/>
      <c r="J72" s="554"/>
      <c r="K72" s="554"/>
      <c r="L72" s="555"/>
      <c r="M72" s="556"/>
      <c r="N72" s="1137"/>
      <c r="O72" s="1137"/>
      <c r="P72" s="2604"/>
      <c r="Q72" s="560"/>
    </row>
    <row r="73" spans="1:17" s="470" customFormat="1" ht="15.75" thickBot="1">
      <c r="A73" s="552"/>
      <c r="B73" s="542"/>
      <c r="C73" s="559"/>
      <c r="D73" s="535"/>
      <c r="E73" s="535"/>
      <c r="F73" s="535"/>
      <c r="G73" s="559"/>
      <c r="H73" s="561"/>
      <c r="I73" s="561"/>
      <c r="J73" s="561"/>
      <c r="K73" s="561"/>
      <c r="L73" s="561"/>
      <c r="M73" s="562"/>
      <c r="N73" s="1137"/>
      <c r="O73" s="1137"/>
      <c r="P73" s="2603"/>
      <c r="Q73" s="558"/>
    </row>
    <row r="74" spans="1:17" s="470" customFormat="1" ht="15.75" thickTop="1">
      <c r="A74" s="552"/>
      <c r="B74" s="545">
        <f>B14</f>
        <v>111</v>
      </c>
      <c r="C74" s="553"/>
      <c r="D74" s="553"/>
      <c r="E74" s="553"/>
      <c r="F74" s="553"/>
      <c r="G74" s="522"/>
      <c r="H74" s="563"/>
      <c r="I74" s="563"/>
      <c r="J74" s="563"/>
      <c r="K74" s="563"/>
      <c r="L74" s="564"/>
      <c r="M74" s="565"/>
      <c r="N74" s="1137"/>
      <c r="O74" s="1137"/>
      <c r="P74" s="2605"/>
      <c r="Q74" s="558"/>
    </row>
    <row r="75" spans="1:17" s="470" customFormat="1" ht="15.75" thickBot="1">
      <c r="A75" s="567"/>
      <c r="B75" s="568"/>
      <c r="C75" s="569"/>
      <c r="D75" s="569"/>
      <c r="E75" s="569"/>
      <c r="F75" s="569"/>
      <c r="G75" s="569"/>
      <c r="H75" s="570"/>
      <c r="I75" s="570"/>
      <c r="J75" s="570"/>
      <c r="K75" s="570"/>
      <c r="L75" s="570"/>
      <c r="M75" s="571"/>
      <c r="N75" s="1137"/>
      <c r="O75" s="1137"/>
      <c r="P75" s="260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6"/>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2"/>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2"/>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2"/>
      <c r="Q85" s="503"/>
    </row>
    <row r="86" spans="1:17" s="117" customFormat="1" ht="15.75" thickTop="1">
      <c r="A86" s="578"/>
      <c r="B86" s="537" t="s">
        <v>2668</v>
      </c>
      <c r="C86" s="2968" t="s">
        <v>3066</v>
      </c>
      <c r="D86" s="2968" t="s">
        <v>3067</v>
      </c>
      <c r="E86" s="2968" t="s">
        <v>3068</v>
      </c>
      <c r="F86" s="2968" t="s">
        <v>3069</v>
      </c>
      <c r="G86" s="553"/>
      <c r="H86" s="553"/>
      <c r="I86" s="553"/>
      <c r="J86" s="553"/>
      <c r="K86" s="553"/>
      <c r="L86" s="579"/>
      <c r="M86" s="580"/>
      <c r="N86" s="1134"/>
      <c r="O86" s="1134"/>
      <c r="P86" s="2602"/>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2"/>
      <c r="Q87" s="503"/>
    </row>
    <row r="88" spans="1:17" s="117" customFormat="1" ht="16.5" thickTop="1" thickBot="1">
      <c r="A88" s="578"/>
      <c r="B88" s="537" t="str">
        <f>B26</f>
        <v>平面位置/可视性</v>
      </c>
      <c r="C88" s="2968" t="s">
        <v>3070</v>
      </c>
      <c r="D88" s="2968" t="s">
        <v>3071</v>
      </c>
      <c r="E88" s="2968" t="s">
        <v>3072</v>
      </c>
      <c r="F88" s="2968" t="s">
        <v>3073</v>
      </c>
      <c r="G88" s="2968" t="s">
        <v>3074</v>
      </c>
      <c r="H88" s="553"/>
      <c r="I88" s="553"/>
      <c r="J88" s="553"/>
      <c r="K88" s="553"/>
      <c r="L88" s="553"/>
      <c r="M88" s="580"/>
      <c r="N88" s="1134"/>
      <c r="O88" s="1134"/>
      <c r="P88" s="2602"/>
      <c r="Q88" s="503"/>
    </row>
    <row r="89" spans="1:17" s="117" customFormat="1" ht="16.5" thickTop="1" thickBot="1">
      <c r="A89" s="578"/>
      <c r="B89" s="542"/>
      <c r="C89" s="2968">
        <v>100</v>
      </c>
      <c r="D89" s="2968">
        <f>C89-2</f>
        <v>98</v>
      </c>
      <c r="E89" s="2968">
        <f t="shared" ref="E89:G89" si="21">D89-2</f>
        <v>96</v>
      </c>
      <c r="F89" s="2968">
        <f t="shared" si="21"/>
        <v>94</v>
      </c>
      <c r="G89" s="2968">
        <f t="shared" si="21"/>
        <v>92</v>
      </c>
      <c r="H89" s="535"/>
      <c r="I89" s="535"/>
      <c r="J89" s="535"/>
      <c r="K89" s="535"/>
      <c r="L89" s="535"/>
      <c r="M89" s="535"/>
      <c r="N89" s="1136"/>
      <c r="O89" s="1136"/>
      <c r="P89" s="2602"/>
      <c r="Q89" s="503"/>
    </row>
    <row r="90" spans="1:17" s="470" customFormat="1" ht="15.75" thickTop="1">
      <c r="A90" s="552"/>
      <c r="B90" s="537" t="str">
        <f>B27</f>
        <v>人流量</v>
      </c>
      <c r="C90" s="2968" t="s">
        <v>3070</v>
      </c>
      <c r="D90" s="2968" t="s">
        <v>3071</v>
      </c>
      <c r="E90" s="2968" t="s">
        <v>3072</v>
      </c>
      <c r="F90" s="2968" t="s">
        <v>3073</v>
      </c>
      <c r="G90" s="2968" t="s">
        <v>3074</v>
      </c>
      <c r="H90" s="554"/>
      <c r="I90" s="554"/>
      <c r="J90" s="554"/>
      <c r="K90" s="554"/>
      <c r="L90" s="555"/>
      <c r="M90" s="556"/>
      <c r="N90" s="1137"/>
      <c r="O90" s="1137"/>
      <c r="P90" s="2603"/>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3"/>
      <c r="Q91" s="558"/>
    </row>
    <row r="92" spans="1:17" ht="15.75" thickTop="1">
      <c r="A92" s="533"/>
      <c r="B92" s="537" t="str">
        <f>B28</f>
        <v>楼层</v>
      </c>
      <c r="C92" s="2968">
        <v>1</v>
      </c>
      <c r="D92" s="553">
        <v>2</v>
      </c>
      <c r="E92" s="553"/>
      <c r="F92" s="553"/>
      <c r="G92" s="553"/>
      <c r="H92" s="553"/>
      <c r="I92" s="553"/>
      <c r="J92" s="553"/>
      <c r="K92" s="553"/>
      <c r="L92" s="579"/>
      <c r="M92" s="580"/>
      <c r="N92" s="1135"/>
      <c r="O92" s="1135"/>
      <c r="P92" s="2602"/>
      <c r="Q92" s="503"/>
    </row>
    <row r="93" spans="1:17" ht="15.75" thickBot="1">
      <c r="A93" s="533"/>
      <c r="B93" s="542"/>
      <c r="C93" s="535">
        <v>100</v>
      </c>
      <c r="D93" s="535">
        <v>60</v>
      </c>
      <c r="E93" s="535"/>
      <c r="F93" s="535"/>
      <c r="G93" s="535"/>
      <c r="H93" s="535"/>
      <c r="I93" s="535"/>
      <c r="J93" s="535"/>
      <c r="K93" s="535"/>
      <c r="L93" s="535"/>
      <c r="M93" s="536"/>
      <c r="N93" s="1136"/>
      <c r="O93" s="1136"/>
      <c r="P93" s="2602"/>
      <c r="Q93" s="503"/>
    </row>
    <row r="94" spans="1:17" ht="15.75" thickTop="1">
      <c r="A94" s="533"/>
      <c r="B94" s="537">
        <f>B29</f>
        <v>111</v>
      </c>
      <c r="C94" s="553"/>
      <c r="D94" s="553"/>
      <c r="E94" s="553"/>
      <c r="F94" s="553"/>
      <c r="G94" s="582"/>
      <c r="H94" s="582"/>
      <c r="I94" s="582"/>
      <c r="J94" s="582"/>
      <c r="K94" s="583"/>
      <c r="L94" s="584"/>
      <c r="M94" s="585"/>
      <c r="N94" s="1135"/>
      <c r="O94" s="1135"/>
      <c r="P94" s="2602"/>
      <c r="Q94" s="503"/>
    </row>
    <row r="95" spans="1:17" ht="15.75" thickBot="1">
      <c r="A95" s="533"/>
      <c r="B95" s="542"/>
      <c r="C95" s="559"/>
      <c r="D95" s="535"/>
      <c r="E95" s="535"/>
      <c r="F95" s="535"/>
      <c r="G95" s="535"/>
      <c r="H95" s="535"/>
      <c r="I95" s="535"/>
      <c r="J95" s="535"/>
      <c r="K95" s="535"/>
      <c r="L95" s="535"/>
      <c r="M95" s="536"/>
      <c r="N95" s="1136"/>
      <c r="O95" s="1136"/>
      <c r="P95" s="2602"/>
      <c r="Q95" s="503"/>
    </row>
    <row r="96" spans="1:17" ht="15.75" thickTop="1">
      <c r="A96" s="533"/>
      <c r="B96" s="537">
        <f>B30</f>
        <v>111</v>
      </c>
      <c r="C96" s="553"/>
      <c r="D96" s="553"/>
      <c r="E96" s="553"/>
      <c r="F96" s="553"/>
      <c r="G96" s="582"/>
      <c r="H96" s="582"/>
      <c r="I96" s="582"/>
      <c r="J96" s="582"/>
      <c r="K96" s="583"/>
      <c r="L96" s="584"/>
      <c r="M96" s="585"/>
      <c r="N96" s="1135"/>
      <c r="O96" s="1135"/>
      <c r="P96" s="2602"/>
      <c r="Q96" s="503"/>
    </row>
    <row r="97" spans="1:17" ht="15.75" thickBot="1">
      <c r="A97" s="533"/>
      <c r="B97" s="542"/>
      <c r="C97" s="559"/>
      <c r="D97" s="535"/>
      <c r="E97" s="535"/>
      <c r="F97" s="535"/>
      <c r="G97" s="535"/>
      <c r="H97" s="535"/>
      <c r="I97" s="535"/>
      <c r="J97" s="535"/>
      <c r="K97" s="535"/>
      <c r="L97" s="535"/>
      <c r="M97" s="536"/>
      <c r="N97" s="1136"/>
      <c r="O97" s="1136"/>
      <c r="P97" s="2602"/>
      <c r="Q97" s="503"/>
    </row>
    <row r="98" spans="1:17" ht="15.75" thickTop="1">
      <c r="A98" s="533"/>
      <c r="B98" s="545">
        <f>B31</f>
        <v>111</v>
      </c>
      <c r="C98" s="553"/>
      <c r="D98" s="553"/>
      <c r="E98" s="553"/>
      <c r="F98" s="553"/>
      <c r="G98" s="586"/>
      <c r="H98" s="586"/>
      <c r="I98" s="586"/>
      <c r="J98" s="586"/>
      <c r="K98" s="587"/>
      <c r="L98" s="588"/>
      <c r="M98" s="589"/>
      <c r="N98" s="1135"/>
      <c r="O98" s="1135"/>
      <c r="P98" s="2602"/>
      <c r="Q98" s="503"/>
    </row>
    <row r="99" spans="1:17" ht="15.75" thickBot="1">
      <c r="A99" s="2608"/>
      <c r="B99" s="568"/>
      <c r="C99" s="569"/>
      <c r="D99" s="569"/>
      <c r="E99" s="569"/>
      <c r="F99" s="569"/>
      <c r="G99" s="590"/>
      <c r="H99" s="590"/>
      <c r="I99" s="590"/>
      <c r="J99" s="590"/>
      <c r="K99" s="590"/>
      <c r="L99" s="590"/>
      <c r="M99" s="591"/>
      <c r="N99" s="1136"/>
      <c r="O99" s="1136"/>
      <c r="P99" s="2602"/>
      <c r="Q99" s="503"/>
    </row>
    <row r="100" spans="1:17">
      <c r="A100" s="526" t="s">
        <v>2551</v>
      </c>
      <c r="B100" s="527" t="s">
        <v>2669</v>
      </c>
      <c r="C100" s="2970" t="s">
        <v>3076</v>
      </c>
      <c r="D100" s="2970" t="s">
        <v>3077</v>
      </c>
      <c r="E100" s="2970" t="s">
        <v>3078</v>
      </c>
      <c r="F100" s="529"/>
      <c r="G100" s="529"/>
      <c r="H100" s="529"/>
      <c r="I100" s="529"/>
      <c r="J100" s="529"/>
      <c r="K100" s="530"/>
      <c r="L100" s="531"/>
      <c r="M100" s="532"/>
      <c r="N100" s="1135"/>
      <c r="O100" s="1135"/>
      <c r="P100" s="2602"/>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2"/>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2"/>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3"/>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3"/>
      <c r="Q104" s="558"/>
    </row>
    <row r="105" spans="1:17" ht="15" thickTop="1">
      <c r="A105" s="598"/>
      <c r="B105" s="537" t="s">
        <v>2602</v>
      </c>
      <c r="C105" s="2968" t="s">
        <v>3079</v>
      </c>
      <c r="D105" s="553"/>
      <c r="E105" s="582"/>
      <c r="F105" s="582"/>
      <c r="G105" s="582"/>
      <c r="H105" s="582"/>
      <c r="I105" s="582"/>
      <c r="J105" s="582"/>
      <c r="K105" s="583"/>
      <c r="L105" s="584"/>
      <c r="M105" s="585"/>
      <c r="N105" s="1135"/>
      <c r="O105" s="1135"/>
      <c r="P105" s="2602"/>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2"/>
      <c r="Q106" s="503"/>
    </row>
    <row r="107" spans="1:17" ht="15" thickTop="1">
      <c r="A107" s="598"/>
      <c r="B107" s="537" t="s">
        <v>2604</v>
      </c>
      <c r="C107" s="2968" t="s">
        <v>3080</v>
      </c>
      <c r="D107" s="2968" t="s">
        <v>3081</v>
      </c>
      <c r="E107" s="2968" t="s">
        <v>3082</v>
      </c>
      <c r="F107" s="2971" t="s">
        <v>3083</v>
      </c>
      <c r="G107" s="582"/>
      <c r="H107" s="582"/>
      <c r="I107" s="582"/>
      <c r="J107" s="582"/>
      <c r="K107" s="583"/>
      <c r="L107" s="584"/>
      <c r="M107" s="585"/>
      <c r="N107" s="1135"/>
      <c r="O107" s="1135"/>
      <c r="P107" s="2602"/>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2"/>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2"/>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2"/>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2"/>
      <c r="Q111" s="503"/>
    </row>
    <row r="112" spans="1:17" s="470" customFormat="1" ht="15" thickTop="1">
      <c r="A112" s="592"/>
      <c r="B112" s="537" t="s">
        <v>2606</v>
      </c>
      <c r="C112" s="2968" t="s">
        <v>3084</v>
      </c>
      <c r="D112" s="2968" t="s">
        <v>3085</v>
      </c>
      <c r="E112" s="2968" t="s">
        <v>3086</v>
      </c>
      <c r="F112" s="2968" t="s">
        <v>3087</v>
      </c>
      <c r="G112" s="2968" t="s">
        <v>3088</v>
      </c>
      <c r="H112" s="582"/>
      <c r="I112" s="582"/>
      <c r="J112" s="582"/>
      <c r="K112" s="583"/>
      <c r="L112" s="584"/>
      <c r="M112" s="585"/>
      <c r="N112" s="1137"/>
      <c r="O112" s="1137"/>
      <c r="P112" s="2603"/>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3"/>
      <c r="Q113" s="558"/>
    </row>
    <row r="114" spans="1:17" ht="15" thickTop="1">
      <c r="A114" s="598"/>
      <c r="B114" s="537" t="s">
        <v>2670</v>
      </c>
      <c r="C114" s="2968" t="s">
        <v>3089</v>
      </c>
      <c r="D114" s="2968" t="s">
        <v>3090</v>
      </c>
      <c r="E114" s="582"/>
      <c r="F114" s="582"/>
      <c r="G114" s="582"/>
      <c r="H114" s="582"/>
      <c r="I114" s="582"/>
      <c r="J114" s="582"/>
      <c r="K114" s="583"/>
      <c r="L114" s="584"/>
      <c r="M114" s="585"/>
      <c r="N114" s="1135"/>
      <c r="O114" s="1135"/>
      <c r="P114" s="2602"/>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2"/>
      <c r="Q115" s="503"/>
    </row>
    <row r="116" spans="1:17" ht="15" thickTop="1">
      <c r="A116" s="598"/>
      <c r="B116" s="537" t="s">
        <v>2671</v>
      </c>
      <c r="C116" s="2968" t="s">
        <v>3091</v>
      </c>
      <c r="D116" s="2968" t="s">
        <v>3092</v>
      </c>
      <c r="E116" s="553"/>
      <c r="F116" s="553"/>
      <c r="G116" s="553"/>
      <c r="H116" s="582"/>
      <c r="I116" s="582"/>
      <c r="J116" s="582"/>
      <c r="K116" s="583"/>
      <c r="L116" s="584"/>
      <c r="M116" s="585"/>
      <c r="N116" s="1135"/>
      <c r="O116" s="1135"/>
      <c r="P116" s="2602"/>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2"/>
      <c r="Q117" s="503"/>
    </row>
    <row r="118" spans="1:17" ht="15" thickTop="1">
      <c r="A118" s="598"/>
      <c r="B118" s="537" t="s">
        <v>2672</v>
      </c>
      <c r="C118" s="626"/>
      <c r="D118" s="626"/>
      <c r="E118" s="626"/>
      <c r="F118" s="626"/>
      <c r="G118" s="626"/>
      <c r="H118" s="554"/>
      <c r="I118" s="554"/>
      <c r="J118" s="554"/>
      <c r="K118" s="554"/>
      <c r="L118" s="555"/>
      <c r="M118" s="556"/>
      <c r="N118" s="1135"/>
      <c r="O118" s="1135"/>
      <c r="P118" s="2602"/>
      <c r="Q118" s="503"/>
    </row>
    <row r="119" spans="1:17" ht="15.75" thickBot="1">
      <c r="A119" s="533"/>
      <c r="B119" s="542"/>
      <c r="C119" s="559"/>
      <c r="D119" s="535"/>
      <c r="E119" s="535"/>
      <c r="F119" s="535"/>
      <c r="G119" s="535"/>
      <c r="H119" s="535"/>
      <c r="I119" s="535"/>
      <c r="J119" s="535"/>
      <c r="K119" s="535"/>
      <c r="L119" s="535"/>
      <c r="M119" s="536"/>
      <c r="N119" s="1136"/>
      <c r="O119" s="1136"/>
      <c r="P119" s="2602"/>
      <c r="Q119" s="503"/>
    </row>
    <row r="120" spans="1:17" s="470" customFormat="1" ht="15" thickTop="1">
      <c r="A120" s="592"/>
      <c r="B120" s="537" t="s">
        <v>2673</v>
      </c>
      <c r="C120" s="2971" t="s">
        <v>3093</v>
      </c>
      <c r="D120" s="582"/>
      <c r="E120" s="582"/>
      <c r="F120" s="582"/>
      <c r="G120" s="554"/>
      <c r="H120" s="554"/>
      <c r="I120" s="554"/>
      <c r="J120" s="554"/>
      <c r="K120" s="554"/>
      <c r="L120" s="555"/>
      <c r="M120" s="556"/>
      <c r="N120" s="1137"/>
      <c r="O120" s="1137"/>
      <c r="P120" s="2603"/>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3"/>
      <c r="Q121" s="558"/>
    </row>
    <row r="122" spans="1:17" ht="15" thickTop="1">
      <c r="A122" s="598"/>
      <c r="B122" s="537" t="s">
        <v>2608</v>
      </c>
      <c r="C122" s="2968" t="s">
        <v>3080</v>
      </c>
      <c r="D122" s="2968" t="s">
        <v>3081</v>
      </c>
      <c r="E122" s="2968" t="s">
        <v>3082</v>
      </c>
      <c r="F122" s="2971" t="s">
        <v>3083</v>
      </c>
      <c r="G122" s="582"/>
      <c r="H122" s="582"/>
      <c r="I122" s="582"/>
      <c r="J122" s="582"/>
      <c r="K122" s="583"/>
      <c r="L122" s="584"/>
      <c r="M122" s="585"/>
      <c r="N122" s="1135"/>
      <c r="O122" s="1135"/>
      <c r="P122" s="2602"/>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2"/>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3"/>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3"/>
      <c r="Q127" s="558"/>
    </row>
    <row r="128" spans="1:17" ht="15" thickTop="1">
      <c r="A128" s="598"/>
      <c r="B128" s="537">
        <f>B45</f>
        <v>0</v>
      </c>
      <c r="C128" s="553"/>
      <c r="D128" s="553"/>
      <c r="E128" s="553"/>
      <c r="F128" s="553"/>
      <c r="G128" s="582"/>
      <c r="H128" s="582"/>
      <c r="I128" s="582"/>
      <c r="J128" s="582"/>
      <c r="K128" s="583"/>
      <c r="L128" s="584"/>
      <c r="M128" s="585"/>
      <c r="N128" s="1135"/>
      <c r="O128" s="1135"/>
      <c r="P128" s="2602"/>
      <c r="Q128" s="503"/>
    </row>
    <row r="129" spans="1:17" ht="15.75" thickBot="1">
      <c r="A129" s="533"/>
      <c r="B129" s="542"/>
      <c r="C129" s="559"/>
      <c r="D129" s="535"/>
      <c r="E129" s="535"/>
      <c r="F129" s="535"/>
      <c r="G129" s="535"/>
      <c r="H129" s="535"/>
      <c r="I129" s="535"/>
      <c r="J129" s="535"/>
      <c r="K129" s="535"/>
      <c r="L129" s="535"/>
      <c r="M129" s="536"/>
      <c r="N129" s="1136"/>
      <c r="O129" s="1136"/>
      <c r="P129" s="2602"/>
      <c r="Q129" s="503"/>
    </row>
    <row r="130" spans="1:17" ht="15" thickTop="1">
      <c r="A130" s="598"/>
      <c r="B130" s="545">
        <f>B46</f>
        <v>1</v>
      </c>
      <c r="C130" s="553"/>
      <c r="D130" s="553"/>
      <c r="E130" s="553"/>
      <c r="F130" s="553"/>
      <c r="G130" s="586"/>
      <c r="H130" s="586"/>
      <c r="I130" s="586"/>
      <c r="J130" s="586"/>
      <c r="K130" s="522"/>
      <c r="L130" s="523"/>
      <c r="M130" s="589"/>
      <c r="N130" s="1135"/>
      <c r="O130" s="1135"/>
      <c r="P130" s="2602"/>
      <c r="Q130" s="503"/>
    </row>
    <row r="131" spans="1:17" ht="15.75" thickBot="1">
      <c r="A131" s="2608"/>
      <c r="B131" s="568"/>
      <c r="C131" s="569"/>
      <c r="D131" s="569"/>
      <c r="E131" s="569"/>
      <c r="F131" s="569"/>
      <c r="G131" s="590"/>
      <c r="H131" s="590"/>
      <c r="I131" s="590"/>
      <c r="J131" s="590"/>
      <c r="K131" s="590"/>
      <c r="L131" s="590"/>
      <c r="M131" s="591"/>
      <c r="N131" s="1136"/>
      <c r="O131" s="1136"/>
      <c r="P131" s="260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1" t="s">
        <v>2983</v>
      </c>
      <c r="D1" s="3712"/>
      <c r="E1" s="3712"/>
      <c r="F1" s="3712"/>
      <c r="G1" s="3712"/>
      <c r="H1" s="3712"/>
      <c r="I1" s="3712"/>
      <c r="J1" s="3712"/>
      <c r="K1" s="3712"/>
      <c r="L1" s="3712"/>
      <c r="M1" s="3712"/>
      <c r="N1" s="3712"/>
      <c r="O1" s="3712"/>
      <c r="P1" s="3712"/>
      <c r="Q1" s="3712"/>
      <c r="R1" s="3712"/>
      <c r="S1" s="3713"/>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'[3]比较法-商业'!C103</f>
        <v>0</v>
      </c>
      <c r="D3" s="707">
        <f>'[3]比较法-商业'!D103</f>
        <v>100</v>
      </c>
      <c r="E3" s="707">
        <f>'[3]比较法-商业'!E103</f>
        <v>200</v>
      </c>
      <c r="F3" s="707">
        <f>'[3]比较法-商业'!F103</f>
        <v>300</v>
      </c>
      <c r="G3" s="707">
        <f>'[3]比较法-商业'!G103</f>
        <v>500</v>
      </c>
      <c r="H3" s="707">
        <f>'[3]比较法-商业'!H103</f>
        <v>1000</v>
      </c>
      <c r="I3" s="707">
        <f>'[3]比较法-商业'!I103</f>
        <v>1500</v>
      </c>
      <c r="J3" s="707">
        <f>'[3]比较法-商业'!J103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'[3]比较法-商业'!B86</f>
        <v>临街状况</v>
      </c>
      <c r="C5" s="1198" t="str">
        <f>'[3]比较法-商业'!C86</f>
        <v>多面临街</v>
      </c>
      <c r="D5" s="1198" t="str">
        <f>'[3]比较法-商业'!D86</f>
        <v>双面临街</v>
      </c>
      <c r="E5" s="1198" t="str">
        <f>'[3]比较法-商业'!E86</f>
        <v>单面临街</v>
      </c>
      <c r="F5" s="1198" t="str">
        <f>'[3]比较法-商业'!F86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'[3]比较法-商业'!B26</f>
        <v>平面位置/可视性</v>
      </c>
      <c r="C7" s="1104" t="str">
        <f>'[3]比较法-商业'!C88</f>
        <v>好</v>
      </c>
      <c r="D7" s="1104" t="str">
        <f>'[3]比较法-商业'!D88</f>
        <v>较好</v>
      </c>
      <c r="E7" s="1104" t="str">
        <f>'[3]比较法-商业'!E88</f>
        <v>一般</v>
      </c>
      <c r="F7" s="1104" t="str">
        <f>'[3]比较法-商业'!F88</f>
        <v>较差</v>
      </c>
      <c r="G7" s="1104" t="str">
        <f>'[3]比较法-商业'!G88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2" t="str">
        <f>'[3]比较法-商业'!B90</f>
        <v>人流量</v>
      </c>
      <c r="C9" s="1104" t="str">
        <f>'[3]比较法-商业'!C90</f>
        <v>好</v>
      </c>
      <c r="D9" s="1104" t="str">
        <f>'[3]比较法-商业'!D90</f>
        <v>较好</v>
      </c>
      <c r="E9" s="1104" t="str">
        <f>'[3]比较法-商业'!E90</f>
        <v>一般</v>
      </c>
      <c r="F9" s="1104" t="str">
        <f>'[3]比较法-商业'!F90</f>
        <v>较差</v>
      </c>
      <c r="G9" s="1104" t="str">
        <f>'[3]比较法-商业'!G90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8" t="s">
        <v>2989</v>
      </c>
      <c r="B17" s="2879"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2991</v>
      </c>
      <c r="E19" s="1772"/>
      <c r="F19" s="1772"/>
      <c r="G19" s="1772"/>
      <c r="H19" s="1262"/>
      <c r="I19" s="168"/>
      <c r="J19" s="168"/>
      <c r="K19" s="168"/>
      <c r="L19" s="168"/>
      <c r="M19" s="168"/>
      <c r="N19" s="168"/>
      <c r="O19" s="168"/>
      <c r="P19" s="168"/>
      <c r="Q19" s="168"/>
      <c r="R19" s="783"/>
      <c r="S19" s="138"/>
    </row>
    <row r="20" spans="1:45" ht="16.5" thickBot="1">
      <c r="A20" s="712" t="s">
        <v>2992</v>
      </c>
      <c r="B20" s="338" t="e">
        <f>IF(D20="——",S22,S22-F20)</f>
        <v>#REF!</v>
      </c>
      <c r="C20" s="168"/>
      <c r="D20" s="2881" t="s">
        <v>70</v>
      </c>
      <c r="E20" s="1773"/>
      <c r="F20" s="1186" t="e">
        <f ca="1">SUMIF(INDIRECT("'"&amp;H20&amp;"'"&amp;"!A:A"),"承租人权益价值",INDIRECT("'"&amp;H20&amp;"'"&amp;"!c:c"))</f>
        <v>#REF!</v>
      </c>
      <c r="G20" s="1186" t="s">
        <v>2993</v>
      </c>
      <c r="H20" s="2882"/>
      <c r="I20" s="168"/>
      <c r="J20" s="168"/>
      <c r="K20" s="168"/>
      <c r="L20" s="168"/>
      <c r="M20" s="168"/>
      <c r="N20" s="168"/>
      <c r="O20" s="168"/>
      <c r="P20" s="168"/>
      <c r="Q20" s="168"/>
      <c r="R20" s="783"/>
      <c r="S20" s="138"/>
    </row>
    <row r="21" spans="1:45" ht="15.75">
      <c r="A21" s="712" t="s">
        <v>2994</v>
      </c>
      <c r="B21" s="338" t="e">
        <f>R22</f>
        <v>#REF!</v>
      </c>
      <c r="C21" s="168"/>
      <c r="D21" s="168"/>
      <c r="E21" s="168"/>
      <c r="F21" s="168"/>
      <c r="G21" s="168"/>
      <c r="H21" s="168"/>
      <c r="I21" s="168"/>
      <c r="J21" s="168"/>
      <c r="K21" s="168"/>
      <c r="L21" s="168"/>
      <c r="M21" s="168"/>
      <c r="N21" s="168"/>
      <c r="O21" s="168"/>
      <c r="P21" s="168"/>
      <c r="Q21" s="168"/>
      <c r="R21" s="783"/>
      <c r="S21" s="138"/>
    </row>
    <row r="22" spans="1:45">
      <c r="A22" s="361" t="s">
        <v>2995</v>
      </c>
      <c r="B22" s="24" t="e">
        <f>SUM(B24:B10000)</f>
        <v>#REF!</v>
      </c>
      <c r="C22" s="3612" t="s">
        <v>33</v>
      </c>
      <c r="D22" s="3613"/>
      <c r="E22" s="3613"/>
      <c r="F22" s="3613"/>
      <c r="G22" s="3613"/>
      <c r="H22" s="3613"/>
      <c r="I22" s="3613"/>
      <c r="J22" s="3613"/>
      <c r="K22" s="3613"/>
      <c r="L22" s="3613"/>
      <c r="M22" s="3613"/>
      <c r="N22" s="3613"/>
      <c r="O22" s="3613"/>
      <c r="P22" s="3613"/>
      <c r="Q22" s="3710"/>
      <c r="R22" s="713" t="e">
        <f>ROUND(S22*10000/B22,0)</f>
        <v>#REF!</v>
      </c>
      <c r="S22" s="24" t="e">
        <f>SUM(S24:S10000)</f>
        <v>#REF!</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1" t="e">
        <f>#REF!</f>
        <v>#REF!</v>
      </c>
      <c r="B24" s="2952" t="e">
        <f>#REF!</f>
        <v>#REF!</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22522</v>
      </c>
      <c r="S24" s="715" t="e">
        <f t="shared" ref="S24:S54" si="11">ROUND(R24*B24/10000,0)</f>
        <v>#REF!</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1" t="e">
        <f>#REF!</f>
        <v>#REF!</v>
      </c>
      <c r="B25" s="2952" t="e">
        <f>#REF!</f>
        <v>#REF!</v>
      </c>
      <c r="C25" s="24" t="e">
        <f>IF(B25="",1,(LOOKUP(B25,$3:$3,$4:$4)-LOOKUP($B$24,$3:$3,$4:$4)+100)/100)</f>
        <v>#REF!</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t="e">
        <f>IF(B25="",0,ROUND($R$24*C25*E25*G25*I25*K25*M25*O25*Q25,0))</f>
        <v>#REF!</v>
      </c>
      <c r="S25" s="361" t="e">
        <f t="shared" si="11"/>
        <v>#REF!</v>
      </c>
    </row>
    <row r="26" spans="1:45">
      <c r="A26" s="3001" t="e">
        <f>#REF!</f>
        <v>#REF!</v>
      </c>
      <c r="B26" s="2952" t="e">
        <f>#REF!</f>
        <v>#REF!</v>
      </c>
      <c r="C26" s="24" t="e">
        <f t="shared" ref="C26:C89" si="12">IF(B26="",1,(LOOKUP(B26,$3:$3,$4:$4)-LOOKUP($B$24,$3:$3,$4:$4)+100)/100)</f>
        <v>#REF!</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t="e">
        <f t="shared" ref="R26:R89" si="20">IF(B26="",0,ROUND($R$24*C26*E26*G26*I26*K26*M26*O26*Q26,0))</f>
        <v>#REF!</v>
      </c>
      <c r="S26" s="361" t="e">
        <f t="shared" si="11"/>
        <v>#REF!</v>
      </c>
    </row>
    <row r="27" spans="1:45">
      <c r="A27" s="3001" t="e">
        <f>#REF!</f>
        <v>#REF!</v>
      </c>
      <c r="B27" s="2952" t="e">
        <f>#REF!</f>
        <v>#REF!</v>
      </c>
      <c r="C27" s="24" t="e">
        <f t="shared" si="12"/>
        <v>#REF!</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t="e">
        <f t="shared" si="20"/>
        <v>#REF!</v>
      </c>
      <c r="S27" s="361" t="e">
        <f t="shared" si="11"/>
        <v>#REF!</v>
      </c>
    </row>
    <row r="28" spans="1:45">
      <c r="A28" s="3001" t="e">
        <f>#REF!</f>
        <v>#REF!</v>
      </c>
      <c r="B28" s="2952" t="e">
        <f>#REF!</f>
        <v>#REF!</v>
      </c>
      <c r="C28" s="24" t="e">
        <f t="shared" si="12"/>
        <v>#REF!</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t="e">
        <f t="shared" si="20"/>
        <v>#REF!</v>
      </c>
      <c r="S28" s="361" t="e">
        <f t="shared" si="11"/>
        <v>#REF!</v>
      </c>
    </row>
    <row r="29" spans="1:45">
      <c r="A29" s="3001" t="e">
        <f>#REF!</f>
        <v>#REF!</v>
      </c>
      <c r="B29" s="2952" t="e">
        <f>#REF!</f>
        <v>#REF!</v>
      </c>
      <c r="C29" s="24" t="e">
        <f t="shared" si="12"/>
        <v>#REF!</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t="e">
        <f t="shared" si="20"/>
        <v>#REF!</v>
      </c>
      <c r="S29" s="361" t="e">
        <f t="shared" si="11"/>
        <v>#REF!</v>
      </c>
    </row>
    <row r="30" spans="1:45">
      <c r="A30" s="3001" t="e">
        <f>#REF!</f>
        <v>#REF!</v>
      </c>
      <c r="B30" s="2952" t="e">
        <f>#REF!</f>
        <v>#REF!</v>
      </c>
      <c r="C30" s="24" t="e">
        <f t="shared" si="12"/>
        <v>#REF!</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t="e">
        <f t="shared" si="20"/>
        <v>#REF!</v>
      </c>
      <c r="S30" s="361" t="e">
        <f t="shared" si="11"/>
        <v>#REF!</v>
      </c>
    </row>
    <row r="31" spans="1:45">
      <c r="A31" s="3001" t="e">
        <f>#REF!</f>
        <v>#REF!</v>
      </c>
      <c r="B31" s="2952" t="e">
        <f>#REF!</f>
        <v>#REF!</v>
      </c>
      <c r="C31" s="24" t="e">
        <f t="shared" si="12"/>
        <v>#REF!</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t="e">
        <f t="shared" si="20"/>
        <v>#REF!</v>
      </c>
      <c r="S31" s="361" t="e">
        <f t="shared" si="11"/>
        <v>#REF!</v>
      </c>
    </row>
    <row r="32" spans="1:45">
      <c r="A32" s="3001" t="e">
        <f>#REF!</f>
        <v>#REF!</v>
      </c>
      <c r="B32" s="2952" t="e">
        <f>#REF!</f>
        <v>#REF!</v>
      </c>
      <c r="C32" s="24" t="e">
        <f t="shared" si="12"/>
        <v>#REF!</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t="e">
        <f t="shared" si="20"/>
        <v>#REF!</v>
      </c>
      <c r="S32" s="361" t="e">
        <f t="shared" si="11"/>
        <v>#REF!</v>
      </c>
    </row>
    <row r="33" spans="1:19">
      <c r="A33" s="3001" t="e">
        <f>#REF!</f>
        <v>#REF!</v>
      </c>
      <c r="B33" s="2952" t="e">
        <f>#REF!</f>
        <v>#REF!</v>
      </c>
      <c r="C33" s="24" t="e">
        <f t="shared" si="12"/>
        <v>#REF!</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t="e">
        <f t="shared" si="20"/>
        <v>#REF!</v>
      </c>
      <c r="S33" s="361" t="e">
        <f t="shared" si="11"/>
        <v>#REF!</v>
      </c>
    </row>
    <row r="34" spans="1:19">
      <c r="A34" s="3001"/>
      <c r="B34" s="2952"/>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3"/>
      <c r="B35" s="2952"/>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43" sqref="C4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3663</v>
      </c>
      <c r="D1" s="1800" t="s">
        <v>70</v>
      </c>
      <c r="E1" s="1801" t="s">
        <v>1375</v>
      </c>
      <c r="F1" s="1265">
        <f ca="1">J53</f>
        <v>37.86</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29808</v>
      </c>
      <c r="C2" s="1825" t="s">
        <v>1504</v>
      </c>
      <c r="D2" s="1825"/>
      <c r="E2" s="1826"/>
      <c r="F2" s="1827"/>
      <c r="G2" s="1828"/>
      <c r="H2" s="1820"/>
      <c r="I2" s="1820"/>
      <c r="J2" s="1820"/>
      <c r="K2" s="1821"/>
      <c r="L2" s="1820"/>
      <c r="M2" s="1820"/>
    </row>
    <row r="3" spans="1:37" ht="18" customHeight="1" thickBot="1">
      <c r="A3" s="1829" t="s">
        <v>1505</v>
      </c>
      <c r="B3" s="1830">
        <f ca="1">IF(ISERROR(B2*10000/F43),0,ROUND(B2*10000/F43,0))</f>
        <v>12242</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2003</v>
      </c>
      <c r="D5" s="1802" t="s">
        <v>1390</v>
      </c>
      <c r="E5" s="1275"/>
      <c r="F5" s="1276"/>
      <c r="G5" s="1831"/>
      <c r="H5" s="344">
        <v>1</v>
      </c>
      <c r="I5" s="345" t="s">
        <v>1389</v>
      </c>
      <c r="J5" s="1274">
        <f ca="1">J6+J10+J12</f>
        <v>0</v>
      </c>
      <c r="K5" s="1802" t="s">
        <v>1390</v>
      </c>
      <c r="L5" s="1275"/>
      <c r="M5" s="1276"/>
    </row>
    <row r="6" spans="1:37" ht="18" customHeight="1">
      <c r="A6" s="1273" t="s">
        <v>1032</v>
      </c>
      <c r="B6" s="3714" t="s">
        <v>1391</v>
      </c>
      <c r="C6" s="1278">
        <f ca="1">ROUND(F6*F8*F7*(1-F9)/10000,0)</f>
        <v>2000</v>
      </c>
      <c r="D6" s="164" t="s">
        <v>3004</v>
      </c>
      <c r="E6" s="347" t="s">
        <v>1393</v>
      </c>
      <c r="F6" s="348">
        <f ca="1">INDIRECT("'数据-取费表'!u"&amp;$G$1)</f>
        <v>2.5</v>
      </c>
      <c r="G6" s="1831"/>
      <c r="H6" s="1273" t="s">
        <v>1032</v>
      </c>
      <c r="I6" s="3714" t="s">
        <v>1391</v>
      </c>
      <c r="J6" s="346">
        <f ca="1">ROUND(M6*M8*M7*(1-M9)/10000,0)</f>
        <v>0</v>
      </c>
      <c r="K6" s="164" t="s">
        <v>3003</v>
      </c>
      <c r="L6" s="347" t="s">
        <v>1393</v>
      </c>
      <c r="M6" s="348">
        <f ca="1">INDIRECT("'数据-取费表'!z"&amp;$G$1)</f>
        <v>0</v>
      </c>
    </row>
    <row r="7" spans="1:37" ht="18" customHeight="1">
      <c r="A7" s="1277"/>
      <c r="B7" s="3715"/>
      <c r="C7" s="1279"/>
      <c r="D7" s="352"/>
      <c r="E7" s="2941" t="s">
        <v>1394</v>
      </c>
      <c r="F7" s="348">
        <f ca="1">IF(INDIRECT("'数据-取费表'!ah"&amp;$G$1)="",INDIRECT("'数据-取费表'!k"&amp;$G$1),INDIRECT("'数据-取费表'!ah"&amp;$G$1))</f>
        <v>24348.570000000003</v>
      </c>
      <c r="G7" s="1831"/>
      <c r="H7" s="349"/>
      <c r="I7" s="3715"/>
      <c r="J7" s="351"/>
      <c r="K7" s="352"/>
      <c r="L7" s="347" t="s">
        <v>1394</v>
      </c>
      <c r="M7" s="348">
        <f ca="1">F7</f>
        <v>24348.570000000003</v>
      </c>
    </row>
    <row r="8" spans="1:37" ht="18" customHeight="1">
      <c r="A8" s="349"/>
      <c r="B8" s="3715"/>
      <c r="C8" s="351"/>
      <c r="D8" s="352"/>
      <c r="E8" s="347" t="s">
        <v>1395</v>
      </c>
      <c r="F8" s="348">
        <f ca="1">INDIRECT("'数据-取费表'!ai"&amp;$G$1)</f>
        <v>365</v>
      </c>
      <c r="G8" s="1831"/>
      <c r="H8" s="349"/>
      <c r="I8" s="3715"/>
      <c r="J8" s="351"/>
      <c r="K8" s="352"/>
      <c r="L8" s="347" t="s">
        <v>1395</v>
      </c>
      <c r="M8" s="348">
        <f ca="1">INDIRECT("'数据-取费表'!ai"&amp;$G$1)</f>
        <v>365</v>
      </c>
    </row>
    <row r="9" spans="1:37" ht="18" customHeight="1">
      <c r="A9" s="349"/>
      <c r="B9" s="3716"/>
      <c r="C9" s="351"/>
      <c r="D9" s="352"/>
      <c r="E9" s="347" t="s">
        <v>1396</v>
      </c>
      <c r="F9" s="357">
        <f ca="1">INDIRECT("'数据-取费表'!w"&amp;$G$1)</f>
        <v>0.1</v>
      </c>
      <c r="G9" s="1831"/>
      <c r="H9" s="349"/>
      <c r="I9" s="3716"/>
      <c r="J9" s="351"/>
      <c r="K9" s="352"/>
      <c r="L9" s="358" t="s">
        <v>1396</v>
      </c>
      <c r="M9" s="359">
        <f ca="1">INDIRECT("'数据-取费表'!ab"&amp;$G$1)</f>
        <v>0</v>
      </c>
    </row>
    <row r="10" spans="1:37" ht="18" customHeight="1">
      <c r="A10" s="1273" t="s">
        <v>1036</v>
      </c>
      <c r="B10" s="1803" t="s">
        <v>1397</v>
      </c>
      <c r="C10" s="361">
        <f ca="1">ROUND(IF(F10="押一",C6/12*F11,IF(F10="押二",C6/12*2*F11,IF(F10="押三",C6/12*3*F11,C11*F11))),0)</f>
        <v>3</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11511</v>
      </c>
      <c r="D13" s="1313" t="s">
        <v>1403</v>
      </c>
      <c r="E13" s="1313" t="s">
        <v>1404</v>
      </c>
      <c r="F13" s="1314">
        <f ca="1">INDIRECT("'数据-取费表'!y"&amp;$G$1)</f>
        <v>0.98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7792</v>
      </c>
      <c r="D14" s="2929" t="s">
        <v>1406</v>
      </c>
      <c r="E14" s="2924"/>
      <c r="F14" s="364"/>
      <c r="G14" s="1831"/>
      <c r="H14" s="1183" t="s">
        <v>1032</v>
      </c>
      <c r="I14" s="347" t="s">
        <v>1407</v>
      </c>
      <c r="J14" s="24">
        <f ca="1">C29</f>
        <v>11746</v>
      </c>
      <c r="K14" s="2940"/>
      <c r="L14" s="969"/>
      <c r="M14" s="970"/>
    </row>
    <row r="15" spans="1:37" s="1838" customFormat="1" ht="18" customHeight="1" thickBot="1">
      <c r="A15" s="1183" t="s">
        <v>1033</v>
      </c>
      <c r="B15" s="347" t="s">
        <v>1408</v>
      </c>
      <c r="C15" s="24">
        <f ca="1">ROUND(C14*F15,0)</f>
        <v>234</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181</v>
      </c>
      <c r="K16" s="1319" t="s">
        <v>1413</v>
      </c>
      <c r="L16" s="2931"/>
      <c r="M16" s="1276"/>
    </row>
    <row r="17" spans="1:37" s="1838" customFormat="1" ht="18" customHeight="1">
      <c r="A17" s="1183" t="s">
        <v>1378</v>
      </c>
      <c r="B17" s="347" t="s">
        <v>1414</v>
      </c>
      <c r="C17" s="24">
        <f ca="1">ROUND(F17*(F43+INDIRECT("'数据-取费表'!S"&amp;$G$1))/10000,0)</f>
        <v>365</v>
      </c>
      <c r="D17" s="347" t="s">
        <v>1415</v>
      </c>
      <c r="E17" s="347" t="s">
        <v>1416</v>
      </c>
      <c r="F17" s="26">
        <f>'数据-取费表'!B35</f>
        <v>150</v>
      </c>
      <c r="G17" s="1834"/>
      <c r="H17" s="1183" t="s">
        <v>1032</v>
      </c>
      <c r="I17" s="347" t="s">
        <v>1417</v>
      </c>
      <c r="J17" s="24">
        <f ca="1">ROUND(IF(项目基本情况!B11="自然人",J6*M17/(1+'数据-取费表'!C42),J18+J19+J20),1)</f>
        <v>4.5</v>
      </c>
      <c r="K17" s="2929" t="s">
        <v>1418</v>
      </c>
      <c r="L17" s="292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117</v>
      </c>
      <c r="D18" s="347" t="s">
        <v>1409</v>
      </c>
      <c r="E18" s="347" t="s">
        <v>1410</v>
      </c>
      <c r="F18" s="367">
        <f>'数据-取费表'!B36</f>
        <v>1.4999999999999999E-2</v>
      </c>
      <c r="G18" s="1834"/>
      <c r="H18" s="1183" t="s">
        <v>1031</v>
      </c>
      <c r="I18" s="347" t="s">
        <v>1421</v>
      </c>
      <c r="J18" s="24">
        <f ca="1">ROUND(J6*M18/(1+'数据-取费表'!C42),2)</f>
        <v>0</v>
      </c>
      <c r="K18" s="292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8508</v>
      </c>
      <c r="D19" s="140" t="s">
        <v>1424</v>
      </c>
      <c r="E19" s="293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170</v>
      </c>
      <c r="D20" s="369" t="s">
        <v>1428</v>
      </c>
      <c r="E20" s="347" t="s">
        <v>1410</v>
      </c>
      <c r="F20" s="367">
        <f>'数据-取费表'!B37</f>
        <v>0.02</v>
      </c>
      <c r="G20" s="1834"/>
      <c r="H20" s="1183" t="s">
        <v>1377</v>
      </c>
      <c r="I20" s="164" t="s">
        <v>1429</v>
      </c>
      <c r="J20" s="25">
        <f ca="1">ROUND(M20*M21/10000,2)</f>
        <v>4.54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15134.65</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8"/>
      <c r="F22" s="26"/>
      <c r="G22" s="1831"/>
      <c r="H22" s="1183" t="s">
        <v>1036</v>
      </c>
      <c r="I22" s="347" t="s">
        <v>1437</v>
      </c>
      <c r="J22" s="24">
        <f ca="1">ROUND(J14*M22,1)</f>
        <v>176.2</v>
      </c>
      <c r="K22" s="2927"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412</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7"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8"/>
      <c r="F25" s="26"/>
      <c r="G25" s="1831"/>
      <c r="H25" s="1311" t="s">
        <v>1028</v>
      </c>
      <c r="I25" s="1326" t="s">
        <v>1451</v>
      </c>
      <c r="J25" s="355">
        <f ca="1">J5-J16</f>
        <v>-181</v>
      </c>
      <c r="K25" s="1327" t="s">
        <v>1452</v>
      </c>
      <c r="L25" s="1328"/>
      <c r="M25" s="1329"/>
    </row>
    <row r="26" spans="1:37">
      <c r="A26" s="1183" t="s">
        <v>1031</v>
      </c>
      <c r="B26" s="347" t="s">
        <v>1453</v>
      </c>
      <c r="C26" s="24">
        <f ca="1">ROUND((C19+C20)*F26,0)</f>
        <v>1736</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11746</v>
      </c>
      <c r="D29" s="1324"/>
      <c r="E29" s="1322"/>
      <c r="F29" s="1325"/>
      <c r="G29" s="1834"/>
      <c r="H29" s="380" t="s">
        <v>1030</v>
      </c>
      <c r="I29" s="381" t="s">
        <v>1467</v>
      </c>
      <c r="J29" s="382">
        <f ca="1">ROUND(J26/(1+F40)^F41,0)</f>
        <v>0</v>
      </c>
      <c r="K29" s="383" t="s">
        <v>1468</v>
      </c>
      <c r="L29" s="384"/>
      <c r="M29" s="385">
        <f ca="1">INDIRECT("'数据-取费表'!k"&amp;$G$1)</f>
        <v>24348.570000000003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553</v>
      </c>
      <c r="D30" s="1319" t="s">
        <v>1413</v>
      </c>
      <c r="E30" s="2931"/>
      <c r="F30" s="1276"/>
      <c r="G30" s="1831"/>
      <c r="H30" s="741"/>
      <c r="I30" s="742"/>
      <c r="J30" s="743"/>
      <c r="K30" s="744"/>
      <c r="L30" s="745"/>
      <c r="M30" s="746"/>
    </row>
    <row r="31" spans="1:37" ht="18" customHeight="1">
      <c r="A31" s="1183" t="s">
        <v>1032</v>
      </c>
      <c r="B31" s="347" t="s">
        <v>1417</v>
      </c>
      <c r="C31" s="24">
        <f ca="1">ROUND(IF(项目基本情况!B11="自然人",C6*F31/(1+'数据-取费表'!C42),C32+C33+C34),1)</f>
        <v>339.8</v>
      </c>
      <c r="D31" s="2929" t="s">
        <v>1418</v>
      </c>
      <c r="E31" s="292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106.67</v>
      </c>
      <c r="D32" s="292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228.57</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4.54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15134.65</v>
      </c>
      <c r="G35" s="1831"/>
      <c r="H35" s="741"/>
      <c r="I35" s="1840"/>
      <c r="J35" s="1841"/>
      <c r="K35" s="1842"/>
      <c r="L35" s="1839"/>
      <c r="M35" s="1839"/>
    </row>
    <row r="36" spans="1:18" ht="18" customHeight="1">
      <c r="A36" s="1334" t="s">
        <v>1036</v>
      </c>
      <c r="B36" s="347" t="s">
        <v>1437</v>
      </c>
      <c r="C36" s="24">
        <f ca="1">ROUND(C29*F36,1)</f>
        <v>176.2</v>
      </c>
      <c r="D36" s="2927"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17.3</v>
      </c>
      <c r="D37" s="2927"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20</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1450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29808</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37.86</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f ca="1">ROUND(C40*10000/F43,0)</f>
        <v>12242</v>
      </c>
      <c r="D43" s="383" t="s">
        <v>1476</v>
      </c>
      <c r="E43" s="384" t="s">
        <v>1477</v>
      </c>
      <c r="F43" s="385">
        <f ca="1">INDIRECT("'数据-取费表'!k"&amp;$G$1)</f>
        <v>24348.570000000003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-47383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29808</v>
      </c>
      <c r="R47" s="1866" t="s">
        <v>1517</v>
      </c>
    </row>
    <row r="48" spans="1:18" s="1822" customFormat="1" ht="28.5" thickBot="1">
      <c r="A48" s="1342" t="s">
        <v>1125</v>
      </c>
      <c r="B48" s="345" t="s">
        <v>1389</v>
      </c>
      <c r="C48" s="2937">
        <f ca="1">C49+C53+C55</f>
        <v>0</v>
      </c>
      <c r="D48" s="1344"/>
      <c r="E48" s="1345"/>
      <c r="F48" s="1163"/>
      <c r="G48" s="787"/>
      <c r="H48" s="788"/>
      <c r="I48" s="1867" t="s">
        <v>1518</v>
      </c>
      <c r="J48" s="1868" t="s">
        <v>3045</v>
      </c>
      <c r="K48" s="1869" t="s">
        <v>1519</v>
      </c>
      <c r="L48" s="1870">
        <f ca="1">INDIRECT("'数据-取费表'!f"&amp;$G$1)</f>
        <v>37.86</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2019</v>
      </c>
      <c r="K49" s="1869" t="s">
        <v>1523</v>
      </c>
      <c r="L49" s="1873"/>
      <c r="O49" s="1874" t="s">
        <v>1039</v>
      </c>
      <c r="P49" s="1865" t="s">
        <v>1524</v>
      </c>
      <c r="Q49" s="1866">
        <f ca="1">C29</f>
        <v>11746</v>
      </c>
      <c r="R49" s="1866" t="s">
        <v>1517</v>
      </c>
    </row>
    <row r="50" spans="1:18" s="1822" customFormat="1" ht="13.5" thickBot="1">
      <c r="A50" s="1177"/>
      <c r="B50" s="1180"/>
      <c r="C50" s="1350"/>
      <c r="D50" s="1154"/>
      <c r="E50" s="1259" t="s">
        <v>1394</v>
      </c>
      <c r="F50" s="1260">
        <f ca="1">F7</f>
        <v>24348.570000000003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59</v>
      </c>
      <c r="K51" s="1880" t="s">
        <v>1529</v>
      </c>
      <c r="L51" s="1881">
        <f ca="1">ROUND(-PV(INDIRECT("'数据-取费表'!h"&amp;$G$1),L48,(C39-C13*C76),0),0)</f>
        <v>7445</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37.86</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f ca="1">IF(M47="住宅",IF(D1="——",MAX(J51,L48),MAX(J51,L48-'数据-取费表'!B24)),IF(D1="——",MIN(J51,L48),MIN(J51,L48-'数据-取费表'!B24)))</f>
        <v>37.86</v>
      </c>
      <c r="K53" s="3717" t="s">
        <v>1536</v>
      </c>
      <c r="L53" s="3718"/>
      <c r="O53" s="1864" t="s">
        <v>1043</v>
      </c>
      <c r="P53" s="1865" t="s">
        <v>1537</v>
      </c>
      <c r="Q53" s="1866">
        <f ca="1">Q47+Q48</f>
        <v>29808</v>
      </c>
      <c r="R53" s="1866" t="s">
        <v>1044</v>
      </c>
    </row>
    <row r="54" spans="1:18" s="1822" customFormat="1" ht="13.5" thickBot="1">
      <c r="A54" s="1387"/>
      <c r="B54" s="1805" t="s">
        <v>1376</v>
      </c>
      <c r="C54" s="1160"/>
      <c r="D54" s="1804"/>
      <c r="E54" s="293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11511</v>
      </c>
      <c r="D56" s="1893"/>
      <c r="E56" s="1894"/>
      <c r="F56" s="1886"/>
      <c r="I56" s="1895" t="s">
        <v>1542</v>
      </c>
      <c r="J56" s="1896" t="s">
        <v>3042</v>
      </c>
      <c r="K56" s="1867" t="s">
        <v>1543</v>
      </c>
      <c r="L56" s="1870" t="str">
        <f ca="1">IF(L48&lt;J51,"——",L48-J53)</f>
        <v>——</v>
      </c>
      <c r="O56" s="1864" t="s">
        <v>1037</v>
      </c>
      <c r="P56" s="1865" t="s">
        <v>1516</v>
      </c>
      <c r="Q56" s="1866">
        <f ca="1">C40+J29</f>
        <v>29808</v>
      </c>
      <c r="R56" s="1866" t="s">
        <v>1517</v>
      </c>
    </row>
    <row r="57" spans="1:18" s="1822" customFormat="1" ht="24.75" thickBot="1">
      <c r="A57" s="1897"/>
      <c r="B57" s="1151" t="s">
        <v>1466</v>
      </c>
      <c r="C57" s="282">
        <f ca="1">C29</f>
        <v>11746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1185</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991.2</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986.66</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4.54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29808</v>
      </c>
      <c r="R62" s="1866" t="s">
        <v>1044</v>
      </c>
    </row>
    <row r="63" spans="1:18" s="1822" customFormat="1" ht="13.5" thickBot="1">
      <c r="A63" s="372"/>
      <c r="B63" s="1157"/>
      <c r="C63" s="29"/>
      <c r="D63" s="1167"/>
      <c r="E63" s="1151" t="s">
        <v>1435</v>
      </c>
      <c r="F63" s="348">
        <f t="shared" ca="1" si="0"/>
        <v>15134.65</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176.2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17.3</v>
      </c>
      <c r="D65" s="1165" t="s">
        <v>1442</v>
      </c>
      <c r="E65" s="1151" t="s">
        <v>1410</v>
      </c>
      <c r="F65" s="376">
        <f t="shared" ca="1" si="0"/>
        <v>1.5E-3</v>
      </c>
      <c r="I65" s="1908" t="s">
        <v>1567</v>
      </c>
      <c r="J65" s="1909">
        <v>40</v>
      </c>
      <c r="K65" s="1909">
        <v>30</v>
      </c>
      <c r="L65" s="1909">
        <v>50</v>
      </c>
      <c r="M65" s="1911">
        <v>0.02</v>
      </c>
      <c r="O65" s="1864" t="s">
        <v>1037</v>
      </c>
      <c r="P65" s="1865" t="s">
        <v>1516</v>
      </c>
      <c r="Q65" s="1866">
        <f ca="1">C40+J29</f>
        <v>29808</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-1185</v>
      </c>
      <c r="D67" s="1164" t="s">
        <v>1452</v>
      </c>
      <c r="E67" s="1169"/>
      <c r="F67" s="1170"/>
      <c r="O67" s="1874" t="s">
        <v>1039</v>
      </c>
      <c r="P67" s="1865" t="s">
        <v>1550</v>
      </c>
      <c r="Q67" s="1912">
        <f ca="1">L51</f>
        <v>7445</v>
      </c>
      <c r="R67" s="1866" t="s">
        <v>1570</v>
      </c>
    </row>
    <row r="68" spans="1:18" s="1822" customFormat="1" ht="16.5" thickBot="1">
      <c r="A68" s="1148" t="s">
        <v>1029</v>
      </c>
      <c r="B68" s="1149" t="s">
        <v>1473</v>
      </c>
      <c r="C68" s="346">
        <f ca="1">ROUND(C67*(1-((1+F70)/(1+F68))^F69)/(F68-F70),0)</f>
        <v>-17575</v>
      </c>
      <c r="D68" s="1166" t="s">
        <v>1457</v>
      </c>
      <c r="E68" s="1151" t="s">
        <v>1458</v>
      </c>
      <c r="F68" s="357">
        <f ca="1">F40</f>
        <v>0.06</v>
      </c>
      <c r="O68" s="1874" t="s">
        <v>1040</v>
      </c>
      <c r="P68" s="1913" t="s">
        <v>1571</v>
      </c>
      <c r="Q68" s="1866">
        <f ca="1">ROUND(Q69-Q70*Q71,0)</f>
        <v>472</v>
      </c>
      <c r="R68" s="1866" t="s">
        <v>1048</v>
      </c>
    </row>
    <row r="69" spans="1:18" s="1822" customFormat="1" ht="13.5" thickBot="1">
      <c r="A69" s="1152"/>
      <c r="B69" s="1153"/>
      <c r="C69" s="351"/>
      <c r="D69" s="1171" t="s">
        <v>1461</v>
      </c>
      <c r="E69" s="1151" t="s">
        <v>1462</v>
      </c>
      <c r="F69" s="379">
        <f ca="1">F41</f>
        <v>37.86</v>
      </c>
      <c r="O69" s="1874" t="s">
        <v>1045</v>
      </c>
      <c r="P69" s="1913" t="s">
        <v>1572</v>
      </c>
      <c r="Q69" s="1866">
        <f ca="1">C39</f>
        <v>1450</v>
      </c>
      <c r="R69" s="1866" t="s">
        <v>1517</v>
      </c>
    </row>
    <row r="70" spans="1:18" s="1822" customFormat="1" ht="13.5" thickBot="1">
      <c r="A70" s="1155"/>
      <c r="B70" s="1156"/>
      <c r="C70" s="355"/>
      <c r="D70" s="1167"/>
      <c r="E70" s="1151" t="s">
        <v>1465</v>
      </c>
      <c r="F70" s="1257"/>
      <c r="O70" s="1874" t="s">
        <v>1046</v>
      </c>
      <c r="P70" s="1913" t="s">
        <v>1573</v>
      </c>
      <c r="Q70" s="1866">
        <f ca="1">C13</f>
        <v>11511</v>
      </c>
      <c r="R70" s="1866" t="s">
        <v>1517</v>
      </c>
    </row>
    <row r="71" spans="1:18" s="1822" customFormat="1" ht="13.5" thickBot="1">
      <c r="A71" s="1172" t="s">
        <v>1030</v>
      </c>
      <c r="B71" s="1173" t="s">
        <v>1475</v>
      </c>
      <c r="C71" s="382">
        <f ca="1">ROUND(C68*10000/F71,0)</f>
        <v>-7218</v>
      </c>
      <c r="D71" s="1174" t="s">
        <v>1476</v>
      </c>
      <c r="E71" s="1175" t="s">
        <v>1477</v>
      </c>
      <c r="F71" s="385">
        <f ca="1">F43</f>
        <v>24348.570000000003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978</v>
      </c>
      <c r="D75" s="1822"/>
      <c r="E75" s="1822"/>
      <c r="F75" s="1822"/>
      <c r="K75" s="1848"/>
      <c r="L75" s="1822"/>
      <c r="O75" s="1864" t="s">
        <v>1043</v>
      </c>
      <c r="P75" s="1865" t="s">
        <v>1537</v>
      </c>
      <c r="Q75" s="1866">
        <f ca="1">Q65+Q66</f>
        <v>29808</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0.32599999999999996</v>
      </c>
    </row>
    <row r="80" spans="1:18">
      <c r="B80" s="386" t="s">
        <v>1499</v>
      </c>
      <c r="C80" s="318">
        <f ca="1">ROUND(C75/C39,3)</f>
        <v>0.67400000000000004</v>
      </c>
    </row>
    <row r="81" spans="2:3">
      <c r="B81" s="314" t="s">
        <v>1500</v>
      </c>
      <c r="C81" s="282"/>
    </row>
    <row r="82" spans="2:3">
      <c r="B82" s="317" t="s">
        <v>1501</v>
      </c>
      <c r="C82" s="319">
        <f ca="1">1-C83</f>
        <v>0.61399999999999999</v>
      </c>
    </row>
    <row r="83" spans="2:3">
      <c r="B83" s="317" t="s">
        <v>1502</v>
      </c>
      <c r="C83" s="318">
        <f ca="1">ROUND(C13/C40,3)</f>
        <v>0.38600000000000001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 sqref="G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3643</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40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3012</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4" t="s">
        <v>1406</v>
      </c>
      <c r="E14" s="3392"/>
      <c r="F14" s="364"/>
      <c r="G14" s="1831"/>
      <c r="H14" s="1183" t="s">
        <v>1032</v>
      </c>
      <c r="I14" s="347" t="s">
        <v>1407</v>
      </c>
      <c r="J14" s="24" t="e">
        <f ca="1">C29</f>
        <v>#N/A</v>
      </c>
      <c r="K14" s="340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396"/>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394" t="s">
        <v>1418</v>
      </c>
      <c r="L17" s="3393"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3"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399"/>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399"/>
      <c r="F22" s="26"/>
      <c r="G22" s="1831"/>
      <c r="H22" s="1183" t="s">
        <v>1036</v>
      </c>
      <c r="I22" s="347" t="s">
        <v>1437</v>
      </c>
      <c r="J22" s="24" t="e">
        <f ca="1">ROUND(J14*M22,1)</f>
        <v>#N/A</v>
      </c>
      <c r="K22" s="3393"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3"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39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396"/>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4" t="s">
        <v>1418</v>
      </c>
      <c r="E31" s="3393"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3"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3"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3"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39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3397"/>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397"/>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3" t="s">
        <v>2514</v>
      </c>
      <c r="B1" s="2534"/>
      <c r="C1" s="2534"/>
      <c r="D1" s="2534"/>
      <c r="E1" s="2535"/>
    </row>
    <row r="2" spans="1:6" ht="15.75">
      <c r="A2" s="2536" t="s">
        <v>2315</v>
      </c>
      <c r="B2" s="2537">
        <f ca="1">SUMIF(B6:B13,"&lt;&gt;#ref!",B6:B13)</f>
        <v>29808</v>
      </c>
      <c r="C2" s="2538" t="s">
        <v>2507</v>
      </c>
      <c r="D2" s="2539" t="s">
        <v>2508</v>
      </c>
      <c r="E2" s="2540">
        <f>SUM(E6:E13)</f>
        <v>24348.570000000003</v>
      </c>
    </row>
    <row r="3" spans="1:6" ht="15.75">
      <c r="A3" s="2536" t="s">
        <v>1383</v>
      </c>
      <c r="B3" s="2537">
        <f ca="1">ROUND(B2*10000/E2,0)</f>
        <v>12242</v>
      </c>
      <c r="C3" s="2538" t="s">
        <v>2515</v>
      </c>
      <c r="D3" s="2541"/>
      <c r="E3" s="2542"/>
    </row>
    <row r="4" spans="1:6" ht="15.75">
      <c r="A4" s="2543"/>
      <c r="B4" s="2541"/>
      <c r="C4" s="2541"/>
      <c r="D4" s="2541"/>
      <c r="E4" s="2542"/>
    </row>
    <row r="5" spans="1:6" ht="15">
      <c r="A5" s="2544" t="s">
        <v>2509</v>
      </c>
      <c r="B5" s="3719" t="s">
        <v>2510</v>
      </c>
      <c r="C5" s="3719"/>
      <c r="D5" s="2545"/>
      <c r="E5" s="2546" t="s">
        <v>2511</v>
      </c>
      <c r="F5" s="2547" t="s">
        <v>2512</v>
      </c>
    </row>
    <row r="6" spans="1:6">
      <c r="A6" s="2548" t="str">
        <f>'数据-取费表'!AN6</f>
        <v>收益法</v>
      </c>
      <c r="B6" s="2547">
        <f ca="1">IF(F6="是",'数据-取费表'!AO6,0)</f>
        <v>29808</v>
      </c>
      <c r="C6" s="2538" t="s">
        <v>2507</v>
      </c>
      <c r="D6" s="2541"/>
      <c r="E6" s="2549">
        <f>IF(OR(A6=0,F6="否"),0,'数据-取费表'!K6+'数据-取费表'!S6)</f>
        <v>24348.570000000003</v>
      </c>
      <c r="F6" s="2550" t="s">
        <v>2513</v>
      </c>
    </row>
    <row r="7" spans="1:6">
      <c r="A7" s="2548">
        <f>'数据-取费表'!AN7</f>
        <v>0</v>
      </c>
      <c r="B7" s="2547" t="e">
        <f ca="1">IF(F7="是",'数据-取费表'!AO7,0)</f>
        <v>#REF!</v>
      </c>
      <c r="C7" s="2538" t="s">
        <v>2507</v>
      </c>
      <c r="D7" s="2541"/>
      <c r="E7" s="2549">
        <f>IF(OR(A7=0,F7="否"),0,'数据-取费表'!K7+'数据-取费表'!S7)</f>
        <v>0</v>
      </c>
      <c r="F7" s="2550" t="s">
        <v>2513</v>
      </c>
    </row>
    <row r="8" spans="1:6">
      <c r="A8" s="2548">
        <f>'数据-取费表'!AN8</f>
        <v>0</v>
      </c>
      <c r="B8" s="2547">
        <f>IF(F8="是",'数据-取费表'!AO8,0)</f>
        <v>0</v>
      </c>
      <c r="C8" s="2538" t="s">
        <v>2507</v>
      </c>
      <c r="D8" s="2541"/>
      <c r="E8" s="2549">
        <f>IF(OR(A8=0,F8="否"),0,'数据-取费表'!K8+'数据-取费表'!S8)</f>
        <v>0</v>
      </c>
      <c r="F8" s="2550" t="s">
        <v>3095</v>
      </c>
    </row>
    <row r="9" spans="1:6">
      <c r="A9" s="2548">
        <f>'数据-取费表'!AN9</f>
        <v>0</v>
      </c>
      <c r="B9" s="2547">
        <f>IF(F9="是",'数据-取费表'!AO9,0)</f>
        <v>0</v>
      </c>
      <c r="C9" s="2538" t="s">
        <v>2507</v>
      </c>
      <c r="D9" s="2541"/>
      <c r="E9" s="2549">
        <f>IF(OR(A9=0,F9="否"),0,'数据-取费表'!K9+'数据-取费表'!S9)</f>
        <v>0</v>
      </c>
      <c r="F9" s="2550" t="s">
        <v>3095</v>
      </c>
    </row>
    <row r="10" spans="1:6">
      <c r="A10" s="2548">
        <f>'数据-取费表'!AN10</f>
        <v>0</v>
      </c>
      <c r="B10" s="2547">
        <f>IF(F10="是",'数据-取费表'!AO10,0)</f>
        <v>0</v>
      </c>
      <c r="C10" s="2538" t="s">
        <v>2507</v>
      </c>
      <c r="D10" s="2541"/>
      <c r="E10" s="2549">
        <f>IF(OR(A10=0,F10="否"),0,'数据-取费表'!K10+'数据-取费表'!S10)</f>
        <v>0</v>
      </c>
      <c r="F10" s="2550" t="s">
        <v>3095</v>
      </c>
    </row>
    <row r="11" spans="1:6">
      <c r="A11" s="2548">
        <f>'数据-取费表'!AN11</f>
        <v>0</v>
      </c>
      <c r="B11" s="2547">
        <f>IF(F11="是",'数据-取费表'!AO11,0)</f>
        <v>0</v>
      </c>
      <c r="C11" s="2538" t="s">
        <v>2507</v>
      </c>
      <c r="D11" s="2541"/>
      <c r="E11" s="2549">
        <f>IF(OR(A11=0,F11="否"),0,'数据-取费表'!K11+'数据-取费表'!S11)</f>
        <v>0</v>
      </c>
      <c r="F11" s="2550" t="s">
        <v>3095</v>
      </c>
    </row>
    <row r="12" spans="1:6">
      <c r="A12" s="2548">
        <f>'数据-取费表'!AN12</f>
        <v>0</v>
      </c>
      <c r="B12" s="2547">
        <f>IF(F12="是",'数据-取费表'!AO12,0)</f>
        <v>0</v>
      </c>
      <c r="C12" s="2538" t="s">
        <v>2507</v>
      </c>
      <c r="D12" s="2541"/>
      <c r="E12" s="2549">
        <f>IF(OR(A12=0,F12="否"),0,'数据-取费表'!K12+'数据-取费表'!S12)</f>
        <v>0</v>
      </c>
      <c r="F12" s="2550" t="s">
        <v>3095</v>
      </c>
    </row>
    <row r="13" spans="1:6" ht="15" thickBot="1">
      <c r="A13" s="2551">
        <f>'数据-取费表'!AN13</f>
        <v>0</v>
      </c>
      <c r="B13" s="2547">
        <f>IF(F13="是",'数据-取费表'!AO13,0)</f>
        <v>0</v>
      </c>
      <c r="C13" s="2552" t="s">
        <v>2507</v>
      </c>
      <c r="D13" s="2553"/>
      <c r="E13" s="2549">
        <f>IF(OR(A13=0,F13="否"),0,'数据-取费表'!K13+'数据-取费表'!S13)</f>
        <v>0</v>
      </c>
      <c r="F13" s="2550"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27</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2.75">
      <c r="A3" s="3561" t="s">
        <v>2107</v>
      </c>
      <c r="B3" s="3562"/>
      <c r="C3" s="3562"/>
      <c r="D3" s="3562"/>
      <c r="E3" s="3562"/>
      <c r="F3" s="3562"/>
      <c r="G3" s="3562"/>
      <c r="H3" s="3562"/>
      <c r="I3" s="3562"/>
    </row>
    <row r="4" spans="1:12" ht="14.25">
      <c r="A4" s="2395" t="s">
        <v>2108</v>
      </c>
      <c r="B4" s="2396" t="s">
        <v>2109</v>
      </c>
      <c r="C4" s="2397" t="s">
        <v>3653</v>
      </c>
      <c r="D4" s="2397" t="s">
        <v>3650</v>
      </c>
      <c r="E4" s="3554" t="s">
        <v>2110</v>
      </c>
      <c r="F4" s="3555"/>
      <c r="G4" s="3555"/>
      <c r="H4" s="3555"/>
      <c r="I4" s="3563"/>
      <c r="K4" s="2398" t="str">
        <f>IF(ISNUMBER(FIND("比较法",结果表办!C4)),"比较法",IF(ISNUMBER(FIND("成本法",结果表办!C4)),"成本法",IF(ISNUMBER(FIND("假设开发法",结果表办!C4)),"假设开发法",IF(ISNUMBER(FIND("收益法",结果表办!C4)),"收益法","基准地价系数修正法"))))</f>
        <v>基准地价系数修正法</v>
      </c>
      <c r="L4" s="239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37" t="s">
        <v>2111</v>
      </c>
      <c r="B5" s="3466">
        <v>25</v>
      </c>
      <c r="C5" s="3540"/>
      <c r="D5" s="3560"/>
      <c r="E5" s="140" t="s">
        <v>2112</v>
      </c>
      <c r="F5" s="2399"/>
      <c r="G5" s="2399"/>
      <c r="H5" s="2399"/>
      <c r="I5" s="1811"/>
    </row>
    <row r="6" spans="1:12" ht="12.75">
      <c r="A6" s="3537"/>
      <c r="B6" s="3466"/>
      <c r="C6" s="3541"/>
      <c r="D6" s="3560"/>
      <c r="E6" s="140" t="s">
        <v>2113</v>
      </c>
      <c r="F6" s="2399"/>
      <c r="G6" s="2399"/>
      <c r="H6" s="2399"/>
      <c r="I6" s="1811"/>
    </row>
    <row r="7" spans="1:12" ht="12.75">
      <c r="A7" s="3537"/>
      <c r="B7" s="3466"/>
      <c r="C7" s="3542"/>
      <c r="D7" s="3560"/>
      <c r="E7" s="140" t="s">
        <v>2114</v>
      </c>
      <c r="F7" s="2399"/>
      <c r="G7" s="2399"/>
      <c r="H7" s="2399"/>
      <c r="I7" s="1811"/>
    </row>
    <row r="8" spans="1:12" ht="12.75">
      <c r="A8" s="3537" t="s">
        <v>2115</v>
      </c>
      <c r="B8" s="3466">
        <v>15</v>
      </c>
      <c r="C8" s="3540"/>
      <c r="D8" s="3560"/>
      <c r="E8" s="140" t="s">
        <v>2116</v>
      </c>
      <c r="F8" s="2399"/>
      <c r="G8" s="2399"/>
      <c r="H8" s="2399"/>
      <c r="I8" s="1811"/>
    </row>
    <row r="9" spans="1:12" ht="12.75">
      <c r="A9" s="3537"/>
      <c r="B9" s="3466"/>
      <c r="C9" s="3542"/>
      <c r="D9" s="3560"/>
      <c r="E9" s="140" t="s">
        <v>2117</v>
      </c>
      <c r="F9" s="2399"/>
      <c r="G9" s="2399"/>
      <c r="H9" s="2399"/>
      <c r="I9" s="1811"/>
    </row>
    <row r="10" spans="1:12" ht="12.75">
      <c r="A10" s="3537" t="s">
        <v>2118</v>
      </c>
      <c r="B10" s="3466">
        <v>15</v>
      </c>
      <c r="C10" s="3540"/>
      <c r="D10" s="3560"/>
      <c r="E10" s="140" t="s">
        <v>2119</v>
      </c>
      <c r="F10" s="2399"/>
      <c r="G10" s="2399"/>
      <c r="H10" s="2399"/>
      <c r="I10" s="1811"/>
    </row>
    <row r="11" spans="1:12" ht="12.75">
      <c r="A11" s="3537"/>
      <c r="B11" s="3466"/>
      <c r="C11" s="3542"/>
      <c r="D11" s="3560"/>
      <c r="E11" s="140" t="s">
        <v>2120</v>
      </c>
      <c r="F11" s="2399"/>
      <c r="G11" s="2399"/>
      <c r="H11" s="2399"/>
      <c r="I11" s="1811"/>
    </row>
    <row r="12" spans="1:12" ht="12.75">
      <c r="A12" s="3537" t="s">
        <v>2121</v>
      </c>
      <c r="B12" s="3466">
        <v>15</v>
      </c>
      <c r="C12" s="3540"/>
      <c r="D12" s="3560"/>
      <c r="E12" s="140" t="s">
        <v>2122</v>
      </c>
      <c r="F12" s="2399"/>
      <c r="G12" s="2399"/>
      <c r="H12" s="2399"/>
      <c r="I12" s="1811"/>
    </row>
    <row r="13" spans="1:12" ht="12.75">
      <c r="A13" s="3537"/>
      <c r="B13" s="3466"/>
      <c r="C13" s="3542"/>
      <c r="D13" s="3560"/>
      <c r="E13" s="140" t="s">
        <v>2123</v>
      </c>
      <c r="F13" s="2399"/>
      <c r="G13" s="2399"/>
      <c r="H13" s="2399"/>
      <c r="I13" s="1811"/>
    </row>
    <row r="14" spans="1:12" ht="12.75">
      <c r="A14" s="3537" t="s">
        <v>2124</v>
      </c>
      <c r="B14" s="3466">
        <v>30</v>
      </c>
      <c r="C14" s="3540">
        <v>6</v>
      </c>
      <c r="D14" s="3560">
        <v>4</v>
      </c>
      <c r="E14" s="140" t="s">
        <v>2125</v>
      </c>
      <c r="F14" s="2399"/>
      <c r="G14" s="2399"/>
      <c r="H14" s="2399"/>
      <c r="I14" s="1811"/>
    </row>
    <row r="15" spans="1:12" ht="12.75">
      <c r="A15" s="3537"/>
      <c r="B15" s="3466"/>
      <c r="C15" s="3541"/>
      <c r="D15" s="3560"/>
      <c r="E15" s="140" t="s">
        <v>2126</v>
      </c>
      <c r="F15" s="2399"/>
      <c r="G15" s="2399"/>
      <c r="H15" s="2399"/>
      <c r="I15" s="1811"/>
    </row>
    <row r="16" spans="1:12" ht="12.75">
      <c r="A16" s="3537"/>
      <c r="B16" s="3466"/>
      <c r="C16" s="3542"/>
      <c r="D16" s="3560"/>
      <c r="E16" s="140" t="s">
        <v>2127</v>
      </c>
      <c r="F16" s="2399"/>
      <c r="G16" s="2399"/>
      <c r="H16" s="2399"/>
      <c r="I16" s="1811"/>
    </row>
    <row r="17" spans="1:35" ht="15">
      <c r="A17" s="2400" t="s">
        <v>2128</v>
      </c>
      <c r="B17" s="64"/>
      <c r="C17" s="141">
        <f>SUM(C5:C16)</f>
        <v>6</v>
      </c>
      <c r="D17" s="141">
        <f>SUM(D5:D16)</f>
        <v>4</v>
      </c>
      <c r="E17" s="138"/>
      <c r="F17" s="138"/>
      <c r="G17" s="138"/>
      <c r="H17" s="138"/>
      <c r="I17" s="138"/>
      <c r="K17" s="2398"/>
      <c r="L17" s="2401" t="s">
        <v>2129</v>
      </c>
      <c r="M17" s="2401" t="s">
        <v>2130</v>
      </c>
    </row>
    <row r="18" spans="1:35" ht="15.75" thickBot="1">
      <c r="A18" s="2402" t="s">
        <v>2131</v>
      </c>
      <c r="B18" s="2403"/>
      <c r="C18" s="142">
        <f>ROUND(C17/SUM(C17:D17),2)</f>
        <v>0.6</v>
      </c>
      <c r="D18" s="142">
        <f>1-C18</f>
        <v>0.4</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5">
      <c r="A19" s="2404" t="s">
        <v>2133</v>
      </c>
      <c r="B19" s="2405" t="s">
        <v>2134</v>
      </c>
      <c r="C19" s="143" t="e">
        <f ca="1">SUMIF(INDIRECT("'"&amp;C4&amp;"'"&amp;"!A:A"),结果表办!B19,INDIRECT("'"&amp;C4&amp;"'"&amp;"!B:B"))</f>
        <v>#REF!</v>
      </c>
      <c r="D19" s="144">
        <f ca="1">SUMIF(INDIRECT("'"&amp;D4&amp;"'"&amp;"!A:A"),结果表办!B19,INDIRECT("'"&amp;D4&amp;"'"&amp;"!B:B"))</f>
        <v>0</v>
      </c>
      <c r="E19" s="2404" t="s">
        <v>2135</v>
      </c>
      <c r="F19" s="2405" t="s">
        <v>2134</v>
      </c>
      <c r="G19" s="145" t="e">
        <f ca="1">ROUND(C19*$C$18+D19*$D$18,0)</f>
        <v>#REF!</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5">
      <c r="A20" s="2407"/>
      <c r="B20" s="1229" t="s">
        <v>2138</v>
      </c>
      <c r="C20" s="146" t="e">
        <f ca="1">SUMIF(INDIRECT("'"&amp;C4&amp;"'"&amp;"!A:A"),结果表办!B20,INDIRECT("'"&amp;C4&amp;"'"&amp;"!B:B"))</f>
        <v>#REF!</v>
      </c>
      <c r="D20" s="147" t="e">
        <f ca="1">SUMIF(INDIRECT("'"&amp;D4&amp;"'"&amp;"!A:A"),结果表办!B20,INDIRECT("'"&amp;D4&amp;"'"&amp;"!B:B"))</f>
        <v>#DIV/0!</v>
      </c>
      <c r="E20" s="2407"/>
      <c r="F20" s="1229" t="s">
        <v>2138</v>
      </c>
      <c r="G20" s="148" t="e">
        <f ca="1">ROUND(C20*$C$18+D20*$D$18,0)</f>
        <v>#REF!</v>
      </c>
      <c r="H20" s="970" t="s">
        <v>2139</v>
      </c>
      <c r="I20" s="138"/>
    </row>
    <row r="21" spans="1:35" ht="15" customHeight="1" thickBot="1">
      <c r="A21" s="990"/>
      <c r="B21" s="2408" t="s">
        <v>2140</v>
      </c>
      <c r="C21" s="784" t="e">
        <f ca="1">ROUND(C19*10000/L19,0)</f>
        <v>#REF!</v>
      </c>
      <c r="D21" s="785" t="e">
        <f ca="1">ROUND(D19*10000/L19,0)</f>
        <v>#DIV/0!</v>
      </c>
      <c r="E21" s="990"/>
      <c r="F21" s="2408" t="s">
        <v>2140</v>
      </c>
      <c r="G21" s="149" t="e">
        <f ca="1">ROUND(G19*10000/L19,0)</f>
        <v>#REF!</v>
      </c>
      <c r="H21" s="2409" t="s">
        <v>2139</v>
      </c>
      <c r="I21" s="138"/>
    </row>
    <row r="22" spans="1:35" ht="15" thickBot="1">
      <c r="A22" s="2254" t="s">
        <v>2141</v>
      </c>
      <c r="B22" s="2410"/>
      <c r="C22" s="2411"/>
      <c r="D22" s="786" t="e">
        <f ca="1">IF(C19&lt;D19,D19/C19-1,C19/D19-1)</f>
        <v>#REF!</v>
      </c>
      <c r="E22" s="138"/>
      <c r="F22" s="138"/>
      <c r="G22" s="138"/>
      <c r="H22" s="138"/>
      <c r="I22" s="138"/>
    </row>
    <row r="23" spans="1:35" ht="13.5" thickBot="1">
      <c r="A23" s="2388"/>
      <c r="B23" s="2388"/>
      <c r="C23" s="2388"/>
      <c r="D23" s="2388"/>
      <c r="E23" s="138"/>
      <c r="F23" s="138"/>
      <c r="G23" s="138"/>
      <c r="H23" s="138"/>
      <c r="I23" s="138"/>
    </row>
    <row r="24" spans="1:35" ht="14.25">
      <c r="A24" s="3531" t="s">
        <v>2142</v>
      </c>
      <c r="B24" s="2405" t="s">
        <v>2134</v>
      </c>
      <c r="C24" s="145">
        <f>IF(B30=0,0,D30)</f>
        <v>0</v>
      </c>
      <c r="D24" s="2412"/>
      <c r="E24" s="138"/>
      <c r="F24" s="138"/>
      <c r="G24" s="138"/>
      <c r="H24" s="138"/>
      <c r="I24" s="138"/>
    </row>
    <row r="25" spans="1:35" ht="14.25">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t="e">
        <f ca="1">IF(D32="总价",G19-C24,G20-C25)</f>
        <v>#REF!</v>
      </c>
      <c r="D32" s="2419" t="s">
        <v>2149</v>
      </c>
      <c r="E32" s="138"/>
      <c r="F32" s="138"/>
      <c r="G32" s="138"/>
      <c r="H32" s="138"/>
      <c r="I32" s="138"/>
    </row>
    <row r="33" spans="1:15" ht="15">
      <c r="A33" s="947" t="s">
        <v>2150</v>
      </c>
      <c r="B33" s="2420"/>
      <c r="C33" s="2421" t="s">
        <v>3636</v>
      </c>
      <c r="D33" s="2422" t="s">
        <v>3047</v>
      </c>
      <c r="E33" s="2423" t="s">
        <v>2151</v>
      </c>
      <c r="F33" s="2923" t="str">
        <f>IF(D32="楼面单价","取值（单价）","取值（总价）")</f>
        <v>取值（总价）</v>
      </c>
      <c r="G33" s="138"/>
      <c r="H33" s="138"/>
      <c r="I33" s="138"/>
    </row>
    <row r="34" spans="1:15" ht="15">
      <c r="A34" s="2425"/>
      <c r="B34" s="2426"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7" t="s">
        <v>2153</v>
      </c>
      <c r="F34" s="1716"/>
      <c r="G34" s="138"/>
      <c r="H34" s="138"/>
      <c r="I34" s="138"/>
    </row>
    <row r="35" spans="1:15" ht="15.75" thickBot="1">
      <c r="A35" s="2428"/>
      <c r="B35" s="2429"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0" t="s">
        <v>2155</v>
      </c>
      <c r="F35" s="163"/>
      <c r="G35" s="138"/>
      <c r="H35" s="138"/>
      <c r="I35" s="138"/>
    </row>
    <row r="36" spans="1:15" ht="15.75" thickBot="1">
      <c r="A36" s="3549" t="s">
        <v>2156</v>
      </c>
      <c r="B36" s="2431" t="s">
        <v>2157</v>
      </c>
      <c r="C36" s="154"/>
      <c r="D36" s="2432"/>
      <c r="E36" s="2433"/>
      <c r="F36" s="2434"/>
      <c r="G36" s="138"/>
      <c r="H36" s="138"/>
      <c r="I36" s="138"/>
    </row>
    <row r="37" spans="1:15" ht="15.75" thickBot="1">
      <c r="A37" s="3550"/>
      <c r="B37" s="2240" t="s">
        <v>2158</v>
      </c>
      <c r="C37" s="156"/>
      <c r="D37" s="1373"/>
      <c r="E37" s="1373"/>
      <c r="F37" s="2434"/>
      <c r="G37" s="138"/>
      <c r="H37" s="138"/>
      <c r="I37" s="138"/>
    </row>
    <row r="38" spans="1:15" ht="15.75" thickBot="1">
      <c r="A38" s="3551"/>
      <c r="B38" s="2435" t="s">
        <v>2159</v>
      </c>
      <c r="C38" s="723"/>
      <c r="D38" s="2436" t="s">
        <v>2160</v>
      </c>
      <c r="E38" s="1373"/>
      <c r="F38" s="2434"/>
      <c r="G38" s="138"/>
      <c r="H38" s="138"/>
      <c r="I38" s="138"/>
    </row>
    <row r="39" spans="1:15" ht="15">
      <c r="A39" s="2407" t="s">
        <v>2161</v>
      </c>
      <c r="B39" s="2437" t="s">
        <v>2144</v>
      </c>
      <c r="C39" s="2438" t="s">
        <v>2145</v>
      </c>
      <c r="D39" s="2438" t="s">
        <v>2164</v>
      </c>
      <c r="E39" s="2439" t="s">
        <v>2146</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t="e">
        <f ca="1">ROUND(H101*F45,0)</f>
        <v>#REF!</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2935">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2935">
        <v>2</v>
      </c>
      <c r="K47" s="3588" t="s">
        <v>2181</v>
      </c>
      <c r="L47" s="3588"/>
      <c r="M47" s="3609">
        <f>'数据-取费表'!B2</f>
        <v>43840</v>
      </c>
      <c r="N47" s="3609"/>
      <c r="O47" s="3609"/>
    </row>
    <row r="48" spans="1:15" ht="25.5">
      <c r="A48" s="3556" t="s">
        <v>2182</v>
      </c>
      <c r="B48" s="3539"/>
      <c r="C48" s="3539"/>
      <c r="D48" s="140">
        <f>IF(H48="情况1",0,IF(H48="情况2",D52,IF(H48="情况3",D53,IF(H48="情况4",D54))))</f>
        <v>0</v>
      </c>
      <c r="E48" s="2927" t="str">
        <f>IF(H48="情况4","(销售额-原购置价)×税（费）率","销售额×税（费）率")</f>
        <v>销售额×税（费）率</v>
      </c>
      <c r="F48" s="175" t="str">
        <f>IF(H48="情况1","免征",'数据-取费表'!B41)</f>
        <v>免征</v>
      </c>
      <c r="G48" s="2451" t="s">
        <v>2183</v>
      </c>
      <c r="H48" s="2452" t="s">
        <v>2184</v>
      </c>
      <c r="I48" s="2450"/>
      <c r="J48" s="2935">
        <v>3</v>
      </c>
      <c r="K48" s="3588" t="s">
        <v>2185</v>
      </c>
      <c r="L48" s="3588"/>
      <c r="M48" s="3610" t="e">
        <f ca="1">H101</f>
        <v>#REF!</v>
      </c>
      <c r="N48" s="3610"/>
      <c r="O48" s="3610"/>
    </row>
    <row r="49" spans="1:35" ht="25.5" customHeight="1">
      <c r="A49" s="176" t="s">
        <v>2186</v>
      </c>
      <c r="B49" s="3524" t="s">
        <v>2187</v>
      </c>
      <c r="C49" s="3524"/>
      <c r="D49" s="177">
        <v>0</v>
      </c>
      <c r="E49" s="23" t="s">
        <v>2188</v>
      </c>
      <c r="F49" s="28" t="s">
        <v>34</v>
      </c>
      <c r="G49" s="3594"/>
      <c r="H49" s="138"/>
      <c r="I49" s="2453"/>
      <c r="J49" s="2935">
        <v>4</v>
      </c>
      <c r="K49" s="3588" t="str">
        <f>IF(项目基本情况!E8="房地产抵押价值","房地产抵押价值","抵押担保权已注销时的房地产抵押价值")</f>
        <v>房地产抵押价值</v>
      </c>
      <c r="L49" s="3588"/>
      <c r="M49" s="3610" t="e">
        <f ca="1">IF(项目基本情况!E8="房地产抵押价值",H107,H109)</f>
        <v>#REF!</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2934" t="s">
        <v>2192</v>
      </c>
      <c r="K51" s="3588" t="s">
        <v>2193</v>
      </c>
      <c r="L51" s="3588"/>
      <c r="M51" s="2934" t="s">
        <v>2194</v>
      </c>
      <c r="N51" s="2934" t="s">
        <v>2195</v>
      </c>
      <c r="O51" s="2934" t="s">
        <v>2196</v>
      </c>
    </row>
    <row r="52" spans="1:35" ht="24" customHeight="1">
      <c r="A52" s="183" t="s">
        <v>2197</v>
      </c>
      <c r="B52" s="3524" t="s">
        <v>2198</v>
      </c>
      <c r="C52" s="3524"/>
      <c r="D52" s="182" t="e">
        <f ca="1">ROUND(D45*'数据-取费表'!B41/(1+'数据-取费表'!C42),0)</f>
        <v>#REF!</v>
      </c>
      <c r="E52" s="11" t="s">
        <v>2199</v>
      </c>
      <c r="F52" s="184">
        <f>'数据-取费表'!B41</f>
        <v>5.6000000000000001E-2</v>
      </c>
      <c r="G52" s="2455"/>
      <c r="H52" s="138"/>
      <c r="I52" s="2453"/>
      <c r="J52" s="2935">
        <v>1</v>
      </c>
      <c r="K52" s="3589" t="s">
        <v>2200</v>
      </c>
      <c r="L52" s="3589"/>
      <c r="M52" s="1731">
        <f>D48</f>
        <v>0</v>
      </c>
      <c r="N52" s="2935" t="str">
        <f>E48</f>
        <v>销售额×税（费）率</v>
      </c>
      <c r="O52" s="1732" t="str">
        <f>F48</f>
        <v>免征</v>
      </c>
    </row>
    <row r="53" spans="1:35" ht="12" customHeight="1">
      <c r="A53" s="183" t="s">
        <v>2201</v>
      </c>
      <c r="B53" s="3547" t="s">
        <v>2202</v>
      </c>
      <c r="C53" s="3548"/>
      <c r="D53" s="182" t="e">
        <f ca="1">ROUND(D45*'数据-取费表'!B41/(1+'数据-取费表'!C42),0)</f>
        <v>#REF!</v>
      </c>
      <c r="E53" s="11" t="s">
        <v>2199</v>
      </c>
      <c r="F53" s="184">
        <f>'数据-取费表'!B41</f>
        <v>5.6000000000000001E-2</v>
      </c>
      <c r="G53" s="2455"/>
      <c r="H53" s="138"/>
      <c r="I53" s="2453"/>
      <c r="J53" s="2935">
        <v>2</v>
      </c>
      <c r="K53" s="3589" t="s">
        <v>2203</v>
      </c>
      <c r="L53" s="3589"/>
      <c r="M53" s="1731" t="e">
        <f t="shared" ref="M53:O54" ca="1" si="0">D55</f>
        <v>#REF!</v>
      </c>
      <c r="N53" s="2935" t="str">
        <f t="shared" si="0"/>
        <v>销售额×税（费）率</v>
      </c>
      <c r="O53" s="1732">
        <f t="shared" si="0"/>
        <v>5.0000000000000001E-4</v>
      </c>
    </row>
    <row r="54" spans="1:35" ht="12" customHeight="1">
      <c r="A54" s="183" t="s">
        <v>2204</v>
      </c>
      <c r="B54" s="3547" t="s">
        <v>2205</v>
      </c>
      <c r="C54" s="3548"/>
      <c r="D54" s="182" t="e">
        <f ca="1">C68</f>
        <v>#REF!</v>
      </c>
      <c r="E54" s="30" t="s">
        <v>2206</v>
      </c>
      <c r="F54" s="184">
        <f>'数据-取费表'!B41</f>
        <v>5.6000000000000001E-2</v>
      </c>
      <c r="G54" s="2455"/>
      <c r="H54" s="2456"/>
      <c r="I54" s="2453"/>
      <c r="J54" s="2935">
        <v>3</v>
      </c>
      <c r="K54" s="3589" t="s">
        <v>2207</v>
      </c>
      <c r="L54" s="3589"/>
      <c r="M54" s="1731" t="e">
        <f t="shared" ca="1" si="0"/>
        <v>#REF!</v>
      </c>
      <c r="N54" s="2935" t="str">
        <f t="shared" si="0"/>
        <v>增值额×税（费）率</v>
      </c>
      <c r="O54" s="1733" t="str">
        <f t="shared" si="0"/>
        <v>——</v>
      </c>
    </row>
    <row r="55" spans="1:35" ht="24" customHeight="1">
      <c r="A55" s="3538" t="s">
        <v>2208</v>
      </c>
      <c r="B55" s="3539"/>
      <c r="C55" s="3539"/>
      <c r="D55" s="185" t="e">
        <f ca="1">IF(H55="个人住宅",0,ROUND(D45*I55,0))</f>
        <v>#REF!</v>
      </c>
      <c r="E55" s="11" t="s">
        <v>2209</v>
      </c>
      <c r="F55" s="184">
        <f>IF(H55="正常",I55,"免征")</f>
        <v>5.0000000000000001E-4</v>
      </c>
      <c r="G55" s="2455"/>
      <c r="H55" s="2452" t="s">
        <v>2210</v>
      </c>
      <c r="I55" s="186">
        <f>'数据-取费表'!B49</f>
        <v>5.0000000000000001E-4</v>
      </c>
      <c r="J55" s="2935" t="str">
        <f>IF(H59="非个人房产","",4)</f>
        <v/>
      </c>
      <c r="K55" s="3589" t="str">
        <f>IF(H59="非个人房产","——","个人所得税")</f>
        <v>——</v>
      </c>
      <c r="L55" s="3589"/>
      <c r="M55" s="1734" t="str">
        <f>D59</f>
        <v>——</v>
      </c>
      <c r="N55" s="2936" t="str">
        <f>E59</f>
        <v>——</v>
      </c>
      <c r="O55" s="1735" t="str">
        <f>F59</f>
        <v>——</v>
      </c>
    </row>
    <row r="56" spans="1:35" ht="24.75">
      <c r="A56" s="3538" t="s">
        <v>2211</v>
      </c>
      <c r="B56" s="3539"/>
      <c r="C56" s="3539"/>
      <c r="D56" s="185" t="e">
        <f ca="1">IF(H56="个人住宅",D57,D58)</f>
        <v>#REF!</v>
      </c>
      <c r="E56" s="11" t="s">
        <v>2212</v>
      </c>
      <c r="F56" s="184" t="str">
        <f>IF(H56="正常",F58,"免征")</f>
        <v>——</v>
      </c>
      <c r="G56" s="2457" t="s">
        <v>2213</v>
      </c>
      <c r="H56" s="2458" t="s">
        <v>2210</v>
      </c>
      <c r="I56" s="2459"/>
      <c r="J56" s="2935"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2.75">
      <c r="A57" s="183" t="s">
        <v>2186</v>
      </c>
      <c r="B57" s="3554" t="s">
        <v>2214</v>
      </c>
      <c r="C57" s="3563"/>
      <c r="D57" s="187">
        <v>0</v>
      </c>
      <c r="E57" s="23" t="s">
        <v>2188</v>
      </c>
      <c r="F57" s="155"/>
      <c r="G57" s="2455"/>
      <c r="H57" s="2459"/>
      <c r="I57" s="2459"/>
      <c r="J57" s="3589">
        <f>IF(AND(J55="",J56=""),4,IF(项目基本情况!K6="上海银行",结果表办!J56+1,结果表办!J55+1))</f>
        <v>4</v>
      </c>
      <c r="K57" s="3589" t="s">
        <v>2215</v>
      </c>
      <c r="L57" s="2460" t="s">
        <v>2216</v>
      </c>
      <c r="M57" s="1736"/>
      <c r="N57" s="1737">
        <f ca="1">SUMIF(M52:M56,"&lt;9e307")</f>
        <v>0</v>
      </c>
      <c r="O57" s="2461"/>
      <c r="P57" s="1730" t="e">
        <f ca="1">N57/M49</f>
        <v>#REF!</v>
      </c>
    </row>
    <row r="58" spans="1:35" ht="24.75">
      <c r="A58" s="183" t="s">
        <v>2197</v>
      </c>
      <c r="B58" s="3554" t="s">
        <v>2217</v>
      </c>
      <c r="C58" s="3555"/>
      <c r="D58" s="185" t="e">
        <f ca="1">IF(H58="转让取得",C81,C97)</f>
        <v>#REF!</v>
      </c>
      <c r="E58" s="11" t="s">
        <v>2212</v>
      </c>
      <c r="F58" s="24" t="s">
        <v>34</v>
      </c>
      <c r="G58" s="2455"/>
      <c r="H58" s="2458" t="s">
        <v>2218</v>
      </c>
      <c r="I58" s="2459"/>
      <c r="J58" s="3589"/>
      <c r="K58" s="3589"/>
      <c r="L58" s="2460" t="s">
        <v>2219</v>
      </c>
      <c r="M58" s="1738"/>
      <c r="N58" s="2462" t="str">
        <f ca="1">NUMBERSTRING(INT(N57*10000),2)&amp;"元整"</f>
        <v>零元整</v>
      </c>
      <c r="O58" s="2463"/>
    </row>
    <row r="59" spans="1:35" ht="24.75"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2935" t="s">
        <v>2216</v>
      </c>
      <c r="M59" s="1739"/>
      <c r="N59" s="1740" t="e">
        <f ca="1">M49-N57</f>
        <v>#REF!</v>
      </c>
      <c r="O59" s="2465"/>
    </row>
    <row r="60" spans="1:35" ht="12" customHeight="1">
      <c r="A60" s="2466"/>
      <c r="B60" s="2388"/>
      <c r="C60" s="2388"/>
      <c r="D60" s="2388"/>
      <c r="E60" s="2140"/>
      <c r="F60" s="2459"/>
      <c r="G60" s="2459"/>
      <c r="H60" s="2467"/>
      <c r="I60" s="138"/>
      <c r="J60" s="3591"/>
      <c r="K60" s="3589"/>
      <c r="L60" s="2460" t="s">
        <v>2219</v>
      </c>
      <c r="M60" s="1738"/>
      <c r="N60" s="2462" t="e">
        <f ca="1">NUMBERSTRING(INT(N59*10000),2)&amp;"元整"</f>
        <v>#REF!</v>
      </c>
      <c r="O60" s="2463"/>
    </row>
    <row r="61" spans="1:35" ht="13.5" thickBot="1">
      <c r="A61" s="3536" t="s">
        <v>2223</v>
      </c>
      <c r="B61" s="3536"/>
      <c r="C61" s="3536"/>
      <c r="D61" s="3536"/>
      <c r="E61" s="3536"/>
      <c r="F61" s="2459"/>
      <c r="G61" s="2459"/>
      <c r="H61" s="2467"/>
      <c r="I61" s="138"/>
      <c r="J61" s="2935">
        <f>J59+1</f>
        <v>6</v>
      </c>
      <c r="K61" s="3589" t="s">
        <v>2224</v>
      </c>
      <c r="L61" s="3589"/>
      <c r="M61" s="1741"/>
      <c r="N61" s="1742" t="e">
        <f ca="1">ROUND(N59*10000/'数据-汇总表'!E3,0)</f>
        <v>#REF!</v>
      </c>
      <c r="O61" s="2468"/>
    </row>
    <row r="62" spans="1:35" ht="12.75">
      <c r="A62" s="3552" t="s">
        <v>2225</v>
      </c>
      <c r="B62" s="3553"/>
      <c r="C62" s="2930"/>
      <c r="D62" s="2930" t="s">
        <v>2226</v>
      </c>
      <c r="E62" s="192" t="s">
        <v>2227</v>
      </c>
      <c r="F62" s="2459"/>
      <c r="G62" s="2459"/>
      <c r="H62" s="2467"/>
      <c r="I62" s="138"/>
    </row>
    <row r="63" spans="1:35" ht="12.75">
      <c r="A63" s="203" t="s">
        <v>775</v>
      </c>
      <c r="B63" s="193" t="s">
        <v>2228</v>
      </c>
      <c r="C63" s="194" t="e">
        <f ca="1">ROUND((C64+C65)/(1+'数据-取费表'!C42),0)</f>
        <v>#REF!</v>
      </c>
      <c r="D63" s="195"/>
      <c r="E63" s="196"/>
      <c r="F63" s="2459"/>
      <c r="G63" s="2459"/>
      <c r="H63" s="2467"/>
      <c r="I63" s="138"/>
      <c r="J63" s="3614" t="s">
        <v>2229</v>
      </c>
      <c r="K63" s="2939" t="s">
        <v>2230</v>
      </c>
      <c r="L63" s="1729" t="e">
        <f ca="1">IF(M49&gt;10000,M49*0.5%,IF(AND(M49&gt;1000,M49&lt;=10000),M49*1%,IF(AND(M49&gt;100,M49&lt;=1000),M49*3%,IF(AND(M49&gt;10,M49&lt;=100),M49*5%,M49*8%))))</f>
        <v>#REF!</v>
      </c>
      <c r="M63" s="24" t="e">
        <f ca="1">ROUND(L63,1)</f>
        <v>#REF!</v>
      </c>
      <c r="Z63" s="2393"/>
      <c r="AI63" s="2394"/>
    </row>
    <row r="64" spans="1:35" ht="14.25" customHeight="1">
      <c r="A64" s="197" t="s">
        <v>770</v>
      </c>
      <c r="B64" s="198" t="s">
        <v>2231</v>
      </c>
      <c r="C64" s="199" t="e">
        <f ca="1">D45</f>
        <v>#REF!</v>
      </c>
      <c r="D64" s="200" t="s">
        <v>32</v>
      </c>
      <c r="E64" s="201"/>
      <c r="F64" s="2459"/>
      <c r="G64" s="2459"/>
      <c r="H64" s="2467"/>
      <c r="I64" s="138"/>
      <c r="J64" s="3614"/>
      <c r="K64" s="2939" t="s">
        <v>2232</v>
      </c>
      <c r="L64" s="172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2233</v>
      </c>
      <c r="Z64" s="2393"/>
      <c r="AI64" s="2394"/>
    </row>
    <row r="65" spans="1:35" ht="14.25" customHeight="1">
      <c r="A65" s="197" t="s">
        <v>771</v>
      </c>
      <c r="B65" s="198" t="s">
        <v>2234</v>
      </c>
      <c r="C65" s="202"/>
      <c r="D65" s="200"/>
      <c r="E65" s="201"/>
      <c r="F65" s="2459"/>
      <c r="G65" s="2459"/>
      <c r="H65" s="2467"/>
      <c r="I65" s="138"/>
      <c r="J65" s="3614"/>
      <c r="K65" s="2939" t="s">
        <v>2235</v>
      </c>
      <c r="L65" s="1729" t="e">
        <f ca="1">IF(M49&gt;1000,M49*0.1%,IF(AND(M49&gt;500,M49&lt;=1000),M49*0.5%,IF(AND(M49&gt;50,M49&lt;=500),M49*1%,IF(AND(M49&gt;1,M49&lt;=50),M49*1.5%))))</f>
        <v>#REF!</v>
      </c>
      <c r="M65" s="24" t="e">
        <f t="shared" ca="1" si="1"/>
        <v>#REF!</v>
      </c>
      <c r="N65" s="138" t="s">
        <v>2233</v>
      </c>
      <c r="Z65" s="2393"/>
      <c r="AI65" s="2394"/>
    </row>
    <row r="66" spans="1:35" ht="14.25" customHeight="1">
      <c r="A66" s="203" t="s">
        <v>772</v>
      </c>
      <c r="B66" s="204" t="s">
        <v>2236</v>
      </c>
      <c r="C66" s="205"/>
      <c r="D66" s="206" t="s">
        <v>32</v>
      </c>
      <c r="E66" s="1753" t="s">
        <v>1360</v>
      </c>
      <c r="F66" s="2459"/>
      <c r="G66" s="2459"/>
      <c r="H66" s="2467"/>
      <c r="I66" s="138"/>
      <c r="J66" s="3614"/>
      <c r="K66" s="2939" t="s">
        <v>2237</v>
      </c>
      <c r="L66" s="1729" t="e">
        <f ca="1">M49*0.5%</f>
        <v>#REF!</v>
      </c>
      <c r="M66" s="24" t="e">
        <f ca="1">IF(L66&gt;0.5,0.5,ROUND(L66,0))</f>
        <v>#REF!</v>
      </c>
      <c r="N66" s="138" t="s">
        <v>2238</v>
      </c>
      <c r="Z66" s="2393"/>
      <c r="AI66" s="2394"/>
    </row>
    <row r="67" spans="1:35" ht="14.25" customHeight="1">
      <c r="A67" s="203" t="s">
        <v>773</v>
      </c>
      <c r="B67" s="204" t="s">
        <v>2239</v>
      </c>
      <c r="C67" s="207" t="e">
        <f ca="1">C63-C66</f>
        <v>#REF!</v>
      </c>
      <c r="D67" s="200" t="s">
        <v>32</v>
      </c>
      <c r="E67" s="201"/>
      <c r="F67" s="2459"/>
      <c r="G67" s="2459"/>
      <c r="H67" s="2467"/>
      <c r="I67" s="138"/>
      <c r="J67" s="3614"/>
      <c r="K67" s="2939" t="s">
        <v>2240</v>
      </c>
      <c r="L67" s="172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393"/>
      <c r="AI67" s="2394"/>
    </row>
    <row r="68" spans="1:35" ht="14.25" customHeight="1" thickBot="1">
      <c r="A68" s="208" t="s">
        <v>774</v>
      </c>
      <c r="B68" s="209" t="s">
        <v>2241</v>
      </c>
      <c r="C68" s="210" t="e">
        <f ca="1">IF(C67&lt;=0,0,ROUND(C67*D68,0))</f>
        <v>#REF!</v>
      </c>
      <c r="D68" s="211">
        <f>'数据-取费表'!B41</f>
        <v>5.6000000000000001E-2</v>
      </c>
      <c r="E68" s="212"/>
      <c r="F68" s="2459"/>
      <c r="G68" s="2459"/>
      <c r="H68" s="2467"/>
      <c r="I68" s="138"/>
      <c r="J68" s="3614"/>
      <c r="K68" s="2939" t="s">
        <v>2242</v>
      </c>
      <c r="L68" s="1729" t="e">
        <f ca="1">IF(M49&gt;10000,M49*0.5%,IF(AND(M49&gt;5000,M49&lt;=10000),M49*1%,IF(AND(M49&gt;1000,M49&lt;=5000),M49*2%,IF(AND(M49&gt;200,M49&lt;=1000),M49*3%,M49*5%))))</f>
        <v>#REF!</v>
      </c>
      <c r="M68" s="24" t="e">
        <f ca="1">ROUND(L68,1)</f>
        <v>#REF!</v>
      </c>
      <c r="Z68" s="2393"/>
      <c r="AI68" s="2394"/>
    </row>
    <row r="69" spans="1:35" s="2416" customFormat="1" ht="16.5" customHeight="1">
      <c r="A69" s="2470"/>
      <c r="B69" s="2471"/>
      <c r="C69" s="2472"/>
      <c r="D69" s="2473"/>
      <c r="E69" s="2474"/>
      <c r="F69" s="2140"/>
      <c r="G69" s="2140"/>
      <c r="H69" s="2139"/>
      <c r="I69" s="2388"/>
      <c r="J69" s="3614"/>
      <c r="K69" s="2939" t="s">
        <v>2243</v>
      </c>
      <c r="L69" s="2475"/>
      <c r="M69" s="24" t="e">
        <f ca="1">ROUND(SUM(M63:M68),0)</f>
        <v>#REF!</v>
      </c>
      <c r="N69" s="1730" t="e">
        <f ca="1">M69/M49</f>
        <v>#REF!</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52" t="s">
        <v>2225</v>
      </c>
      <c r="B71" s="3553"/>
      <c r="C71" s="2930"/>
      <c r="D71" s="2930"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t="e">
        <f ca="1">ROUND(D45/(1+'数据-取费表'!C42),0)</f>
        <v>#REF!</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t="e">
        <f ca="1">C74+C78</f>
        <v>#REF!</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2940" t="s">
        <v>2255</v>
      </c>
      <c r="F77" s="224"/>
      <c r="G77" s="2483" t="s">
        <v>2256</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#REF!</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773</v>
      </c>
      <c r="B79" s="204" t="s">
        <v>2259</v>
      </c>
      <c r="C79" s="207" t="e">
        <f ca="1">C72-C73</f>
        <v>#REF!</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#REF!</v>
      </c>
      <c r="D80" s="200" t="s">
        <v>32</v>
      </c>
      <c r="E80" s="2940" t="e">
        <f ca="1">IF(C80&gt;=200%,"增值额超过扣除项目金额200%",IF(C80&gt;=100%,"增值额超过扣除项目金额100%，未超过200%",IF(C80&gt;=50%,"增值额超过扣除项目金额50%，未超过100%",IF(C80&lt;50%,"增值额未超过扣除项目金额50%"))))</f>
        <v>#REF!</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52" t="s">
        <v>2225</v>
      </c>
      <c r="B84" s="3553"/>
      <c r="C84" s="2930"/>
      <c r="D84" s="2930"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t="e">
        <f ca="1">ROUND(D45/(1+'数据-取费表'!C42),0)</f>
        <v>#REF!</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t="e">
        <f ca="1">IF(H88="仅含出让金",C87+C90+C91+C92+C93+C94,C87+C91+C92+C93+C94)</f>
        <v>#REF!</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c r="D88" s="226"/>
      <c r="E88" s="237" t="s">
        <v>2265</v>
      </c>
      <c r="F88" s="2926"/>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0</v>
      </c>
      <c r="D89" s="226">
        <f>'数据-取费表'!B48+'数据-取费表'!B49</f>
        <v>3.0499999999999999E-2</v>
      </c>
      <c r="E89" s="237" t="s">
        <v>2267</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33" t="s">
        <v>2271</v>
      </c>
      <c r="F91" s="3534"/>
      <c r="G91" s="3534"/>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#REF!</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773</v>
      </c>
      <c r="B95" s="204" t="s">
        <v>2259</v>
      </c>
      <c r="C95" s="207" t="e">
        <f ca="1">ROUND(C85-C86,0)</f>
        <v>#REF!</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#REF!</v>
      </c>
      <c r="D96" s="200" t="s">
        <v>32</v>
      </c>
      <c r="E96" s="2940" t="e">
        <f ca="1">IF(C96&gt;=200%,"增值额超过扣除项目金额200%",IF(C96&gt;=100%,"增值额超过扣除项目金额100%，未超过200%",IF(C96&gt;=50%,"增值额超过扣除项目金额50%，未超过100%",IF(C96&lt;50%,"增值额未超过扣除项目金额50%"))))</f>
        <v>#REF!</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典型户型修正办</v>
      </c>
      <c r="D101" s="733" t="str">
        <f>D4</f>
        <v>收益法办（汇总）</v>
      </c>
      <c r="E101" s="3611" t="s">
        <v>2284</v>
      </c>
      <c r="F101" s="3565"/>
      <c r="G101" s="2490" t="s">
        <v>2285</v>
      </c>
      <c r="H101" s="1035" t="e">
        <f ca="1">H118</f>
        <v>#REF!</v>
      </c>
      <c r="I101" s="138"/>
    </row>
    <row r="102" spans="1:35" ht="18.75" customHeight="1">
      <c r="A102" s="3567" t="s">
        <v>2286</v>
      </c>
      <c r="B102" s="2490" t="s">
        <v>2285</v>
      </c>
      <c r="C102" s="732" t="e">
        <f ca="1">C19</f>
        <v>#REF!</v>
      </c>
      <c r="D102" s="733">
        <f ca="1">D19</f>
        <v>0</v>
      </c>
      <c r="E102" s="3611"/>
      <c r="F102" s="3565"/>
      <c r="G102" s="2490" t="s">
        <v>2287</v>
      </c>
      <c r="H102" s="371" t="e">
        <f ca="1">I118</f>
        <v>#REF!</v>
      </c>
      <c r="I102" s="138"/>
    </row>
    <row r="103" spans="1:35" ht="42.75" customHeight="1">
      <c r="A103" s="3567"/>
      <c r="B103" s="2490" t="s">
        <v>2287</v>
      </c>
      <c r="C103" s="734" t="e">
        <f ca="1">C20</f>
        <v>#REF!</v>
      </c>
      <c r="D103" s="735" t="e">
        <f ca="1">D20</f>
        <v>#DIV/0!</v>
      </c>
      <c r="E103" s="3606" t="s">
        <v>2288</v>
      </c>
      <c r="F103" s="3607"/>
      <c r="G103" s="2491" t="s">
        <v>2289</v>
      </c>
      <c r="H103" s="1035">
        <f>IF(D36="正常操作",H104+H105+H106,H105+H106)</f>
        <v>0</v>
      </c>
      <c r="I103" s="138"/>
    </row>
    <row r="104" spans="1:35" ht="18.75" customHeight="1">
      <c r="A104" s="3567" t="s">
        <v>2290</v>
      </c>
      <c r="B104" s="2492" t="s">
        <v>2285</v>
      </c>
      <c r="C104" s="736" t="e">
        <f ca="1">H118</f>
        <v>#REF!</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t="e">
        <f ca="1">I118</f>
        <v>#REF!</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t="e">
        <f ca="1">IF(E107="——","——",H101-H103)</f>
        <v>#REF!</v>
      </c>
      <c r="I107" s="138"/>
    </row>
    <row r="108" spans="1:35" ht="18.75" customHeight="1">
      <c r="A108" s="138"/>
      <c r="B108" s="138"/>
      <c r="C108" s="138"/>
      <c r="D108" s="138"/>
      <c r="E108" s="3564"/>
      <c r="F108" s="3565"/>
      <c r="G108" s="2490" t="s">
        <v>2287</v>
      </c>
      <c r="H108" s="371" t="e">
        <f ca="1">ROUND(H107*10000/'数据-汇总表'!E3,0)</f>
        <v>#REF!</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2300</v>
      </c>
      <c r="G116" s="3578"/>
      <c r="H116" s="3466" t="s">
        <v>2301</v>
      </c>
      <c r="I116" s="3466"/>
    </row>
    <row r="117" spans="1:11" ht="18.75" customHeight="1">
      <c r="A117" s="3466"/>
      <c r="B117" s="3571"/>
      <c r="C117" s="3571"/>
      <c r="D117" s="2922" t="s">
        <v>2302</v>
      </c>
      <c r="E117" s="2922" t="s">
        <v>2303</v>
      </c>
      <c r="F117" s="2922" t="s">
        <v>2302</v>
      </c>
      <c r="G117" s="2922" t="s">
        <v>2304</v>
      </c>
      <c r="H117" s="2922" t="s">
        <v>2302</v>
      </c>
      <c r="I117" s="2922" t="s">
        <v>2304</v>
      </c>
    </row>
    <row r="118" spans="1:11" ht="24.75" customHeight="1">
      <c r="A118" s="2496" t="str">
        <f>项目基本情况!S2</f>
        <v>山东省聊城万达欢乐小镇（万达广场）二层房地产</v>
      </c>
      <c r="B118" s="2922">
        <f>M18</f>
        <v>0</v>
      </c>
      <c r="C118" s="2922">
        <f>M19</f>
        <v>0</v>
      </c>
      <c r="D118" s="2922" t="e">
        <f ca="1">ROUND(IF(D32="总价",C34,E118*B118/10000),0)</f>
        <v>#REF!</v>
      </c>
      <c r="E118" s="2922" t="e">
        <f ca="1">ROUND(IF(C33="自定义",IF(D32="楼面单价",C34,D118*10000/B118),I118-G118),0)</f>
        <v>#REF!</v>
      </c>
      <c r="F118" s="2922" t="e">
        <f ca="1">ROUND(IF(D32="总价",C35,G118*B118/10000),0)</f>
        <v>#REF!</v>
      </c>
      <c r="G118" s="2922" t="e">
        <f ca="1">ROUND(IF(D32="楼面单价",C35,F118*10000/B118),0)</f>
        <v>#REF!</v>
      </c>
      <c r="H118" s="2922" t="e">
        <f ca="1">ROUND(IF(D32="总价",C32,I118*B118/10000),0)</f>
        <v>#REF!</v>
      </c>
      <c r="I118" s="2922" t="e">
        <f ca="1">ROUND(IF(D32="楼面单价",C32,H118*10000/B118),0)</f>
        <v>#REF!</v>
      </c>
    </row>
    <row r="119" spans="1:11" ht="18.75" customHeight="1">
      <c r="A119" s="3466" t="s">
        <v>2305</v>
      </c>
      <c r="B119" s="3466"/>
      <c r="C119" s="3466"/>
      <c r="D119" s="3575" t="e">
        <f ca="1">NUMBERSTRING(INT(D118*10000),2)&amp;"元整"</f>
        <v>#REF!</v>
      </c>
      <c r="E119" s="3577"/>
      <c r="F119" s="3575" t="e">
        <f ca="1">NUMBERSTRING(INT(F118*10000),2)&amp;"元整"</f>
        <v>#REF!</v>
      </c>
      <c r="G119" s="3577"/>
      <c r="H119" s="3575" t="e">
        <f ca="1">NUMBERSTRING(INT(H118*10000),2)&amp;"元整"</f>
        <v>#REF!</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t="e">
        <f ca="1">H107</f>
        <v>#REF!</v>
      </c>
      <c r="E122" s="3604"/>
      <c r="F122" s="3604"/>
      <c r="G122" s="3604"/>
      <c r="H122" s="3604"/>
      <c r="I122" s="3605"/>
    </row>
    <row r="123" spans="1:11" ht="18.75" customHeight="1">
      <c r="A123" s="3466" t="s">
        <v>2305</v>
      </c>
      <c r="B123" s="3466"/>
      <c r="C123" s="3466"/>
      <c r="D123" s="3575" t="e">
        <f ca="1">NUMBERSTRING(INT(D122*10000),2)&amp;"元整"</f>
        <v>#REF!</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v>
      </c>
    </row>
    <row r="4" spans="1:1" ht="36">
      <c r="A4" s="1927" t="str">
        <f>"受贵公司委托，我公司对"&amp;项目基本情况!S1&amp;"进行了预评估。"</f>
        <v>受贵公司委托，我公司对山东省聊城万达欢乐小镇（万达广场）二层房地产抵押价值进行了预评估。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估价对象为山东省聊城万达欢乐小镇（万达广场）二层房地产，为所有。根据《国有土地使用证》[]，估价对象（分摊）出让国有建设用地使用权面积为15134.65平方米，建筑面积为24348.57平方米。</v>
      </c>
    </row>
    <row r="8" spans="1:1" ht="57.75">
      <c r="A8" s="1930" t="s">
        <v>1602</v>
      </c>
    </row>
    <row r="9" spans="1:1" ht="18.75">
      <c r="A9" s="1929" t="s">
        <v>1603</v>
      </c>
    </row>
    <row r="10" spans="1:1" ht="54">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聊城万达欢乐小镇（万达广场）二层房地产,属开发建设的，该项目尚在开发建设中。根据《国有土地使用证》[]，估价对象（分摊）出让国有建设用地使用权面积为15134.65平方米，规划建筑面积为24348.57平方米。</v>
      </c>
    </row>
    <row r="11" spans="1:1" ht="76.5">
      <c r="A11" s="1930" t="s">
        <v>1604</v>
      </c>
    </row>
    <row r="12" spans="1:1" ht="18.75">
      <c r="A12" s="1928" t="s">
        <v>1605</v>
      </c>
    </row>
    <row r="13" spans="1:1" ht="38.25" customHeight="1">
      <c r="A13" s="1931" t="str">
        <f>IF(项目基本情况!B8="抵押",IF(项目基本情况!B5=项目基本情况!B6,定义!C51,定义!B51),定义!D51)</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2020年1月10日（评估专业人员实地查勘之日）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10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本次评估采用的主估价方法为比较法和收益法。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1" t="s">
        <v>2674</v>
      </c>
      <c r="C1" s="1600" t="s">
        <v>2518</v>
      </c>
      <c r="D1" s="1601" t="s">
        <v>27</v>
      </c>
      <c r="E1" s="1610"/>
      <c r="F1" s="2556"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IF(C2="——",ROUND(C50*D3/10000,0),ROUND(C50*D3/10000,0)-D2)</f>
        <v>#REF!</v>
      </c>
      <c r="C2" s="2558" t="s">
        <v>70</v>
      </c>
      <c r="D2" s="1347" t="e">
        <f ca="1">SUMIF(INDIRECT("'"&amp;F2&amp;"'"&amp;"!A:A"),"承租人权益价值",INDIRECT("'"&amp;F2&amp;"'"&amp;"!c:c"))</f>
        <v>#REF!</v>
      </c>
      <c r="E2" s="2559" t="s">
        <v>2316</v>
      </c>
      <c r="F2" s="2560"/>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IF(C2="——",C50,ROUND(B2*10000/D3,0))</f>
        <v>#REF!</v>
      </c>
      <c r="C3" s="399" t="s">
        <v>2632</v>
      </c>
      <c r="D3" s="398">
        <f>IF(D1="",'数据-汇总表'!E3,SUMIF('数据-汇总表'!$C19:$C33,D1,'数据-汇总表'!$E19:$E33))</f>
        <v>0</v>
      </c>
      <c r="E3" s="2635"/>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726" t="s">
        <v>2639</v>
      </c>
      <c r="Q4" s="3727"/>
      <c r="R4" s="3730" t="s">
        <v>2635</v>
      </c>
      <c r="S4" s="3731"/>
      <c r="T4" s="3730" t="s">
        <v>2636</v>
      </c>
      <c r="U4" s="3731"/>
      <c r="V4" s="3732" t="s">
        <v>2637</v>
      </c>
      <c r="W4" s="3732"/>
      <c r="X4" s="2642"/>
      <c r="Y4" s="3730" t="s">
        <v>2639</v>
      </c>
      <c r="Z4" s="3731"/>
      <c r="AA4" s="3736" t="s">
        <v>2635</v>
      </c>
      <c r="AB4" s="3736" t="s">
        <v>2636</v>
      </c>
      <c r="AC4" s="3723" t="s">
        <v>2637</v>
      </c>
    </row>
    <row r="5" spans="1:29" ht="15">
      <c r="A5" s="403"/>
      <c r="B5" s="404"/>
      <c r="C5" s="3734" t="s">
        <v>3043</v>
      </c>
      <c r="D5" s="3735"/>
      <c r="E5" s="3701" t="s">
        <v>3655</v>
      </c>
      <c r="F5" s="3702"/>
      <c r="G5" s="3701" t="s">
        <v>3638</v>
      </c>
      <c r="H5" s="3702"/>
      <c r="I5" s="3701" t="s">
        <v>3657</v>
      </c>
      <c r="J5" s="3702"/>
      <c r="K5" s="609"/>
      <c r="L5" s="1113"/>
      <c r="M5" s="1114"/>
      <c r="N5" s="1114"/>
      <c r="O5" s="1114"/>
      <c r="P5" s="3728"/>
      <c r="Q5" s="3690"/>
      <c r="R5" s="3695"/>
      <c r="S5" s="3696"/>
      <c r="T5" s="3695"/>
      <c r="U5" s="3696"/>
      <c r="V5" s="3678"/>
      <c r="W5" s="3678"/>
      <c r="X5" s="1793"/>
      <c r="Y5" s="3695"/>
      <c r="Z5" s="3696"/>
      <c r="AA5" s="3681"/>
      <c r="AB5" s="3681"/>
      <c r="AC5" s="3724"/>
    </row>
    <row r="6" spans="1:29" ht="15.75" thickBot="1">
      <c r="A6" s="405"/>
      <c r="B6" s="406"/>
      <c r="C6" s="3699" t="s">
        <v>2534</v>
      </c>
      <c r="D6" s="3700"/>
      <c r="E6" s="3706" t="s">
        <v>2534</v>
      </c>
      <c r="F6" s="3707"/>
      <c r="G6" s="3699" t="s">
        <v>2534</v>
      </c>
      <c r="H6" s="3700"/>
      <c r="I6" s="3699" t="s">
        <v>2534</v>
      </c>
      <c r="J6" s="3700"/>
      <c r="K6" s="609" t="s">
        <v>2535</v>
      </c>
      <c r="L6" s="1113"/>
      <c r="M6" s="1114"/>
      <c r="N6" s="1114"/>
      <c r="O6" s="1114"/>
      <c r="P6" s="3729"/>
      <c r="Q6" s="3692"/>
      <c r="R6" s="3695"/>
      <c r="S6" s="3696"/>
      <c r="T6" s="3697"/>
      <c r="U6" s="3698"/>
      <c r="V6" s="3678"/>
      <c r="W6" s="3678"/>
      <c r="X6" s="1793"/>
      <c r="Y6" s="3697"/>
      <c r="Z6" s="3698"/>
      <c r="AA6" s="3682"/>
      <c r="AB6" s="3682"/>
      <c r="AC6" s="3725"/>
    </row>
    <row r="7" spans="1:29" s="117" customFormat="1" ht="15.75" thickBot="1">
      <c r="A7" s="407" t="s">
        <v>2536</v>
      </c>
      <c r="B7" s="408"/>
      <c r="C7" s="409">
        <f>'数据-取费表'!B2</f>
        <v>43840</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33" t="s">
        <v>2537</v>
      </c>
      <c r="Q7" s="3705"/>
      <c r="R7" s="766" t="s">
        <v>17</v>
      </c>
      <c r="S7" s="767">
        <f t="shared" ref="S7:S15" si="0">F7</f>
        <v>100</v>
      </c>
      <c r="T7" s="766" t="s">
        <v>17</v>
      </c>
      <c r="U7" s="767">
        <f t="shared" ref="U7:U15" si="1">H7</f>
        <v>100</v>
      </c>
      <c r="V7" s="766" t="s">
        <v>17</v>
      </c>
      <c r="W7" s="767">
        <f t="shared" ref="W7:W15" si="2">J7</f>
        <v>99</v>
      </c>
      <c r="X7" s="768"/>
      <c r="Y7" s="3703" t="s">
        <v>2537</v>
      </c>
      <c r="Z7" s="3704"/>
      <c r="AA7" s="769">
        <f>D7/F7</f>
        <v>1</v>
      </c>
      <c r="AB7" s="769">
        <f>D7/H7</f>
        <v>1</v>
      </c>
      <c r="AC7" s="2643">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33" t="s">
        <v>2540</v>
      </c>
      <c r="Q8" s="3704"/>
      <c r="R8" s="766" t="s">
        <v>17</v>
      </c>
      <c r="S8" s="767">
        <f t="shared" si="0"/>
        <v>100</v>
      </c>
      <c r="T8" s="766" t="s">
        <v>17</v>
      </c>
      <c r="U8" s="767">
        <f t="shared" si="1"/>
        <v>100</v>
      </c>
      <c r="V8" s="766" t="s">
        <v>17</v>
      </c>
      <c r="W8" s="767">
        <f t="shared" si="2"/>
        <v>100</v>
      </c>
      <c r="X8" s="768"/>
      <c r="Y8" s="3703" t="s">
        <v>2540</v>
      </c>
      <c r="Z8" s="3704"/>
      <c r="AA8" s="769">
        <f t="shared" ref="AA8:AA47" si="3">D8/F8</f>
        <v>1</v>
      </c>
      <c r="AB8" s="769">
        <f t="shared" ref="AB8:AB47" si="4">D8/H8</f>
        <v>1</v>
      </c>
      <c r="AC8" s="2643">
        <f t="shared" ref="AC8:AC47" si="5">D8/J8</f>
        <v>1</v>
      </c>
    </row>
    <row r="9" spans="1:29" s="117" customFormat="1">
      <c r="A9" s="414" t="s">
        <v>2541</v>
      </c>
      <c r="B9" s="71" t="s">
        <v>2542</v>
      </c>
      <c r="C9" s="2964"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79"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2643">
        <f t="shared" si="5"/>
        <v>1</v>
      </c>
    </row>
    <row r="10" spans="1:29" s="426" customFormat="1" ht="27">
      <c r="A10" s="420"/>
      <c r="B10" s="421" t="s">
        <v>2545</v>
      </c>
      <c r="C10" s="422" t="s">
        <v>3405</v>
      </c>
      <c r="D10" s="136">
        <v>100</v>
      </c>
      <c r="E10" s="3411" t="s">
        <v>3405</v>
      </c>
      <c r="F10" s="3412">
        <f>SUMIF(66:66,E10,67:67)-SUMIF(66:66,C10,67:67)+100</f>
        <v>100</v>
      </c>
      <c r="G10" s="3411" t="s">
        <v>3405</v>
      </c>
      <c r="H10" s="3412">
        <f>SUMIF(66:66,G10,67:67)-SUMIF(66:66,C10,67:67)+100</f>
        <v>100</v>
      </c>
      <c r="I10" s="3411" t="s">
        <v>3405</v>
      </c>
      <c r="J10" s="3412">
        <f>SUMIF(66:66,I10,67:67)-SUMIF(66:66,C10,67:67)+100</f>
        <v>100</v>
      </c>
      <c r="K10" s="611">
        <v>1</v>
      </c>
      <c r="L10" s="1118"/>
      <c r="M10" s="1119"/>
      <c r="N10" s="1119"/>
      <c r="O10" s="1119"/>
      <c r="P10" s="3679"/>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2643">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79"/>
      <c r="Q11" s="1775" t="str">
        <f t="shared" si="6"/>
        <v>容积率</v>
      </c>
      <c r="R11" s="766" t="s">
        <v>17</v>
      </c>
      <c r="S11" s="767">
        <f t="shared" si="0"/>
        <v>100</v>
      </c>
      <c r="T11" s="766" t="s">
        <v>17</v>
      </c>
      <c r="U11" s="767">
        <f t="shared" si="1"/>
        <v>100</v>
      </c>
      <c r="V11" s="766" t="s">
        <v>17</v>
      </c>
      <c r="W11" s="767">
        <f t="shared" si="2"/>
        <v>100</v>
      </c>
      <c r="X11" s="768"/>
      <c r="Y11" s="3466"/>
      <c r="Z11" s="55" t="str">
        <f t="shared" si="7"/>
        <v>容积率</v>
      </c>
      <c r="AA11" s="769">
        <f t="shared" si="3"/>
        <v>1</v>
      </c>
      <c r="AB11" s="769">
        <f t="shared" si="4"/>
        <v>1</v>
      </c>
      <c r="AC11" s="2643">
        <f t="shared" si="5"/>
        <v>1</v>
      </c>
    </row>
    <row r="12" spans="1:29" s="117" customFormat="1" ht="15">
      <c r="A12" s="430"/>
      <c r="B12" s="2572">
        <v>111</v>
      </c>
      <c r="C12" s="431"/>
      <c r="D12" s="432">
        <v>100</v>
      </c>
      <c r="E12" s="431"/>
      <c r="F12" s="136">
        <f>SUMIF(71:71,E12,72:72)-SUMIF(71:71,C12,72:72)+100</f>
        <v>100</v>
      </c>
      <c r="G12" s="2644"/>
      <c r="H12" s="136">
        <f>SUMIF(71:71,G12,72:72)-SUMIF(71:71,C12,72:72)+100</f>
        <v>100</v>
      </c>
      <c r="I12" s="431"/>
      <c r="J12" s="136">
        <f>SUMIF(71:71,I12,72:72)-SUMIF(71:71,C12,72:72)+100</f>
        <v>100</v>
      </c>
      <c r="K12" s="612"/>
      <c r="L12" s="1115"/>
      <c r="M12" s="1116"/>
      <c r="N12" s="1116"/>
      <c r="O12" s="1116"/>
      <c r="P12" s="3679"/>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2643">
        <f>D12/J12</f>
        <v>1</v>
      </c>
    </row>
    <row r="13" spans="1:29" ht="15">
      <c r="A13" s="427"/>
      <c r="B13" s="2572">
        <v>111</v>
      </c>
      <c r="C13" s="433"/>
      <c r="D13" s="434">
        <v>100</v>
      </c>
      <c r="E13" s="431"/>
      <c r="F13" s="136">
        <f>SUMIF(73:73,E13,74:74)-SUMIF(73:73,C13,74:74)+100</f>
        <v>100</v>
      </c>
      <c r="G13" s="2644"/>
      <c r="H13" s="434">
        <f>SUMIF(73:73,G13,74:74)-SUMIF(73:73,C13,74:74)+100</f>
        <v>100</v>
      </c>
      <c r="I13" s="431"/>
      <c r="J13" s="434">
        <f>SUMIF(73:73,I13,74:74)-SUMIF(73:73,C13,74:74)+100</f>
        <v>100</v>
      </c>
      <c r="K13" s="612"/>
      <c r="L13" s="1123"/>
      <c r="M13" s="1114"/>
      <c r="N13" s="1114"/>
      <c r="O13" s="1114"/>
      <c r="P13" s="3679"/>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2643">
        <f t="shared" si="5"/>
        <v>1</v>
      </c>
    </row>
    <row r="14" spans="1:29" ht="15.75" thickBot="1">
      <c r="A14" s="435"/>
      <c r="B14" s="2574">
        <v>111</v>
      </c>
      <c r="C14" s="436"/>
      <c r="D14" s="437">
        <v>100</v>
      </c>
      <c r="E14" s="627"/>
      <c r="F14" s="437">
        <f>SUMIF(75:75,E14,76:76)-SUMIF(75:75,C14,76:76)+100</f>
        <v>100</v>
      </c>
      <c r="G14" s="2644"/>
      <c r="H14" s="437">
        <f>SUMIF(75:75,G14,76:76)-SUMIF(75:75,C14,76:76)+100</f>
        <v>100</v>
      </c>
      <c r="I14" s="431"/>
      <c r="J14" s="437">
        <f>SUMIF(75:75,I14,76:76)-SUMIF(75:75,C14,76:76)+100</f>
        <v>100</v>
      </c>
      <c r="K14" s="612"/>
      <c r="L14" s="1123"/>
      <c r="M14" s="1114"/>
      <c r="N14" s="1114"/>
      <c r="O14" s="1114"/>
      <c r="P14" s="3679"/>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2643">
        <f t="shared" si="5"/>
        <v>1</v>
      </c>
    </row>
    <row r="15" spans="1:29" ht="71.25">
      <c r="A15" s="439" t="s">
        <v>2547</v>
      </c>
      <c r="B15" s="628" t="s">
        <v>2675</v>
      </c>
      <c r="C15" s="2645" t="str">
        <f>估价对象房地状况!C5</f>
        <v>估价对象位于望京商圈，周边办公楼项目较多，入驻率较高，办公集聚程度较好</v>
      </c>
      <c r="D15" s="440">
        <v>100</v>
      </c>
      <c r="E15" s="443" t="s">
        <v>3633</v>
      </c>
      <c r="F15" s="440">
        <f>SUMIF(77:77,E16,78:78)-SUMIF(77:77,C16,78:78)+100</f>
        <v>100</v>
      </c>
      <c r="G15" s="443" t="s">
        <v>3633</v>
      </c>
      <c r="H15" s="440">
        <f>SUMIF(77:77,G16,78:78)-SUMIF(77:77,C16,78:78)+100</f>
        <v>100</v>
      </c>
      <c r="I15" s="443" t="s">
        <v>3633</v>
      </c>
      <c r="J15" s="440">
        <f>SUMIF(77:77,I16,78:78)-SUMIF(77:77,C16,78:78)+100</f>
        <v>100</v>
      </c>
      <c r="K15" s="613">
        <v>3</v>
      </c>
      <c r="L15" s="1123"/>
      <c r="M15" s="1114"/>
      <c r="N15" s="1114"/>
      <c r="O15" s="1114"/>
      <c r="P15" s="3669" t="s">
        <v>2548</v>
      </c>
      <c r="Q15" s="1790" t="str">
        <f t="shared" si="6"/>
        <v>办公集聚程度</v>
      </c>
      <c r="R15" s="770" t="s">
        <v>17</v>
      </c>
      <c r="S15" s="771">
        <f t="shared" si="0"/>
        <v>100</v>
      </c>
      <c r="T15" s="770" t="s">
        <v>17</v>
      </c>
      <c r="U15" s="771">
        <f t="shared" si="1"/>
        <v>100</v>
      </c>
      <c r="V15" s="770" t="s">
        <v>17</v>
      </c>
      <c r="W15" s="771">
        <f t="shared" si="2"/>
        <v>100</v>
      </c>
      <c r="X15" s="1793"/>
      <c r="Y15" s="3671" t="s">
        <v>2548</v>
      </c>
      <c r="Z15" s="1794" t="str">
        <f t="shared" si="7"/>
        <v>办公集聚程度</v>
      </c>
      <c r="AA15" s="1791">
        <f t="shared" si="3"/>
        <v>1</v>
      </c>
      <c r="AB15" s="1791">
        <f t="shared" si="4"/>
        <v>1</v>
      </c>
      <c r="AC15" s="2646">
        <f t="shared" si="5"/>
        <v>1</v>
      </c>
    </row>
    <row r="16" spans="1:29" ht="15">
      <c r="A16" s="427"/>
      <c r="B16" s="629"/>
      <c r="C16" s="2583" t="s">
        <v>3058</v>
      </c>
      <c r="D16" s="447"/>
      <c r="E16" s="2648" t="s">
        <v>3058</v>
      </c>
      <c r="F16" s="447"/>
      <c r="G16" s="2648" t="s">
        <v>3058</v>
      </c>
      <c r="H16" s="449"/>
      <c r="I16" s="2648" t="s">
        <v>3058</v>
      </c>
      <c r="J16" s="447"/>
      <c r="K16" s="614"/>
      <c r="L16" s="1123"/>
      <c r="M16" s="1114"/>
      <c r="N16" s="1114"/>
      <c r="O16" s="1114"/>
      <c r="P16" s="3670"/>
      <c r="Q16" s="1790"/>
      <c r="R16" s="770"/>
      <c r="S16" s="771"/>
      <c r="T16" s="770"/>
      <c r="U16" s="771"/>
      <c r="V16" s="770"/>
      <c r="W16" s="771"/>
      <c r="X16" s="1793"/>
      <c r="Y16" s="3672"/>
      <c r="Z16" s="1794"/>
      <c r="AA16" s="1791">
        <v>1</v>
      </c>
      <c r="AB16" s="1791">
        <v>1</v>
      </c>
      <c r="AC16" s="2646">
        <v>1</v>
      </c>
    </row>
    <row r="17" spans="1:29" ht="114">
      <c r="A17" s="427"/>
      <c r="B17" s="630" t="s">
        <v>2085</v>
      </c>
      <c r="C17" s="2647" t="str">
        <f>估价对象房地状况!C6</f>
        <v>估价对象周边道路状况较好、地铁14、15号线通过，公共交通通达情况较好、停车便捷程度较好，综合评价交通便捷度较好</v>
      </c>
      <c r="D17" s="449">
        <v>100</v>
      </c>
      <c r="E17" s="453" t="s">
        <v>3634</v>
      </c>
      <c r="F17" s="449">
        <f>SUMIF(79:79,E18,80:80)-SUMIF(79:79,C18,80:80)+100</f>
        <v>100</v>
      </c>
      <c r="G17" s="453" t="s">
        <v>3634</v>
      </c>
      <c r="H17" s="454">
        <f>SUMIF(79:79,G18,80:80)-SUMIF(79:79,C18,80:80)+100</f>
        <v>100</v>
      </c>
      <c r="I17" s="453" t="s">
        <v>3634</v>
      </c>
      <c r="J17" s="454">
        <f>SUMIF(79:79,I18,80:80)-SUMIF(79:79,C18,80:80)+100</f>
        <v>100</v>
      </c>
      <c r="K17" s="613">
        <f>'比较法-商业'!K17</f>
        <v>2</v>
      </c>
      <c r="L17" s="1123"/>
      <c r="M17" s="1114"/>
      <c r="N17" s="1114"/>
      <c r="O17" s="1114"/>
      <c r="P17" s="3670"/>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2646">
        <f t="shared" si="5"/>
        <v>1</v>
      </c>
    </row>
    <row r="18" spans="1:29" ht="15">
      <c r="A18" s="427"/>
      <c r="B18" s="631"/>
      <c r="C18" s="2648" t="s">
        <v>3058</v>
      </c>
      <c r="D18" s="449"/>
      <c r="E18" s="2648" t="s">
        <v>3058</v>
      </c>
      <c r="F18" s="449"/>
      <c r="G18" s="2648" t="s">
        <v>3058</v>
      </c>
      <c r="H18" s="447"/>
      <c r="I18" s="2648" t="s">
        <v>3058</v>
      </c>
      <c r="J18" s="447"/>
      <c r="K18" s="614"/>
      <c r="L18" s="1123"/>
      <c r="M18" s="1114"/>
      <c r="N18" s="1114"/>
      <c r="O18" s="1114"/>
      <c r="P18" s="3670"/>
      <c r="Q18" s="1790"/>
      <c r="R18" s="770"/>
      <c r="S18" s="771"/>
      <c r="T18" s="770"/>
      <c r="U18" s="771"/>
      <c r="V18" s="770"/>
      <c r="W18" s="771"/>
      <c r="X18" s="1793"/>
      <c r="Y18" s="3672"/>
      <c r="Z18" s="1794"/>
      <c r="AA18" s="1791">
        <v>1</v>
      </c>
      <c r="AB18" s="1791">
        <v>1</v>
      </c>
      <c r="AC18" s="2646">
        <v>1</v>
      </c>
    </row>
    <row r="19" spans="1:29" ht="42.75">
      <c r="A19" s="427"/>
      <c r="B19" s="630" t="s">
        <v>2676</v>
      </c>
      <c r="C19" s="2647" t="str">
        <f>估价对象房地状况!C7</f>
        <v>估价对象所在区域公共配套设施齐备情况较好</v>
      </c>
      <c r="D19" s="454">
        <v>100</v>
      </c>
      <c r="E19" s="458" t="s">
        <v>3635</v>
      </c>
      <c r="F19" s="454">
        <f>SUMIF(81:81,E20,82:82)-SUMIF(81:81,C20,82:82)+100</f>
        <v>100</v>
      </c>
      <c r="G19" s="458" t="s">
        <v>3635</v>
      </c>
      <c r="H19" s="449">
        <f>SUMIF(81:81,G20,82:82)-SUMIF(81:81,C20,82:82)+100</f>
        <v>100</v>
      </c>
      <c r="I19" s="458" t="s">
        <v>3635</v>
      </c>
      <c r="J19" s="449">
        <f>SUMIF(81:81,I20,82:82)-SUMIF(81:81,C20,82:82)+100</f>
        <v>100</v>
      </c>
      <c r="K19" s="613">
        <v>2</v>
      </c>
      <c r="L19" s="1123"/>
      <c r="M19" s="1114"/>
      <c r="N19" s="1114"/>
      <c r="O19" s="1114"/>
      <c r="P19" s="3670"/>
      <c r="Q19" s="1790" t="str">
        <f>B19</f>
        <v>公共配套设施</v>
      </c>
      <c r="R19" s="770" t="s">
        <v>17</v>
      </c>
      <c r="S19" s="771">
        <f>F19</f>
        <v>100</v>
      </c>
      <c r="T19" s="770" t="s">
        <v>17</v>
      </c>
      <c r="U19" s="771">
        <f>H19</f>
        <v>100</v>
      </c>
      <c r="V19" s="770" t="s">
        <v>17</v>
      </c>
      <c r="W19" s="771">
        <f>J19</f>
        <v>100</v>
      </c>
      <c r="X19" s="1793"/>
      <c r="Y19" s="3672"/>
      <c r="Z19" s="1794" t="str">
        <f>Q19</f>
        <v>公共配套设施</v>
      </c>
      <c r="AA19" s="1791">
        <f t="shared" si="3"/>
        <v>1</v>
      </c>
      <c r="AB19" s="1791">
        <f t="shared" si="4"/>
        <v>1</v>
      </c>
      <c r="AC19" s="2646">
        <f t="shared" si="5"/>
        <v>1</v>
      </c>
    </row>
    <row r="20" spans="1:29" ht="15">
      <c r="A20" s="427"/>
      <c r="B20" s="631"/>
      <c r="C20" s="2648" t="s">
        <v>3058</v>
      </c>
      <c r="D20" s="447"/>
      <c r="E20" s="2648" t="s">
        <v>3058</v>
      </c>
      <c r="F20" s="447"/>
      <c r="G20" s="2648" t="s">
        <v>3058</v>
      </c>
      <c r="H20" s="447"/>
      <c r="I20" s="2648" t="s">
        <v>3058</v>
      </c>
      <c r="J20" s="447"/>
      <c r="K20" s="614"/>
      <c r="L20" s="1123"/>
      <c r="M20" s="1114"/>
      <c r="N20" s="1114"/>
      <c r="O20" s="1114"/>
      <c r="P20" s="3670"/>
      <c r="Q20" s="1790"/>
      <c r="R20" s="770"/>
      <c r="S20" s="771"/>
      <c r="T20" s="770"/>
      <c r="U20" s="771"/>
      <c r="V20" s="770"/>
      <c r="W20" s="771"/>
      <c r="X20" s="1793"/>
      <c r="Y20" s="3672"/>
      <c r="Z20" s="1794"/>
      <c r="AA20" s="1791">
        <v>1</v>
      </c>
      <c r="AB20" s="1791">
        <v>1</v>
      </c>
      <c r="AC20" s="2646">
        <v>1</v>
      </c>
    </row>
    <row r="21" spans="1:29" ht="42.75">
      <c r="A21" s="427"/>
      <c r="B21" s="632" t="s">
        <v>2677</v>
      </c>
      <c r="C21" s="2647"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670"/>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2646">
        <f t="shared" ref="AC21" si="10">D21/J21</f>
        <v>1</v>
      </c>
    </row>
    <row r="22" spans="1:29" ht="15">
      <c r="A22" s="427"/>
      <c r="B22" s="632"/>
      <c r="C22" s="2648" t="s">
        <v>3097</v>
      </c>
      <c r="D22" s="447"/>
      <c r="E22" s="2648" t="s">
        <v>3097</v>
      </c>
      <c r="F22" s="447"/>
      <c r="G22" s="2648" t="s">
        <v>3097</v>
      </c>
      <c r="H22" s="447"/>
      <c r="I22" s="2648" t="s">
        <v>3097</v>
      </c>
      <c r="J22" s="447"/>
      <c r="K22" s="1365"/>
      <c r="L22" s="1123"/>
      <c r="M22" s="1114"/>
      <c r="N22" s="1114"/>
      <c r="O22" s="1114"/>
      <c r="P22" s="3670"/>
      <c r="Q22" s="1790"/>
      <c r="R22" s="770"/>
      <c r="S22" s="771"/>
      <c r="T22" s="770"/>
      <c r="U22" s="771"/>
      <c r="V22" s="770"/>
      <c r="W22" s="771"/>
      <c r="X22" s="1793"/>
      <c r="Y22" s="3672"/>
      <c r="Z22" s="1794"/>
      <c r="AA22" s="1791">
        <v>1</v>
      </c>
      <c r="AB22" s="1791">
        <v>1</v>
      </c>
      <c r="AC22" s="2646">
        <v>1</v>
      </c>
    </row>
    <row r="23" spans="1:29" ht="71.25">
      <c r="A23" s="427"/>
      <c r="B23" s="630" t="s">
        <v>2678</v>
      </c>
      <c r="C23" s="2647"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670"/>
      <c r="Q23" s="1790" t="str">
        <f>B23</f>
        <v>环境质量</v>
      </c>
      <c r="R23" s="770" t="s">
        <v>17</v>
      </c>
      <c r="S23" s="771">
        <f>F23</f>
        <v>100</v>
      </c>
      <c r="T23" s="770" t="s">
        <v>17</v>
      </c>
      <c r="U23" s="771">
        <f>H23</f>
        <v>100</v>
      </c>
      <c r="V23" s="770" t="s">
        <v>17</v>
      </c>
      <c r="W23" s="771">
        <f>J23</f>
        <v>100</v>
      </c>
      <c r="X23" s="1793"/>
      <c r="Y23" s="3672"/>
      <c r="Z23" s="1794" t="str">
        <f>Q23</f>
        <v>环境质量</v>
      </c>
      <c r="AA23" s="1791">
        <f t="shared" si="3"/>
        <v>1</v>
      </c>
      <c r="AB23" s="1791">
        <f t="shared" si="4"/>
        <v>1</v>
      </c>
      <c r="AC23" s="2646">
        <f t="shared" si="5"/>
        <v>1</v>
      </c>
    </row>
    <row r="24" spans="1:29" ht="15">
      <c r="A24" s="427"/>
      <c r="B24" s="632"/>
      <c r="C24" s="2583" t="s">
        <v>3058</v>
      </c>
      <c r="D24" s="447"/>
      <c r="E24" s="2583" t="s">
        <v>3058</v>
      </c>
      <c r="F24" s="447"/>
      <c r="G24" s="2583" t="s">
        <v>3058</v>
      </c>
      <c r="H24" s="447"/>
      <c r="I24" s="2583" t="s">
        <v>3058</v>
      </c>
      <c r="J24" s="447"/>
      <c r="K24" s="614"/>
      <c r="L24" s="1123"/>
      <c r="M24" s="1114"/>
      <c r="N24" s="1114"/>
      <c r="O24" s="1114"/>
      <c r="P24" s="3670"/>
      <c r="Q24" s="1790"/>
      <c r="R24" s="770"/>
      <c r="S24" s="771"/>
      <c r="T24" s="770"/>
      <c r="U24" s="771"/>
      <c r="V24" s="770"/>
      <c r="W24" s="771"/>
      <c r="X24" s="1793"/>
      <c r="Y24" s="3672"/>
      <c r="Z24" s="1794"/>
      <c r="AA24" s="1791">
        <v>1</v>
      </c>
      <c r="AB24" s="1791">
        <v>1</v>
      </c>
      <c r="AC24" s="2646">
        <v>1</v>
      </c>
    </row>
    <row r="25" spans="1:29" ht="27">
      <c r="A25" s="403"/>
      <c r="B25" s="630" t="s">
        <v>2679</v>
      </c>
      <c r="C25" s="2976" t="s">
        <v>3632</v>
      </c>
      <c r="D25" s="434">
        <v>100</v>
      </c>
      <c r="E25" s="3415" t="s">
        <v>3637</v>
      </c>
      <c r="F25" s="3412">
        <f>SUMIF(87:87,E26,88:88)-SUMIF(87:87,C26,88:88)+100</f>
        <v>99</v>
      </c>
      <c r="G25" s="3415" t="s">
        <v>3656</v>
      </c>
      <c r="H25" s="3412">
        <f>SUMIF(87:87,G26,88:88)-SUMIF(87:87,C26,88:88)+100</f>
        <v>99</v>
      </c>
      <c r="I25" s="3415" t="s">
        <v>3658</v>
      </c>
      <c r="J25" s="434">
        <f>SUMIF(87:87,I26,88:88)-SUMIF(87:87,C26,88:88)+100</f>
        <v>100</v>
      </c>
      <c r="K25" s="613">
        <v>1</v>
      </c>
      <c r="L25" s="1123"/>
      <c r="M25" s="1114"/>
      <c r="N25" s="1114"/>
      <c r="O25" s="1114"/>
      <c r="P25" s="3670"/>
      <c r="Q25" s="1790" t="str">
        <f>B25</f>
        <v>毗邻道路的类型与等级</v>
      </c>
      <c r="R25" s="770" t="s">
        <v>17</v>
      </c>
      <c r="S25" s="771">
        <f>F25</f>
        <v>99</v>
      </c>
      <c r="T25" s="770" t="s">
        <v>17</v>
      </c>
      <c r="U25" s="771">
        <f>H25</f>
        <v>99</v>
      </c>
      <c r="V25" s="770" t="s">
        <v>17</v>
      </c>
      <c r="W25" s="771">
        <f>J25</f>
        <v>100</v>
      </c>
      <c r="X25" s="1793"/>
      <c r="Y25" s="3672"/>
      <c r="Z25" s="1794" t="str">
        <f>Q25</f>
        <v>毗邻道路的类型与等级</v>
      </c>
      <c r="AA25" s="1791">
        <f t="shared" si="3"/>
        <v>1.0101010101010102</v>
      </c>
      <c r="AB25" s="1791">
        <f t="shared" si="4"/>
        <v>1.0101010101010102</v>
      </c>
      <c r="AC25" s="2646">
        <f t="shared" si="5"/>
        <v>1</v>
      </c>
    </row>
    <row r="26" spans="1:29" ht="15">
      <c r="A26" s="403"/>
      <c r="B26" s="631"/>
      <c r="C26" s="633" t="s">
        <v>3593</v>
      </c>
      <c r="D26" s="434"/>
      <c r="E26" s="633" t="s">
        <v>3141</v>
      </c>
      <c r="F26" s="434"/>
      <c r="G26" s="633" t="s">
        <v>3141</v>
      </c>
      <c r="H26" s="434"/>
      <c r="I26" s="633" t="s">
        <v>3593</v>
      </c>
      <c r="J26" s="434"/>
      <c r="K26" s="614"/>
      <c r="L26" s="1123"/>
      <c r="M26" s="1114"/>
      <c r="N26" s="1114"/>
      <c r="O26" s="1114"/>
      <c r="P26" s="3670"/>
      <c r="Q26" s="1790"/>
      <c r="R26" s="770"/>
      <c r="S26" s="771"/>
      <c r="T26" s="770"/>
      <c r="U26" s="771"/>
      <c r="V26" s="770"/>
      <c r="W26" s="771"/>
      <c r="X26" s="1793"/>
      <c r="Y26" s="3672"/>
      <c r="Z26" s="1794"/>
      <c r="AA26" s="1791">
        <v>1</v>
      </c>
      <c r="AB26" s="1791">
        <v>1</v>
      </c>
      <c r="AC26" s="2646">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670"/>
      <c r="Q27" s="1790" t="str">
        <f t="shared" ref="Q27:Q47" si="11">B27</f>
        <v>楼层</v>
      </c>
      <c r="R27" s="770" t="s">
        <v>17</v>
      </c>
      <c r="S27" s="771">
        <f>F27</f>
        <v>104</v>
      </c>
      <c r="T27" s="770" t="s">
        <v>17</v>
      </c>
      <c r="U27" s="771">
        <f>H27</f>
        <v>104</v>
      </c>
      <c r="V27" s="770" t="s">
        <v>17</v>
      </c>
      <c r="W27" s="771">
        <f>J27</f>
        <v>104</v>
      </c>
      <c r="X27" s="1793"/>
      <c r="Y27" s="3672"/>
      <c r="Z27" s="1794" t="str">
        <f>Q27</f>
        <v>楼层</v>
      </c>
      <c r="AA27" s="1791">
        <f t="shared" si="3"/>
        <v>0.96153846153846156</v>
      </c>
      <c r="AB27" s="1791">
        <f t="shared" si="4"/>
        <v>0.96153846153846156</v>
      </c>
      <c r="AC27" s="2646">
        <f t="shared" si="5"/>
        <v>0.96153846153846156</v>
      </c>
    </row>
    <row r="28" spans="1:29" s="117" customFormat="1" ht="15">
      <c r="A28" s="430"/>
      <c r="B28" s="630" t="s">
        <v>2680</v>
      </c>
      <c r="C28" s="2649"/>
      <c r="D28" s="461">
        <v>100</v>
      </c>
      <c r="E28" s="2637"/>
      <c r="F28" s="461">
        <f>SUMIF(91:91,E28,92:92)-SUMIF(91:91,C28,92:92)+100</f>
        <v>100</v>
      </c>
      <c r="G28" s="2649"/>
      <c r="H28" s="461">
        <f>SUMIF(91:91,G28,92:92)-SUMIF(91:91,C28,92:92)+100</f>
        <v>100</v>
      </c>
      <c r="I28" s="2637"/>
      <c r="J28" s="461">
        <f>SUMIF(91:91,I28,92:92)-SUMIF(91:91,C28,92:92)+100</f>
        <v>100</v>
      </c>
      <c r="K28" s="611"/>
      <c r="L28" s="1115"/>
      <c r="M28" s="1116"/>
      <c r="N28" s="1116"/>
      <c r="O28" s="1116"/>
      <c r="P28" s="3670"/>
      <c r="Q28" s="1775" t="str">
        <f t="shared" si="11"/>
        <v>朝向</v>
      </c>
      <c r="R28" s="766" t="s">
        <v>17</v>
      </c>
      <c r="S28" s="767">
        <f>F28</f>
        <v>100</v>
      </c>
      <c r="T28" s="766" t="s">
        <v>17</v>
      </c>
      <c r="U28" s="767">
        <f>H28</f>
        <v>100</v>
      </c>
      <c r="V28" s="766" t="s">
        <v>17</v>
      </c>
      <c r="W28" s="767">
        <f>J28</f>
        <v>100</v>
      </c>
      <c r="X28" s="768"/>
      <c r="Y28" s="3672"/>
      <c r="Z28" s="55" t="str">
        <f>Q28</f>
        <v>朝向</v>
      </c>
      <c r="AA28" s="1791">
        <f>D28/F28</f>
        <v>1</v>
      </c>
      <c r="AB28" s="1791">
        <f>D28/H28</f>
        <v>1</v>
      </c>
      <c r="AC28" s="2646">
        <f>D28/J28</f>
        <v>1</v>
      </c>
    </row>
    <row r="29" spans="1:29" ht="15">
      <c r="A29" s="427"/>
      <c r="B29" s="2650">
        <v>111</v>
      </c>
      <c r="C29" s="2587"/>
      <c r="D29" s="434">
        <v>100</v>
      </c>
      <c r="E29" s="431"/>
      <c r="F29" s="434">
        <f>SUMIF(93:93,E29,94:94)-SUMIF(93:93,C29,94:94)+100</f>
        <v>100</v>
      </c>
      <c r="G29" s="2644"/>
      <c r="H29" s="434">
        <f>SUMIF(93:93,G29,94:94)-SUMIF(93:93,C29,94:94)+100</f>
        <v>100</v>
      </c>
      <c r="I29" s="431"/>
      <c r="J29" s="434">
        <f>SUMIF(93:93,I29,94:94)-SUMIF(93:93,C29,94:94)+100</f>
        <v>100</v>
      </c>
      <c r="K29" s="612"/>
      <c r="L29" s="1123"/>
      <c r="M29" s="1114"/>
      <c r="N29" s="1114"/>
      <c r="O29" s="1114"/>
      <c r="P29" s="3670"/>
      <c r="Q29" s="1790">
        <f t="shared" si="11"/>
        <v>111</v>
      </c>
      <c r="R29" s="770" t="s">
        <v>17</v>
      </c>
      <c r="S29" s="771">
        <f t="shared" ref="S29:S47" si="12">F29</f>
        <v>100</v>
      </c>
      <c r="T29" s="770" t="s">
        <v>17</v>
      </c>
      <c r="U29" s="771">
        <f t="shared" ref="U29:U47" si="13">H29</f>
        <v>100</v>
      </c>
      <c r="V29" s="770" t="s">
        <v>17</v>
      </c>
      <c r="W29" s="771">
        <f t="shared" ref="W29:W47" si="14">J29</f>
        <v>100</v>
      </c>
      <c r="X29" s="1793"/>
      <c r="Y29" s="3672"/>
      <c r="Z29" s="1794">
        <f t="shared" ref="Z29:Z47" si="15">Q29</f>
        <v>111</v>
      </c>
      <c r="AA29" s="1791">
        <f t="shared" si="3"/>
        <v>1</v>
      </c>
      <c r="AB29" s="1791">
        <f t="shared" si="4"/>
        <v>1</v>
      </c>
      <c r="AC29" s="2646">
        <f t="shared" si="5"/>
        <v>1</v>
      </c>
    </row>
    <row r="30" spans="1:29" ht="15">
      <c r="A30" s="427"/>
      <c r="B30" s="2650">
        <v>111</v>
      </c>
      <c r="C30" s="2587"/>
      <c r="D30" s="434">
        <v>100</v>
      </c>
      <c r="E30" s="431"/>
      <c r="F30" s="434">
        <f>SUMIF(95:95,E30,96:96)-SUMIF(95:95,C30,96:96)+100</f>
        <v>100</v>
      </c>
      <c r="G30" s="2644"/>
      <c r="H30" s="434">
        <f>SUMIF(95:95,G30,96:96)-SUMIF(95:95,C30,96:96)+100</f>
        <v>100</v>
      </c>
      <c r="I30" s="431"/>
      <c r="J30" s="434">
        <f>SUMIF(95:95,I30,96:96)-SUMIF(95:95,C30,96:96)+100</f>
        <v>100</v>
      </c>
      <c r="K30" s="612"/>
      <c r="L30" s="1123"/>
      <c r="M30" s="1114"/>
      <c r="N30" s="1114"/>
      <c r="O30" s="1114"/>
      <c r="P30" s="3670"/>
      <c r="Q30" s="1790">
        <f t="shared" si="11"/>
        <v>111</v>
      </c>
      <c r="R30" s="770" t="s">
        <v>17</v>
      </c>
      <c r="S30" s="771">
        <f t="shared" si="12"/>
        <v>100</v>
      </c>
      <c r="T30" s="770" t="s">
        <v>17</v>
      </c>
      <c r="U30" s="771">
        <f t="shared" si="13"/>
        <v>100</v>
      </c>
      <c r="V30" s="770" t="s">
        <v>17</v>
      </c>
      <c r="W30" s="771">
        <f t="shared" si="14"/>
        <v>100</v>
      </c>
      <c r="X30" s="1793"/>
      <c r="Y30" s="3672"/>
      <c r="Z30" s="1794">
        <f t="shared" si="15"/>
        <v>111</v>
      </c>
      <c r="AA30" s="1791">
        <f t="shared" si="3"/>
        <v>1</v>
      </c>
      <c r="AB30" s="1791">
        <f t="shared" si="4"/>
        <v>1</v>
      </c>
      <c r="AC30" s="2646">
        <f t="shared" si="5"/>
        <v>1</v>
      </c>
    </row>
    <row r="31" spans="1:29" ht="15">
      <c r="A31" s="427"/>
      <c r="B31" s="2650">
        <v>111</v>
      </c>
      <c r="C31" s="2587"/>
      <c r="D31" s="434">
        <v>100</v>
      </c>
      <c r="E31" s="431"/>
      <c r="F31" s="434">
        <f>SUMIF(97:97,E31,98:98)-SUMIF(97:97,C31,98:98)+100</f>
        <v>100</v>
      </c>
      <c r="G31" s="2644"/>
      <c r="H31" s="434">
        <f>SUMIF(97:97,G31,98:98)-SUMIF(97:97,C31,98:98)+100</f>
        <v>100</v>
      </c>
      <c r="I31" s="431"/>
      <c r="J31" s="434">
        <f>SUMIF(97:97,I31,98:98)-SUMIF(97:97,C31,98:98)+100</f>
        <v>100</v>
      </c>
      <c r="K31" s="612"/>
      <c r="L31" s="1123"/>
      <c r="M31" s="1114"/>
      <c r="N31" s="1114"/>
      <c r="O31" s="1114"/>
      <c r="P31" s="3670"/>
      <c r="Q31" s="1790">
        <f t="shared" si="11"/>
        <v>111</v>
      </c>
      <c r="R31" s="770" t="s">
        <v>17</v>
      </c>
      <c r="S31" s="771">
        <f t="shared" si="12"/>
        <v>100</v>
      </c>
      <c r="T31" s="770" t="s">
        <v>17</v>
      </c>
      <c r="U31" s="771">
        <f t="shared" si="13"/>
        <v>100</v>
      </c>
      <c r="V31" s="770" t="s">
        <v>17</v>
      </c>
      <c r="W31" s="771">
        <f t="shared" si="14"/>
        <v>100</v>
      </c>
      <c r="X31" s="1793"/>
      <c r="Y31" s="3672"/>
      <c r="Z31" s="1794">
        <f t="shared" si="15"/>
        <v>111</v>
      </c>
      <c r="AA31" s="1791">
        <f t="shared" si="3"/>
        <v>1</v>
      </c>
      <c r="AB31" s="1791">
        <f t="shared" si="4"/>
        <v>1</v>
      </c>
      <c r="AC31" s="2646">
        <f t="shared" si="5"/>
        <v>1</v>
      </c>
    </row>
    <row r="32" spans="1:29" ht="15.75" thickBot="1">
      <c r="A32" s="435"/>
      <c r="B32" s="634">
        <v>111</v>
      </c>
      <c r="C32" s="2588"/>
      <c r="D32" s="437">
        <v>100</v>
      </c>
      <c r="E32" s="627"/>
      <c r="F32" s="437">
        <f>SUMIF(99:99,E32,100:100)-SUMIF(99:99,C32,100:100)+100</f>
        <v>100</v>
      </c>
      <c r="G32" s="2644"/>
      <c r="H32" s="437">
        <f>SUMIF(99:99,G32,100:100)-SUMIF(99:99,C32,100:100)+100</f>
        <v>100</v>
      </c>
      <c r="I32" s="431"/>
      <c r="J32" s="437">
        <f>SUMIF(99:99,I32,100:100)-SUMIF(99:99,C32,100:100)+100</f>
        <v>100</v>
      </c>
      <c r="K32" s="612"/>
      <c r="L32" s="1123"/>
      <c r="M32" s="1114"/>
      <c r="N32" s="1114"/>
      <c r="O32" s="1114"/>
      <c r="P32" s="3670"/>
      <c r="Q32" s="1790">
        <f t="shared" si="11"/>
        <v>111</v>
      </c>
      <c r="R32" s="770" t="s">
        <v>17</v>
      </c>
      <c r="S32" s="771">
        <f t="shared" si="12"/>
        <v>100</v>
      </c>
      <c r="T32" s="770" t="s">
        <v>17</v>
      </c>
      <c r="U32" s="771">
        <f t="shared" si="13"/>
        <v>100</v>
      </c>
      <c r="V32" s="770" t="s">
        <v>17</v>
      </c>
      <c r="W32" s="771">
        <f t="shared" si="14"/>
        <v>100</v>
      </c>
      <c r="X32" s="1793"/>
      <c r="Y32" s="3672"/>
      <c r="Z32" s="1794">
        <f t="shared" si="15"/>
        <v>111</v>
      </c>
      <c r="AA32" s="1791">
        <f t="shared" si="3"/>
        <v>1</v>
      </c>
      <c r="AB32" s="1791">
        <f t="shared" si="4"/>
        <v>1</v>
      </c>
      <c r="AC32" s="2646">
        <f t="shared" si="5"/>
        <v>1</v>
      </c>
    </row>
    <row r="33" spans="1:29" ht="15">
      <c r="A33" s="439" t="s">
        <v>2551</v>
      </c>
      <c r="B33" s="71" t="s">
        <v>2681</v>
      </c>
      <c r="C33" s="2651" t="s">
        <v>3143</v>
      </c>
      <c r="D33" s="466">
        <v>100</v>
      </c>
      <c r="E33" s="2651" t="s">
        <v>3143</v>
      </c>
      <c r="F33" s="460">
        <f>SUMIF(101:101,E33,102:102)-SUMIF(101:101,C33,102:102)+100</f>
        <v>100</v>
      </c>
      <c r="G33" s="2651" t="s">
        <v>3143</v>
      </c>
      <c r="H33" s="434">
        <f>SUMIF(101:101,G33,102:102)-SUMIF(101:101,C33,102:102)+100</f>
        <v>100</v>
      </c>
      <c r="I33" s="2651" t="s">
        <v>3143</v>
      </c>
      <c r="J33" s="466">
        <f>SUMIF(101:101,I33,102:102)-SUMIF(101:101,C33,102:102)+100</f>
        <v>100</v>
      </c>
      <c r="K33" s="611"/>
      <c r="L33" s="1123"/>
      <c r="M33" s="1114"/>
      <c r="N33" s="1114"/>
      <c r="O33" s="1114"/>
      <c r="P33" s="3673" t="s">
        <v>2553</v>
      </c>
      <c r="Q33" s="1790" t="str">
        <f t="shared" si="11"/>
        <v>建筑类型</v>
      </c>
      <c r="R33" s="770" t="s">
        <v>17</v>
      </c>
      <c r="S33" s="771">
        <f t="shared" si="12"/>
        <v>100</v>
      </c>
      <c r="T33" s="770" t="s">
        <v>17</v>
      </c>
      <c r="U33" s="771">
        <f t="shared" si="13"/>
        <v>100</v>
      </c>
      <c r="V33" s="770" t="s">
        <v>17</v>
      </c>
      <c r="W33" s="771">
        <f t="shared" si="14"/>
        <v>100</v>
      </c>
      <c r="X33" s="1793"/>
      <c r="Y33" s="3676" t="s">
        <v>2553</v>
      </c>
      <c r="Z33" s="1794" t="str">
        <f t="shared" si="15"/>
        <v>建筑类型</v>
      </c>
      <c r="AA33" s="1791">
        <f t="shared" si="3"/>
        <v>1</v>
      </c>
      <c r="AB33" s="1791">
        <f t="shared" si="4"/>
        <v>1</v>
      </c>
      <c r="AC33" s="2646">
        <f t="shared" si="5"/>
        <v>1</v>
      </c>
    </row>
    <row r="34" spans="1:29" s="470" customFormat="1" ht="15">
      <c r="A34" s="467"/>
      <c r="B34" s="421" t="s">
        <v>2554</v>
      </c>
      <c r="C34" s="468" t="e">
        <f>#REF!</f>
        <v>#REF!</v>
      </c>
      <c r="D34" s="136">
        <v>100</v>
      </c>
      <c r="E34" s="468">
        <v>600</v>
      </c>
      <c r="F34" s="424" t="e">
        <f>LOOKUP(E34,104:104,105:105)-LOOKUP(C34,104:104,105:105)+100</f>
        <v>#REF!</v>
      </c>
      <c r="G34" s="468">
        <v>1200</v>
      </c>
      <c r="H34" s="136" t="e">
        <f>LOOKUP(G34,104:104,105:105)-LOOKUP(C34,104:104,105:105)+100</f>
        <v>#REF!</v>
      </c>
      <c r="I34" s="468">
        <v>220</v>
      </c>
      <c r="J34" s="136" t="e">
        <f>LOOKUP(I34,104:104,105:105)-LOOKUP(C34,104:104,105:105)+100</f>
        <v>#REF!</v>
      </c>
      <c r="K34" s="612"/>
      <c r="L34" s="1121"/>
      <c r="M34" s="1124"/>
      <c r="N34" s="1124"/>
      <c r="O34" s="1124"/>
      <c r="P34" s="3674"/>
      <c r="Q34" s="772" t="str">
        <f t="shared" si="11"/>
        <v>项目建筑规模</v>
      </c>
      <c r="R34" s="773" t="s">
        <v>17</v>
      </c>
      <c r="S34" s="774" t="e">
        <f t="shared" si="12"/>
        <v>#REF!</v>
      </c>
      <c r="T34" s="773" t="s">
        <v>17</v>
      </c>
      <c r="U34" s="774" t="e">
        <f t="shared" si="13"/>
        <v>#REF!</v>
      </c>
      <c r="V34" s="773" t="s">
        <v>17</v>
      </c>
      <c r="W34" s="774" t="e">
        <f t="shared" si="14"/>
        <v>#REF!</v>
      </c>
      <c r="X34" s="775"/>
      <c r="Y34" s="3676"/>
      <c r="Z34" s="776" t="str">
        <f t="shared" si="15"/>
        <v>项目建筑规模</v>
      </c>
      <c r="AA34" s="1791" t="e">
        <f t="shared" si="3"/>
        <v>#REF!</v>
      </c>
      <c r="AB34" s="1791" t="e">
        <f t="shared" si="4"/>
        <v>#REF!</v>
      </c>
      <c r="AC34" s="2646" t="e">
        <f t="shared" si="5"/>
        <v>#REF!</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674"/>
      <c r="Q35" s="1790" t="str">
        <f t="shared" si="11"/>
        <v>建筑结构</v>
      </c>
      <c r="R35" s="770" t="s">
        <v>17</v>
      </c>
      <c r="S35" s="771">
        <f t="shared" si="12"/>
        <v>100</v>
      </c>
      <c r="T35" s="770" t="s">
        <v>17</v>
      </c>
      <c r="U35" s="771">
        <f t="shared" si="13"/>
        <v>100</v>
      </c>
      <c r="V35" s="770" t="s">
        <v>17</v>
      </c>
      <c r="W35" s="771">
        <f t="shared" si="14"/>
        <v>100</v>
      </c>
      <c r="X35" s="1793"/>
      <c r="Y35" s="3676"/>
      <c r="Z35" s="1794" t="str">
        <f t="shared" si="15"/>
        <v>建筑结构</v>
      </c>
      <c r="AA35" s="1791">
        <f t="shared" si="3"/>
        <v>1</v>
      </c>
      <c r="AB35" s="1791">
        <f t="shared" si="4"/>
        <v>1</v>
      </c>
      <c r="AC35" s="2646">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674"/>
      <c r="Q36" s="1790" t="str">
        <f t="shared" si="11"/>
        <v>公共部分装修</v>
      </c>
      <c r="R36" s="770" t="s">
        <v>17</v>
      </c>
      <c r="S36" s="771">
        <f t="shared" si="12"/>
        <v>100</v>
      </c>
      <c r="T36" s="770" t="s">
        <v>17</v>
      </c>
      <c r="U36" s="771">
        <f t="shared" si="13"/>
        <v>100</v>
      </c>
      <c r="V36" s="770" t="s">
        <v>17</v>
      </c>
      <c r="W36" s="771">
        <f t="shared" si="14"/>
        <v>100</v>
      </c>
      <c r="X36" s="1793"/>
      <c r="Y36" s="3676"/>
      <c r="Z36" s="1794" t="str">
        <f t="shared" si="15"/>
        <v>公共部分装修</v>
      </c>
      <c r="AA36" s="1791">
        <f t="shared" si="3"/>
        <v>1</v>
      </c>
      <c r="AB36" s="1791">
        <f t="shared" si="4"/>
        <v>1</v>
      </c>
      <c r="AC36" s="2646">
        <f t="shared" si="5"/>
        <v>1</v>
      </c>
    </row>
    <row r="37" spans="1:29" ht="15">
      <c r="A37" s="471"/>
      <c r="B37" s="421" t="s">
        <v>2650</v>
      </c>
      <c r="C37" s="473">
        <v>0.8</v>
      </c>
      <c r="D37" s="434">
        <v>100</v>
      </c>
      <c r="E37" s="3413">
        <v>0.8</v>
      </c>
      <c r="F37" s="3414">
        <f>LOOKUP(E37,111:111,112:112)-LOOKUP(C37,111:111,112:112)+100</f>
        <v>100</v>
      </c>
      <c r="G37" s="3413">
        <v>0.8</v>
      </c>
      <c r="H37" s="3414">
        <f>LOOKUP(G37,111:111,112:112)-LOOKUP(C37,111:111,112:112)+100</f>
        <v>100</v>
      </c>
      <c r="I37" s="3413">
        <v>0.8</v>
      </c>
      <c r="J37" s="3412">
        <f>LOOKUP(I37,111:111,112:112)-LOOKUP(C37,111:111,112:112)+100</f>
        <v>100</v>
      </c>
      <c r="K37" s="611"/>
      <c r="L37" s="1123"/>
      <c r="M37" s="1114"/>
      <c r="N37" s="1114"/>
      <c r="O37" s="1114"/>
      <c r="P37" s="3674"/>
      <c r="Q37" s="1790" t="str">
        <f t="shared" si="11"/>
        <v>成新度</v>
      </c>
      <c r="R37" s="770" t="s">
        <v>17</v>
      </c>
      <c r="S37" s="771">
        <f t="shared" si="12"/>
        <v>100</v>
      </c>
      <c r="T37" s="770" t="s">
        <v>17</v>
      </c>
      <c r="U37" s="771">
        <f t="shared" si="13"/>
        <v>100</v>
      </c>
      <c r="V37" s="770" t="s">
        <v>17</v>
      </c>
      <c r="W37" s="771">
        <f t="shared" si="14"/>
        <v>100</v>
      </c>
      <c r="X37" s="1793"/>
      <c r="Y37" s="3676"/>
      <c r="Z37" s="1794" t="str">
        <f t="shared" si="15"/>
        <v>成新度</v>
      </c>
      <c r="AA37" s="1791">
        <f t="shared" si="3"/>
        <v>1</v>
      </c>
      <c r="AB37" s="1791">
        <f t="shared" si="4"/>
        <v>1</v>
      </c>
      <c r="AC37" s="2646">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674"/>
      <c r="Q38" s="1775" t="str">
        <f t="shared" si="11"/>
        <v>写字楼等级</v>
      </c>
      <c r="R38" s="766" t="s">
        <v>17</v>
      </c>
      <c r="S38" s="767">
        <f t="shared" si="12"/>
        <v>100</v>
      </c>
      <c r="T38" s="766" t="s">
        <v>17</v>
      </c>
      <c r="U38" s="767">
        <f t="shared" si="13"/>
        <v>100</v>
      </c>
      <c r="V38" s="766" t="s">
        <v>17</v>
      </c>
      <c r="W38" s="767">
        <f t="shared" si="14"/>
        <v>100</v>
      </c>
      <c r="X38" s="768"/>
      <c r="Y38" s="3676"/>
      <c r="Z38" s="55" t="str">
        <f t="shared" si="15"/>
        <v>写字楼等级</v>
      </c>
      <c r="AA38" s="769">
        <f t="shared" si="3"/>
        <v>1</v>
      </c>
      <c r="AB38" s="769">
        <f t="shared" si="4"/>
        <v>1</v>
      </c>
      <c r="AC38" s="2643">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674" t="s">
        <v>2553</v>
      </c>
      <c r="Q39" s="1790" t="str">
        <f t="shared" si="11"/>
        <v>物业管理</v>
      </c>
      <c r="R39" s="770" t="s">
        <v>17</v>
      </c>
      <c r="S39" s="771">
        <f t="shared" si="12"/>
        <v>100</v>
      </c>
      <c r="T39" s="770" t="s">
        <v>17</v>
      </c>
      <c r="U39" s="771">
        <f t="shared" si="13"/>
        <v>100</v>
      </c>
      <c r="V39" s="770" t="s">
        <v>17</v>
      </c>
      <c r="W39" s="771">
        <f t="shared" si="14"/>
        <v>100</v>
      </c>
      <c r="X39" s="1793"/>
      <c r="Y39" s="3676" t="s">
        <v>2553</v>
      </c>
      <c r="Z39" s="1794" t="str">
        <f t="shared" si="15"/>
        <v>物业管理</v>
      </c>
      <c r="AA39" s="1791">
        <f t="shared" si="3"/>
        <v>1</v>
      </c>
      <c r="AB39" s="1791">
        <f t="shared" si="4"/>
        <v>1</v>
      </c>
      <c r="AC39" s="2646">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674"/>
      <c r="Q40" s="1790" t="str">
        <f t="shared" si="11"/>
        <v>市政基础设施</v>
      </c>
      <c r="R40" s="770" t="s">
        <v>17</v>
      </c>
      <c r="S40" s="771">
        <f t="shared" si="12"/>
        <v>100</v>
      </c>
      <c r="T40" s="770" t="s">
        <v>17</v>
      </c>
      <c r="U40" s="771">
        <f t="shared" si="13"/>
        <v>100</v>
      </c>
      <c r="V40" s="770" t="s">
        <v>17</v>
      </c>
      <c r="W40" s="771">
        <f t="shared" si="14"/>
        <v>100</v>
      </c>
      <c r="X40" s="1793"/>
      <c r="Y40" s="3676"/>
      <c r="Z40" s="1794" t="str">
        <f t="shared" si="15"/>
        <v>市政基础设施</v>
      </c>
      <c r="AA40" s="1791">
        <f t="shared" si="3"/>
        <v>1</v>
      </c>
      <c r="AB40" s="1791">
        <f t="shared" si="4"/>
        <v>1</v>
      </c>
      <c r="AC40" s="2646">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674"/>
      <c r="Q41" s="1790" t="str">
        <f t="shared" si="11"/>
        <v>层高</v>
      </c>
      <c r="R41" s="770" t="s">
        <v>17</v>
      </c>
      <c r="S41" s="771">
        <f t="shared" si="12"/>
        <v>100</v>
      </c>
      <c r="T41" s="770" t="s">
        <v>17</v>
      </c>
      <c r="U41" s="771">
        <f t="shared" si="13"/>
        <v>100</v>
      </c>
      <c r="V41" s="770" t="s">
        <v>17</v>
      </c>
      <c r="W41" s="771">
        <f t="shared" si="14"/>
        <v>100</v>
      </c>
      <c r="X41" s="1793"/>
      <c r="Y41" s="3676"/>
      <c r="Z41" s="1794" t="str">
        <f t="shared" si="15"/>
        <v>层高</v>
      </c>
      <c r="AA41" s="1791">
        <f t="shared" si="3"/>
        <v>1</v>
      </c>
      <c r="AB41" s="1791">
        <f t="shared" si="4"/>
        <v>1</v>
      </c>
      <c r="AC41" s="2646">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74"/>
      <c r="Q42" s="772" t="str">
        <f t="shared" si="11"/>
        <v>单套建筑面积</v>
      </c>
      <c r="R42" s="773" t="s">
        <v>17</v>
      </c>
      <c r="S42" s="774">
        <f t="shared" si="12"/>
        <v>100</v>
      </c>
      <c r="T42" s="773" t="s">
        <v>17</v>
      </c>
      <c r="U42" s="774">
        <f t="shared" si="13"/>
        <v>100</v>
      </c>
      <c r="V42" s="773" t="s">
        <v>17</v>
      </c>
      <c r="W42" s="774">
        <f t="shared" si="14"/>
        <v>100</v>
      </c>
      <c r="X42" s="775"/>
      <c r="Y42" s="3676"/>
      <c r="Z42" s="776" t="str">
        <f t="shared" si="15"/>
        <v>单套建筑面积</v>
      </c>
      <c r="AA42" s="1791">
        <f t="shared" si="3"/>
        <v>1</v>
      </c>
      <c r="AB42" s="1791">
        <f t="shared" si="4"/>
        <v>1</v>
      </c>
      <c r="AC42" s="2646">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674"/>
      <c r="Q43" s="1790" t="str">
        <f t="shared" si="11"/>
        <v>内部装修</v>
      </c>
      <c r="R43" s="770" t="s">
        <v>17</v>
      </c>
      <c r="S43" s="771">
        <f t="shared" si="12"/>
        <v>100</v>
      </c>
      <c r="T43" s="770" t="s">
        <v>17</v>
      </c>
      <c r="U43" s="771">
        <f t="shared" si="13"/>
        <v>100</v>
      </c>
      <c r="V43" s="770" t="s">
        <v>17</v>
      </c>
      <c r="W43" s="771">
        <f t="shared" si="14"/>
        <v>100</v>
      </c>
      <c r="X43" s="1793"/>
      <c r="Y43" s="3676"/>
      <c r="Z43" s="1794" t="str">
        <f t="shared" si="15"/>
        <v>内部装修</v>
      </c>
      <c r="AA43" s="1791">
        <f t="shared" si="3"/>
        <v>1</v>
      </c>
      <c r="AB43" s="1791">
        <f t="shared" si="4"/>
        <v>1</v>
      </c>
      <c r="AC43" s="2646">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674"/>
      <c r="Q44" s="1790" t="str">
        <f t="shared" si="11"/>
        <v>内部装修维护情况</v>
      </c>
      <c r="R44" s="770" t="s">
        <v>17</v>
      </c>
      <c r="S44" s="771">
        <f t="shared" si="12"/>
        <v>100</v>
      </c>
      <c r="T44" s="770" t="s">
        <v>17</v>
      </c>
      <c r="U44" s="771">
        <f t="shared" si="13"/>
        <v>100</v>
      </c>
      <c r="V44" s="770" t="s">
        <v>17</v>
      </c>
      <c r="W44" s="771">
        <f t="shared" si="14"/>
        <v>100</v>
      </c>
      <c r="X44" s="1793"/>
      <c r="Y44" s="3676"/>
      <c r="Z44" s="1794" t="str">
        <f t="shared" si="15"/>
        <v>内部装修维护情况</v>
      </c>
      <c r="AA44" s="1791">
        <f t="shared" si="3"/>
        <v>1</v>
      </c>
      <c r="AB44" s="1791">
        <f t="shared" si="4"/>
        <v>1</v>
      </c>
      <c r="AC44" s="2646">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74"/>
      <c r="Q45" s="1775">
        <f t="shared" si="11"/>
        <v>111</v>
      </c>
      <c r="R45" s="766" t="s">
        <v>17</v>
      </c>
      <c r="S45" s="767">
        <f t="shared" si="12"/>
        <v>100</v>
      </c>
      <c r="T45" s="766" t="s">
        <v>17</v>
      </c>
      <c r="U45" s="767">
        <f t="shared" si="13"/>
        <v>100</v>
      </c>
      <c r="V45" s="766" t="s">
        <v>17</v>
      </c>
      <c r="W45" s="767">
        <f t="shared" si="14"/>
        <v>100</v>
      </c>
      <c r="X45" s="768"/>
      <c r="Y45" s="3676"/>
      <c r="Z45" s="55">
        <f t="shared" si="15"/>
        <v>111</v>
      </c>
      <c r="AA45" s="769">
        <f t="shared" si="3"/>
        <v>1</v>
      </c>
      <c r="AB45" s="769">
        <f t="shared" si="4"/>
        <v>1</v>
      </c>
      <c r="AC45" s="2643">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74"/>
      <c r="Q46" s="1790">
        <f t="shared" si="11"/>
        <v>111</v>
      </c>
      <c r="R46" s="770" t="s">
        <v>17</v>
      </c>
      <c r="S46" s="771">
        <f t="shared" si="12"/>
        <v>100</v>
      </c>
      <c r="T46" s="770" t="s">
        <v>17</v>
      </c>
      <c r="U46" s="771">
        <f t="shared" si="13"/>
        <v>100</v>
      </c>
      <c r="V46" s="770" t="s">
        <v>17</v>
      </c>
      <c r="W46" s="771">
        <f t="shared" si="14"/>
        <v>100</v>
      </c>
      <c r="X46" s="1793"/>
      <c r="Y46" s="3676"/>
      <c r="Z46" s="1794">
        <f t="shared" si="15"/>
        <v>111</v>
      </c>
      <c r="AA46" s="1791">
        <f t="shared" si="3"/>
        <v>1</v>
      </c>
      <c r="AB46" s="1791">
        <f t="shared" si="4"/>
        <v>1</v>
      </c>
      <c r="AC46" s="2646">
        <f t="shared" si="5"/>
        <v>1</v>
      </c>
    </row>
    <row r="47" spans="1:29" ht="15.75" thickBot="1">
      <c r="A47" s="477"/>
      <c r="B47" s="2574">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75"/>
      <c r="Q47" s="1790">
        <f t="shared" si="11"/>
        <v>0.995</v>
      </c>
      <c r="R47" s="770" t="s">
        <v>17</v>
      </c>
      <c r="S47" s="771">
        <f t="shared" si="12"/>
        <v>100</v>
      </c>
      <c r="T47" s="770" t="s">
        <v>17</v>
      </c>
      <c r="U47" s="771">
        <f t="shared" si="13"/>
        <v>100</v>
      </c>
      <c r="V47" s="770" t="s">
        <v>17</v>
      </c>
      <c r="W47" s="771">
        <f t="shared" si="14"/>
        <v>100</v>
      </c>
      <c r="X47" s="1793"/>
      <c r="Y47" s="3677"/>
      <c r="Z47" s="1794">
        <f t="shared" si="15"/>
        <v>0.995</v>
      </c>
      <c r="AA47" s="1791">
        <f t="shared" si="3"/>
        <v>1</v>
      </c>
      <c r="AB47" s="1791">
        <f t="shared" si="4"/>
        <v>1</v>
      </c>
      <c r="AC47" s="2646">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79" t="str">
        <f>A48</f>
        <v>成交单价（元/平方米）</v>
      </c>
      <c r="Q48" s="3664"/>
      <c r="R48" s="3665">
        <f>E48</f>
        <v>40000</v>
      </c>
      <c r="S48" s="3665"/>
      <c r="T48" s="3665">
        <f>G48</f>
        <v>40000</v>
      </c>
      <c r="U48" s="3665"/>
      <c r="V48" s="3665">
        <f>I48</f>
        <v>40000</v>
      </c>
      <c r="W48" s="3665"/>
      <c r="X48" s="445"/>
      <c r="Y48" s="777"/>
      <c r="Z48" s="445"/>
      <c r="AA48" s="445"/>
      <c r="AB48" s="445"/>
      <c r="AC48" s="629"/>
    </row>
    <row r="49" spans="1:29" ht="15.75" thickBot="1">
      <c r="A49" s="485" t="s">
        <v>2657</v>
      </c>
      <c r="B49" s="486"/>
      <c r="C49" s="1394" t="e">
        <f>R50</f>
        <v>#REF!</v>
      </c>
      <c r="D49" s="1395"/>
      <c r="E49" s="1396" t="e">
        <f>R49</f>
        <v>#REF!</v>
      </c>
      <c r="F49" s="1396"/>
      <c r="G49" s="1394" t="e">
        <f>T49</f>
        <v>#REF!</v>
      </c>
      <c r="H49" s="1395"/>
      <c r="I49" s="1396" t="e">
        <f>V49</f>
        <v>#REF!</v>
      </c>
      <c r="J49" s="488"/>
      <c r="K49" s="780"/>
      <c r="L49" s="1126"/>
      <c r="M49" s="1114"/>
      <c r="N49" s="1114"/>
      <c r="O49" s="1114"/>
      <c r="P49" s="3679" t="str">
        <f>A49</f>
        <v>比较价值（元/平方米）</v>
      </c>
      <c r="Q49" s="3664"/>
      <c r="R49" s="3665" t="e">
        <f>IF(F1="售价",ROUND(PRODUCT(R48,AA7:AA47),0),ROUND(PRODUCT(R48,AA7:AA47),1))</f>
        <v>#REF!</v>
      </c>
      <c r="S49" s="3665"/>
      <c r="T49" s="3665" t="e">
        <f>IF(F1="售价",ROUND(PRODUCT(T48,AB7:AB47),0),ROUND(PRODUCT(T48,AB7:AB47),1))</f>
        <v>#REF!</v>
      </c>
      <c r="U49" s="3665"/>
      <c r="V49" s="3665" t="e">
        <f>IF(F1="售价",ROUND(PRODUCT(V48,AC7:AC47),0),ROUND(PRODUCT(V48,AC7:AC47),1))</f>
        <v>#REF!</v>
      </c>
      <c r="W49" s="3665"/>
      <c r="X49" s="445"/>
      <c r="Y49" s="445"/>
      <c r="Z49" s="445"/>
      <c r="AA49" s="445"/>
      <c r="AB49" s="445"/>
      <c r="AC49" s="629"/>
    </row>
    <row r="50" spans="1:29" ht="15.75" thickBot="1">
      <c r="A50" s="491" t="s">
        <v>2658</v>
      </c>
      <c r="B50" s="492"/>
      <c r="C50" s="1398" t="e">
        <f>R50</f>
        <v>#REF!</v>
      </c>
      <c r="D50" s="1398"/>
      <c r="E50" s="1398"/>
      <c r="F50" s="1398"/>
      <c r="G50" s="1398"/>
      <c r="H50" s="1398"/>
      <c r="I50" s="1398"/>
      <c r="J50" s="493"/>
      <c r="K50" s="781"/>
      <c r="L50" s="1126"/>
      <c r="M50" s="1114"/>
      <c r="N50" s="1114"/>
      <c r="O50" s="1114"/>
      <c r="P50" s="3720" t="str">
        <f>A50</f>
        <v>估价对象XX用房的比较价值（楼面单价，元/平方米）</v>
      </c>
      <c r="Q50" s="3721"/>
      <c r="R50" s="3722" t="e">
        <f>IF(F1="售价",ROUND(AVERAGE(R49:V49),0),ROUND(AVERAGE(R49:V49),1))</f>
        <v>#REF!</v>
      </c>
      <c r="S50" s="3722"/>
      <c r="T50" s="3722"/>
      <c r="U50" s="3722"/>
      <c r="V50" s="3722"/>
      <c r="W50" s="3722"/>
      <c r="X50" s="2626"/>
      <c r="Y50" s="2626"/>
      <c r="Z50" s="2626"/>
      <c r="AA50" s="2626"/>
      <c r="AB50" s="2626"/>
      <c r="AC50" s="2627"/>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t="e">
        <f>IF(E48&lt;E49,E49/E48-1,E48/E49-1)</f>
        <v>#REF!</v>
      </c>
      <c r="F53" s="499" t="e">
        <f>IF(OR(E53&gt;=0.3,E53&lt;=-0.3),"超过30%","")</f>
        <v>#REF!</v>
      </c>
      <c r="G53" s="498" t="e">
        <f>IF(G48&lt;G49,G49/G48-1,G48/G49-1)</f>
        <v>#REF!</v>
      </c>
      <c r="H53" s="499" t="e">
        <f>IF(OR(G53&gt;=0.3,G53&lt;=-0.3),"超过30%","")</f>
        <v>#REF!</v>
      </c>
      <c r="I53" s="498" t="e">
        <f>IF(I48&lt;I49,I49/I48-1,I48/I49-1)</f>
        <v>#REF!</v>
      </c>
      <c r="J53" s="499" t="e">
        <f>IF(OR(I53&gt;=0.3,I53&lt;=-0.3),"超过30%","")</f>
        <v>#REF!</v>
      </c>
      <c r="K53" s="1095"/>
      <c r="L53" s="1096"/>
      <c r="M53" s="1127"/>
      <c r="N53" s="1127"/>
      <c r="O53" s="1127"/>
    </row>
    <row r="54" spans="1:29" ht="13.5" customHeight="1">
      <c r="A54" s="1127"/>
      <c r="B54" s="1127"/>
      <c r="C54" s="496" t="s">
        <v>2660</v>
      </c>
      <c r="D54" s="500"/>
      <c r="E54" s="498" t="e">
        <f>IF(E49&lt;G49,G49/E49-1,E49/G49-1)</f>
        <v>#REF!</v>
      </c>
      <c r="F54" s="499" t="e">
        <f>IF(OR(E54&gt;=0.2,E54&lt;=-0.2),"超过20%","")</f>
        <v>#REF!</v>
      </c>
      <c r="G54" s="498" t="e">
        <f>IF(G49&lt;I49,I49/G49-1,G49/I49-1)</f>
        <v>#REF!</v>
      </c>
      <c r="H54" s="499" t="e">
        <f>IF(OR(G54&gt;=0.2,G54&lt;=-0.2),"超过20%","")</f>
        <v>#REF!</v>
      </c>
      <c r="I54" s="498" t="e">
        <f>IF(I49&lt;E49,E49/I49-1,I49/E49-1)</f>
        <v>#REF!</v>
      </c>
      <c r="J54" s="499" t="e">
        <f>IF(OR(I54&gt;=0.2,I54&lt;=-0.2),"超过20%","")</f>
        <v>#REF!</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2"/>
    </row>
    <row r="56" spans="1:29" s="501" customFormat="1">
      <c r="A56" s="1128"/>
      <c r="B56" s="1129"/>
      <c r="C56" s="1133"/>
      <c r="D56" s="1128"/>
      <c r="E56" s="1128"/>
      <c r="F56" s="1128"/>
      <c r="G56" s="1128"/>
      <c r="H56" s="1128"/>
      <c r="I56" s="1128"/>
      <c r="J56" s="1128"/>
      <c r="K56" s="1131"/>
      <c r="L56" s="1132"/>
      <c r="M56" s="1128"/>
      <c r="N56" s="1128"/>
      <c r="O56" s="1128"/>
      <c r="P56" s="2652"/>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3"/>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4"/>
    </row>
    <row r="61" spans="1:29" s="117" customFormat="1" ht="15.75" thickBot="1">
      <c r="A61" s="514" t="s">
        <v>2573</v>
      </c>
      <c r="B61" s="515"/>
      <c r="C61" s="516"/>
      <c r="D61" s="517"/>
      <c r="E61" s="517"/>
      <c r="F61" s="517"/>
      <c r="G61" s="517"/>
      <c r="H61" s="517"/>
      <c r="I61" s="517"/>
      <c r="J61" s="517"/>
      <c r="K61" s="517"/>
      <c r="L61" s="517"/>
      <c r="M61" s="518"/>
      <c r="N61" s="517"/>
      <c r="O61" s="518"/>
      <c r="P61" s="2654"/>
      <c r="Q61" s="503"/>
    </row>
    <row r="62" spans="1:29" s="117" customFormat="1" ht="15">
      <c r="A62" s="520" t="s">
        <v>2538</v>
      </c>
      <c r="B62" s="509"/>
      <c r="C62" s="521" t="s">
        <v>2640</v>
      </c>
      <c r="D62" s="522"/>
      <c r="E62" s="522"/>
      <c r="F62" s="522"/>
      <c r="G62" s="522"/>
      <c r="H62" s="522"/>
      <c r="I62" s="522"/>
      <c r="J62" s="522"/>
      <c r="K62" s="522"/>
      <c r="L62" s="523"/>
      <c r="M62" s="524"/>
      <c r="N62" s="1134"/>
      <c r="O62" s="1134"/>
      <c r="P62" s="2655"/>
      <c r="Q62" s="503"/>
    </row>
    <row r="63" spans="1:29" s="117" customFormat="1" ht="15.75" thickBot="1">
      <c r="A63" s="520"/>
      <c r="B63" s="509"/>
      <c r="C63" s="510">
        <v>100</v>
      </c>
      <c r="D63" s="511"/>
      <c r="E63" s="511"/>
      <c r="F63" s="511"/>
      <c r="G63" s="511"/>
      <c r="H63" s="511"/>
      <c r="I63" s="511"/>
      <c r="J63" s="511"/>
      <c r="K63" s="511"/>
      <c r="L63" s="511"/>
      <c r="M63" s="513"/>
      <c r="N63" s="1134"/>
      <c r="O63" s="1134"/>
      <c r="P63" s="2654"/>
      <c r="Q63" s="503"/>
    </row>
    <row r="64" spans="1:29">
      <c r="A64" s="526" t="s">
        <v>2576</v>
      </c>
      <c r="B64" s="527" t="s">
        <v>2542</v>
      </c>
      <c r="C64" s="528" t="str">
        <f>C9</f>
        <v>办公</v>
      </c>
      <c r="D64" s="529"/>
      <c r="E64" s="529"/>
      <c r="F64" s="529"/>
      <c r="G64" s="529"/>
      <c r="H64" s="529"/>
      <c r="I64" s="529"/>
      <c r="J64" s="529"/>
      <c r="K64" s="530"/>
      <c r="L64" s="531"/>
      <c r="M64" s="532"/>
      <c r="N64" s="1135"/>
      <c r="O64" s="1135"/>
      <c r="P64" s="2656"/>
      <c r="Q64" s="503"/>
    </row>
    <row r="65" spans="1:17" ht="15.75" thickBot="1">
      <c r="A65" s="533"/>
      <c r="B65" s="534"/>
      <c r="C65" s="535">
        <v>100</v>
      </c>
      <c r="D65" s="535"/>
      <c r="E65" s="535"/>
      <c r="F65" s="535"/>
      <c r="G65" s="535"/>
      <c r="H65" s="535"/>
      <c r="I65" s="535"/>
      <c r="J65" s="535"/>
      <c r="K65" s="535"/>
      <c r="L65" s="535"/>
      <c r="M65" s="536"/>
      <c r="N65" s="1136"/>
      <c r="O65" s="1136"/>
      <c r="P65" s="2656"/>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6"/>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6"/>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6"/>
      <c r="Q68" s="503"/>
    </row>
    <row r="69" spans="1:17" ht="15">
      <c r="A69" s="533"/>
      <c r="B69" s="547"/>
      <c r="C69" s="548">
        <v>0</v>
      </c>
      <c r="D69" s="548">
        <v>2</v>
      </c>
      <c r="E69" s="548">
        <v>4</v>
      </c>
      <c r="F69" s="548">
        <v>6</v>
      </c>
      <c r="G69" s="548">
        <v>8</v>
      </c>
      <c r="H69" s="548">
        <v>10</v>
      </c>
      <c r="I69" s="548">
        <v>12</v>
      </c>
      <c r="J69" s="548"/>
      <c r="K69" s="549"/>
      <c r="L69" s="550"/>
      <c r="M69" s="551"/>
      <c r="N69" s="1135"/>
      <c r="O69" s="1135"/>
      <c r="P69" s="2656"/>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6"/>
      <c r="Q70" s="503"/>
    </row>
    <row r="71" spans="1:17" s="470" customFormat="1" ht="15.75" thickTop="1">
      <c r="A71" s="552"/>
      <c r="B71" s="537">
        <f>B12</f>
        <v>111</v>
      </c>
      <c r="C71" s="553"/>
      <c r="D71" s="553"/>
      <c r="E71" s="553"/>
      <c r="F71" s="553"/>
      <c r="G71" s="553"/>
      <c r="H71" s="554"/>
      <c r="I71" s="554"/>
      <c r="J71" s="554"/>
      <c r="K71" s="554"/>
      <c r="L71" s="555"/>
      <c r="M71" s="556"/>
      <c r="N71" s="1137"/>
      <c r="O71" s="1137"/>
      <c r="P71" s="2657"/>
      <c r="Q71" s="558"/>
    </row>
    <row r="72" spans="1:17" s="470" customFormat="1" ht="15.75" thickBot="1">
      <c r="A72" s="552"/>
      <c r="B72" s="542"/>
      <c r="C72" s="559"/>
      <c r="D72" s="535"/>
      <c r="E72" s="535"/>
      <c r="F72" s="535"/>
      <c r="G72" s="535"/>
      <c r="H72" s="535"/>
      <c r="I72" s="535"/>
      <c r="J72" s="535"/>
      <c r="K72" s="535"/>
      <c r="L72" s="535"/>
      <c r="M72" s="536"/>
      <c r="N72" s="1136"/>
      <c r="O72" s="1136"/>
      <c r="P72" s="2657"/>
      <c r="Q72" s="558"/>
    </row>
    <row r="73" spans="1:17" s="470" customFormat="1" ht="15.75" thickTop="1">
      <c r="A73" s="552"/>
      <c r="B73" s="537">
        <f>B13</f>
        <v>111</v>
      </c>
      <c r="C73" s="553"/>
      <c r="D73" s="553"/>
      <c r="E73" s="553"/>
      <c r="F73" s="553"/>
      <c r="G73" s="553"/>
      <c r="H73" s="554"/>
      <c r="I73" s="554"/>
      <c r="J73" s="554"/>
      <c r="K73" s="554"/>
      <c r="L73" s="555"/>
      <c r="M73" s="556"/>
      <c r="N73" s="1137"/>
      <c r="O73" s="1137"/>
      <c r="P73" s="2658"/>
      <c r="Q73" s="560"/>
    </row>
    <row r="74" spans="1:17" s="470" customFormat="1" ht="15.75" thickBot="1">
      <c r="A74" s="552"/>
      <c r="B74" s="542"/>
      <c r="C74" s="559"/>
      <c r="D74" s="559"/>
      <c r="E74" s="559"/>
      <c r="F74" s="559"/>
      <c r="G74" s="559"/>
      <c r="H74" s="561"/>
      <c r="I74" s="561"/>
      <c r="J74" s="561"/>
      <c r="K74" s="561"/>
      <c r="L74" s="561"/>
      <c r="M74" s="562"/>
      <c r="N74" s="1137"/>
      <c r="O74" s="1137"/>
      <c r="P74" s="2657"/>
      <c r="Q74" s="558"/>
    </row>
    <row r="75" spans="1:17" s="470" customFormat="1" ht="15.75" thickTop="1">
      <c r="A75" s="552"/>
      <c r="B75" s="545">
        <f>B14</f>
        <v>111</v>
      </c>
      <c r="C75" s="522"/>
      <c r="D75" s="522"/>
      <c r="E75" s="522"/>
      <c r="F75" s="522"/>
      <c r="G75" s="522"/>
      <c r="H75" s="563"/>
      <c r="I75" s="563"/>
      <c r="J75" s="563"/>
      <c r="K75" s="563"/>
      <c r="L75" s="564"/>
      <c r="M75" s="565"/>
      <c r="N75" s="1137"/>
      <c r="O75" s="1137"/>
      <c r="P75" s="2659"/>
      <c r="Q75" s="558"/>
    </row>
    <row r="76" spans="1:17" s="470" customFormat="1" ht="15.75" thickBot="1">
      <c r="A76" s="567"/>
      <c r="B76" s="568"/>
      <c r="C76" s="569"/>
      <c r="D76" s="569"/>
      <c r="E76" s="569"/>
      <c r="F76" s="569"/>
      <c r="G76" s="569"/>
      <c r="H76" s="570"/>
      <c r="I76" s="570"/>
      <c r="J76" s="570"/>
      <c r="K76" s="570"/>
      <c r="L76" s="570"/>
      <c r="M76" s="571"/>
      <c r="N76" s="1137"/>
      <c r="O76" s="1137"/>
      <c r="P76" s="2657"/>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0"/>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6"/>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6"/>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6"/>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6"/>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6"/>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6"/>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6"/>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6"/>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6"/>
      <c r="Q86" s="503"/>
    </row>
    <row r="87" spans="1:17" s="117" customFormat="1" ht="27.75" thickTop="1">
      <c r="A87" s="578"/>
      <c r="B87" s="537" t="s">
        <v>2687</v>
      </c>
      <c r="C87" s="2968" t="s">
        <v>3118</v>
      </c>
      <c r="D87" s="2968" t="s">
        <v>3119</v>
      </c>
      <c r="E87" s="2968" t="s">
        <v>3120</v>
      </c>
      <c r="F87" s="2968" t="s">
        <v>3121</v>
      </c>
      <c r="G87" s="2968" t="s">
        <v>3122</v>
      </c>
      <c r="H87" s="553"/>
      <c r="I87" s="553"/>
      <c r="J87" s="553"/>
      <c r="K87" s="553"/>
      <c r="L87" s="579"/>
      <c r="M87" s="580"/>
      <c r="N87" s="1134"/>
      <c r="O87" s="1134"/>
      <c r="P87" s="2656"/>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6"/>
      <c r="Q88" s="503"/>
    </row>
    <row r="89" spans="1:17" s="117" customFormat="1" ht="15.75" thickTop="1">
      <c r="A89" s="578"/>
      <c r="B89" s="537" t="str">
        <f>B27</f>
        <v>楼层</v>
      </c>
      <c r="C89" s="2968" t="s">
        <v>3115</v>
      </c>
      <c r="D89" s="2968" t="s">
        <v>3116</v>
      </c>
      <c r="E89" s="2968" t="s">
        <v>3117</v>
      </c>
      <c r="F89" s="2607"/>
      <c r="G89" s="553"/>
      <c r="H89" s="553"/>
      <c r="I89" s="553"/>
      <c r="J89" s="553"/>
      <c r="K89" s="553"/>
      <c r="L89" s="553"/>
      <c r="M89" s="580"/>
      <c r="N89" s="1134"/>
      <c r="O89" s="1134"/>
      <c r="P89" s="2656"/>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6"/>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7"/>
      <c r="Q92" s="558"/>
    </row>
    <row r="93" spans="1:17" ht="15.75" thickTop="1">
      <c r="A93" s="533"/>
      <c r="B93" s="537">
        <f>B29</f>
        <v>111</v>
      </c>
      <c r="C93" s="553"/>
      <c r="D93" s="553"/>
      <c r="E93" s="553"/>
      <c r="F93" s="553"/>
      <c r="G93" s="553"/>
      <c r="H93" s="553"/>
      <c r="I93" s="553"/>
      <c r="J93" s="553"/>
      <c r="K93" s="553"/>
      <c r="L93" s="579"/>
      <c r="M93" s="580"/>
      <c r="N93" s="1135"/>
      <c r="O93" s="1135"/>
      <c r="P93" s="2656"/>
      <c r="Q93" s="503"/>
    </row>
    <row r="94" spans="1:17" ht="15.75" thickBot="1">
      <c r="A94" s="533"/>
      <c r="B94" s="542"/>
      <c r="C94" s="559"/>
      <c r="D94" s="535"/>
      <c r="E94" s="535"/>
      <c r="F94" s="535"/>
      <c r="G94" s="535"/>
      <c r="H94" s="535"/>
      <c r="I94" s="535"/>
      <c r="J94" s="535"/>
      <c r="K94" s="535"/>
      <c r="L94" s="535"/>
      <c r="M94" s="536"/>
      <c r="N94" s="1136"/>
      <c r="O94" s="1136"/>
      <c r="P94" s="2656"/>
      <c r="Q94" s="503"/>
    </row>
    <row r="95" spans="1:17" ht="15.75" thickTop="1">
      <c r="A95" s="533"/>
      <c r="B95" s="537">
        <f>B30</f>
        <v>111</v>
      </c>
      <c r="C95" s="553"/>
      <c r="D95" s="553"/>
      <c r="E95" s="553"/>
      <c r="F95" s="553"/>
      <c r="G95" s="582"/>
      <c r="H95" s="582"/>
      <c r="I95" s="582"/>
      <c r="J95" s="582"/>
      <c r="K95" s="583"/>
      <c r="L95" s="584"/>
      <c r="M95" s="585"/>
      <c r="N95" s="1135"/>
      <c r="O95" s="1135"/>
      <c r="P95" s="2656"/>
      <c r="Q95" s="503"/>
    </row>
    <row r="96" spans="1:17" ht="15.75" thickBot="1">
      <c r="A96" s="533"/>
      <c r="B96" s="542"/>
      <c r="C96" s="559"/>
      <c r="D96" s="559"/>
      <c r="E96" s="559"/>
      <c r="F96" s="559"/>
      <c r="G96" s="535"/>
      <c r="H96" s="535"/>
      <c r="I96" s="535"/>
      <c r="J96" s="535"/>
      <c r="K96" s="535"/>
      <c r="L96" s="535"/>
      <c r="M96" s="536"/>
      <c r="N96" s="1136"/>
      <c r="O96" s="1136"/>
      <c r="P96" s="2656"/>
      <c r="Q96" s="503"/>
    </row>
    <row r="97" spans="1:17" ht="15.75" thickTop="1">
      <c r="A97" s="533"/>
      <c r="B97" s="537">
        <f>B31</f>
        <v>111</v>
      </c>
      <c r="C97" s="553"/>
      <c r="D97" s="553"/>
      <c r="E97" s="553"/>
      <c r="F97" s="553"/>
      <c r="G97" s="582"/>
      <c r="H97" s="582"/>
      <c r="I97" s="582"/>
      <c r="J97" s="582"/>
      <c r="K97" s="583"/>
      <c r="L97" s="584"/>
      <c r="M97" s="585"/>
      <c r="N97" s="1135"/>
      <c r="O97" s="1135"/>
      <c r="P97" s="2656"/>
      <c r="Q97" s="503"/>
    </row>
    <row r="98" spans="1:17" ht="15.75" thickBot="1">
      <c r="A98" s="533"/>
      <c r="B98" s="542"/>
      <c r="C98" s="559"/>
      <c r="D98" s="535"/>
      <c r="E98" s="535"/>
      <c r="F98" s="535"/>
      <c r="G98" s="535"/>
      <c r="H98" s="535"/>
      <c r="I98" s="535"/>
      <c r="J98" s="535"/>
      <c r="K98" s="535"/>
      <c r="L98" s="535"/>
      <c r="M98" s="536"/>
      <c r="N98" s="1136"/>
      <c r="O98" s="1136"/>
      <c r="P98" s="2656"/>
      <c r="Q98" s="503"/>
    </row>
    <row r="99" spans="1:17" ht="15.75" thickTop="1">
      <c r="A99" s="533"/>
      <c r="B99" s="545">
        <f>B32</f>
        <v>111</v>
      </c>
      <c r="C99" s="522"/>
      <c r="D99" s="522"/>
      <c r="E99" s="522"/>
      <c r="F99" s="522"/>
      <c r="G99" s="586"/>
      <c r="H99" s="586"/>
      <c r="I99" s="586"/>
      <c r="J99" s="586"/>
      <c r="K99" s="587"/>
      <c r="L99" s="588"/>
      <c r="M99" s="589"/>
      <c r="N99" s="1135"/>
      <c r="O99" s="1135"/>
      <c r="P99" s="2656"/>
      <c r="Q99" s="503"/>
    </row>
    <row r="100" spans="1:17" ht="15.75" thickBot="1">
      <c r="A100" s="2608"/>
      <c r="B100" s="568"/>
      <c r="C100" s="569"/>
      <c r="D100" s="569"/>
      <c r="E100" s="569"/>
      <c r="F100" s="569"/>
      <c r="G100" s="590"/>
      <c r="H100" s="590"/>
      <c r="I100" s="590"/>
      <c r="J100" s="590"/>
      <c r="K100" s="590"/>
      <c r="L100" s="590"/>
      <c r="M100" s="591"/>
      <c r="N100" s="1136"/>
      <c r="O100" s="1136"/>
      <c r="P100" s="2656"/>
      <c r="Q100" s="503"/>
    </row>
    <row r="101" spans="1:17">
      <c r="A101" s="526" t="s">
        <v>2551</v>
      </c>
      <c r="B101" s="527" t="s">
        <v>2600</v>
      </c>
      <c r="C101" s="2977" t="s">
        <v>3144</v>
      </c>
      <c r="D101" s="529"/>
      <c r="E101" s="529"/>
      <c r="F101" s="529"/>
      <c r="G101" s="529"/>
      <c r="H101" s="529"/>
      <c r="I101" s="529"/>
      <c r="J101" s="529"/>
      <c r="K101" s="530"/>
      <c r="L101" s="531"/>
      <c r="M101" s="532"/>
      <c r="N101" s="1135"/>
      <c r="O101" s="1135"/>
      <c r="P101" s="265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6"/>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6"/>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7"/>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7"/>
      <c r="Q105" s="558"/>
    </row>
    <row r="106" spans="1:17" ht="15" thickTop="1">
      <c r="A106" s="598"/>
      <c r="B106" s="537" t="s">
        <v>2602</v>
      </c>
      <c r="C106" s="2968" t="s">
        <v>3123</v>
      </c>
      <c r="D106" s="553"/>
      <c r="E106" s="582"/>
      <c r="F106" s="582"/>
      <c r="G106" s="582"/>
      <c r="H106" s="582"/>
      <c r="I106" s="582"/>
      <c r="J106" s="582"/>
      <c r="K106" s="583"/>
      <c r="L106" s="584"/>
      <c r="M106" s="585"/>
      <c r="N106" s="1135"/>
      <c r="O106" s="1135"/>
      <c r="P106" s="265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6"/>
      <c r="Q107" s="503"/>
    </row>
    <row r="108" spans="1:17" ht="15" thickTop="1">
      <c r="A108" s="598"/>
      <c r="B108" s="537" t="s">
        <v>2604</v>
      </c>
      <c r="C108" s="2968" t="s">
        <v>3124</v>
      </c>
      <c r="D108" s="2968" t="s">
        <v>3125</v>
      </c>
      <c r="E108" s="2968" t="s">
        <v>3126</v>
      </c>
      <c r="F108" s="2971" t="s">
        <v>3127</v>
      </c>
      <c r="G108" s="582"/>
      <c r="H108" s="582"/>
      <c r="I108" s="582"/>
      <c r="J108" s="582"/>
      <c r="K108" s="583"/>
      <c r="L108" s="584"/>
      <c r="M108" s="585"/>
      <c r="N108" s="1135"/>
      <c r="O108" s="1135"/>
      <c r="P108" s="265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6"/>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6"/>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6"/>
      <c r="Q112" s="503"/>
    </row>
    <row r="113" spans="1:17" s="470" customFormat="1" ht="15" thickTop="1">
      <c r="A113" s="592"/>
      <c r="B113" s="537" t="s">
        <v>2688</v>
      </c>
      <c r="C113" s="2968" t="s">
        <v>3128</v>
      </c>
      <c r="D113" s="2968" t="s">
        <v>3129</v>
      </c>
      <c r="E113" s="2968" t="s">
        <v>3130</v>
      </c>
      <c r="F113" s="553"/>
      <c r="G113" s="553"/>
      <c r="H113" s="582"/>
      <c r="I113" s="582"/>
      <c r="J113" s="582"/>
      <c r="K113" s="583"/>
      <c r="L113" s="584"/>
      <c r="M113" s="585"/>
      <c r="N113" s="1137"/>
      <c r="O113" s="1137"/>
      <c r="P113" s="265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7"/>
      <c r="Q114" s="558"/>
    </row>
    <row r="115" spans="1:17" ht="15" thickTop="1">
      <c r="A115" s="598"/>
      <c r="B115" s="537" t="s">
        <v>2605</v>
      </c>
      <c r="C115" s="2975" t="s">
        <v>3132</v>
      </c>
      <c r="D115" s="553"/>
      <c r="E115" s="582"/>
      <c r="F115" s="582"/>
      <c r="G115" s="582"/>
      <c r="H115" s="582"/>
      <c r="I115" s="582"/>
      <c r="J115" s="582"/>
      <c r="K115" s="583"/>
      <c r="L115" s="584"/>
      <c r="M115" s="585"/>
      <c r="N115" s="1135"/>
      <c r="O115" s="1135"/>
      <c r="P115" s="265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6"/>
      <c r="Q116" s="503"/>
    </row>
    <row r="117" spans="1:17" ht="15" thickTop="1">
      <c r="A117" s="598"/>
      <c r="B117" s="537" t="s">
        <v>2606</v>
      </c>
      <c r="C117" s="2968" t="s">
        <v>3133</v>
      </c>
      <c r="D117" s="2968" t="s">
        <v>3134</v>
      </c>
      <c r="E117" s="2968" t="s">
        <v>3135</v>
      </c>
      <c r="F117" s="2968" t="s">
        <v>3136</v>
      </c>
      <c r="G117" s="2968" t="s">
        <v>3137</v>
      </c>
      <c r="H117" s="582"/>
      <c r="I117" s="582"/>
      <c r="J117" s="582"/>
      <c r="K117" s="583"/>
      <c r="L117" s="584"/>
      <c r="M117" s="585"/>
      <c r="N117" s="1135"/>
      <c r="O117" s="1135"/>
      <c r="P117" s="265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6"/>
      <c r="Q118" s="503"/>
    </row>
    <row r="119" spans="1:17" ht="15" thickTop="1">
      <c r="A119" s="598"/>
      <c r="B119" s="635" t="s">
        <v>2689</v>
      </c>
      <c r="C119" s="2971" t="s">
        <v>3138</v>
      </c>
      <c r="D119" s="582"/>
      <c r="E119" s="582"/>
      <c r="F119" s="582"/>
      <c r="G119" s="582"/>
      <c r="H119" s="582"/>
      <c r="I119" s="582"/>
      <c r="J119" s="582"/>
      <c r="K119" s="582"/>
      <c r="L119" s="2661"/>
      <c r="M119" s="2662"/>
      <c r="N119" s="1136"/>
      <c r="O119" s="1136"/>
      <c r="P119" s="266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6"/>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7"/>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7"/>
      <c r="Q122" s="558"/>
    </row>
    <row r="123" spans="1:17" ht="15" thickTop="1">
      <c r="A123" s="598"/>
      <c r="B123" s="537" t="s">
        <v>2608</v>
      </c>
      <c r="C123" s="2968" t="s">
        <v>3124</v>
      </c>
      <c r="D123" s="2968" t="s">
        <v>3125</v>
      </c>
      <c r="E123" s="2968" t="s">
        <v>3139</v>
      </c>
      <c r="F123" s="2971" t="s">
        <v>3140</v>
      </c>
      <c r="G123" s="582"/>
      <c r="H123" s="582"/>
      <c r="I123" s="582"/>
      <c r="J123" s="582"/>
      <c r="K123" s="583"/>
      <c r="L123" s="584"/>
      <c r="M123" s="585"/>
      <c r="N123" s="1135"/>
      <c r="O123" s="1135"/>
      <c r="P123" s="265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6"/>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6"/>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7"/>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7"/>
      <c r="Q128" s="558"/>
    </row>
    <row r="129" spans="1:17" ht="15" thickTop="1">
      <c r="A129" s="598"/>
      <c r="B129" s="537">
        <f>B46</f>
        <v>111</v>
      </c>
      <c r="C129" s="553"/>
      <c r="D129" s="553"/>
      <c r="E129" s="553"/>
      <c r="F129" s="553"/>
      <c r="G129" s="582"/>
      <c r="H129" s="582"/>
      <c r="I129" s="582"/>
      <c r="J129" s="582"/>
      <c r="K129" s="583"/>
      <c r="L129" s="584"/>
      <c r="M129" s="585"/>
      <c r="N129" s="1135"/>
      <c r="O129" s="1135"/>
      <c r="P129" s="2656"/>
      <c r="Q129" s="503"/>
    </row>
    <row r="130" spans="1:17" ht="15.75" thickBot="1">
      <c r="A130" s="533"/>
      <c r="B130" s="542"/>
      <c r="C130" s="559"/>
      <c r="D130" s="559"/>
      <c r="E130" s="559"/>
      <c r="F130" s="559"/>
      <c r="G130" s="535"/>
      <c r="H130" s="535"/>
      <c r="I130" s="535"/>
      <c r="J130" s="535"/>
      <c r="K130" s="535"/>
      <c r="L130" s="535"/>
      <c r="M130" s="536"/>
      <c r="N130" s="1136"/>
      <c r="O130" s="1136"/>
      <c r="P130" s="2656"/>
      <c r="Q130" s="503"/>
    </row>
    <row r="131" spans="1:17" ht="15" thickTop="1">
      <c r="A131" s="598"/>
      <c r="B131" s="545">
        <f>B47</f>
        <v>0.995</v>
      </c>
      <c r="C131" s="522"/>
      <c r="D131" s="522"/>
      <c r="E131" s="522"/>
      <c r="F131" s="522"/>
      <c r="G131" s="586"/>
      <c r="H131" s="586"/>
      <c r="I131" s="586"/>
      <c r="J131" s="586"/>
      <c r="K131" s="522"/>
      <c r="L131" s="523"/>
      <c r="M131" s="589"/>
      <c r="N131" s="1135"/>
      <c r="O131" s="1135"/>
      <c r="P131" s="2656"/>
      <c r="Q131" s="503"/>
    </row>
    <row r="132" spans="1:17" ht="15.75" thickBot="1">
      <c r="A132" s="2608"/>
      <c r="B132" s="568"/>
      <c r="C132" s="569"/>
      <c r="D132" s="569"/>
      <c r="E132" s="569"/>
      <c r="F132" s="569"/>
      <c r="G132" s="590"/>
      <c r="H132" s="590"/>
      <c r="I132" s="590"/>
      <c r="J132" s="590"/>
      <c r="K132" s="590"/>
      <c r="L132" s="590"/>
      <c r="M132" s="591"/>
      <c r="N132" s="1136"/>
      <c r="O132" s="1136"/>
      <c r="P132" s="265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5" t="s">
        <v>2416</v>
      </c>
      <c r="D1" s="242"/>
      <c r="E1" s="242"/>
      <c r="F1" s="242"/>
      <c r="G1" s="1361">
        <f>MATCH(B1,'数据-取费表'!A6:A16,0)+5</f>
        <v>7</v>
      </c>
      <c r="H1" s="1264" t="str">
        <f>IF(ISERROR(FIND("住宅",B1)),"非住宅","住宅")</f>
        <v>非住宅</v>
      </c>
    </row>
    <row r="2" spans="1:8" s="244" customFormat="1" ht="18" customHeight="1">
      <c r="A2" s="245" t="s">
        <v>2315</v>
      </c>
      <c r="B2" s="246">
        <f ca="1">ROUND(IF(D2="——",C52/10000,C52/10000-E2),0)</f>
        <v>12383</v>
      </c>
      <c r="C2" s="243" t="s">
        <v>2316</v>
      </c>
      <c r="D2" s="2519" t="s">
        <v>70</v>
      </c>
      <c r="E2" s="1421" t="e">
        <f ca="1">SUMIF(INDIRECT("'"&amp;G2&amp;"'"&amp;"!A:A"),"承租人权益价值",INDIRECT("'"&amp;G2&amp;"'"&amp;"!c:c"))</f>
        <v>#REF!</v>
      </c>
      <c r="F2" s="2520" t="s">
        <v>2316</v>
      </c>
      <c r="G2" s="2521"/>
    </row>
    <row r="3" spans="1:8" s="244" customFormat="1" ht="18" customHeight="1" thickBot="1">
      <c r="A3" s="247" t="s">
        <v>2317</v>
      </c>
      <c r="B3" s="248">
        <f ca="1">ROUND(B2*10000/(IF(B1="",'数据-汇总表'!E3,INDIRECT("'数据-取费表'!k"&amp;$G$1))),0)</f>
        <v>5086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2434857</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2434857</v>
      </c>
      <c r="D8" s="266"/>
      <c r="E8" s="264"/>
      <c r="F8" s="265"/>
      <c r="G8" s="2522"/>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100</v>
      </c>
      <c r="F9" s="265"/>
      <c r="G9" s="270"/>
    </row>
    <row r="10" spans="1:8" s="258" customFormat="1" ht="13.5" customHeight="1">
      <c r="A10" s="940" t="s">
        <v>801</v>
      </c>
      <c r="B10" s="268" t="s">
        <v>2333</v>
      </c>
      <c r="C10" s="269">
        <f ca="1">ROUND(D10*E10,0)</f>
        <v>2434857</v>
      </c>
      <c r="D10" s="1022">
        <f ca="1">IF(B1="",'数据-汇总表'!E6,IF(INDIRECT("'数据-取费表'!c"&amp;$G$1)="住宅",INDIRECT("'数据-取费表'!s"&amp;$G$1),INDIRECT("'数据-取费表'!k"&amp;$G$1)+INDIRECT("'数据-取费表'!s"&amp;$G$1)))</f>
        <v>24348.570000000003</v>
      </c>
      <c r="E10" s="269">
        <f>'数据-取费表'!B28</f>
        <v>100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3652286</v>
      </c>
      <c r="D19" s="1026">
        <f ca="1">D9+D10</f>
        <v>24348.570000000003</v>
      </c>
      <c r="E19" s="255">
        <f>'数据-取费表'!B31</f>
        <v>150</v>
      </c>
      <c r="F19" s="275"/>
      <c r="G19" s="2522"/>
    </row>
    <row r="20" spans="1:7" s="258" customFormat="1" ht="13.5" customHeight="1">
      <c r="A20" s="299" t="s">
        <v>2427</v>
      </c>
      <c r="B20" s="254" t="s">
        <v>2428</v>
      </c>
      <c r="C20" s="276">
        <f ca="1">ROUND((C5+C19)*F20,0)</f>
        <v>121743</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597796</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236805</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355208</v>
      </c>
      <c r="D24" s="282"/>
      <c r="E24" s="282"/>
      <c r="F24" s="283"/>
      <c r="G24" s="284" t="s">
        <v>2439</v>
      </c>
    </row>
    <row r="25" spans="1:7" s="258" customFormat="1" ht="24">
      <c r="A25" s="941" t="s">
        <v>2329</v>
      </c>
      <c r="B25" s="259" t="s">
        <v>2440</v>
      </c>
      <c r="C25" s="1363">
        <f ca="1">ROUND(IF('数据-取费表'!B22&lt;=1,C20*F22*'数据-取费表'!B22/2,C20*(POWER((1+F22),'数据-取费表'!B22/2)-1)),0)</f>
        <v>5783</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1241777</v>
      </c>
      <c r="D27" s="279">
        <f ca="1">C29</f>
        <v>4.0000000000000001E-3</v>
      </c>
      <c r="E27" s="280" t="s">
        <v>2367</v>
      </c>
      <c r="F27" s="290">
        <f ca="1">IF(B1="",'数据-取费表'!Q16,INDIRECT("'数据-取费表'!q"&amp;$G$1))</f>
        <v>0.2</v>
      </c>
      <c r="G27" s="291" t="s">
        <v>2368</v>
      </c>
    </row>
    <row r="28" spans="1:7" s="258" customFormat="1" ht="13.5" customHeight="1">
      <c r="A28" s="941" t="s">
        <v>791</v>
      </c>
      <c r="B28" s="292" t="s">
        <v>2369</v>
      </c>
      <c r="C28" s="293">
        <f ca="1">ROUND((C5+C19+C20)*F27,0)</f>
        <v>1241777</v>
      </c>
      <c r="D28" s="279"/>
      <c r="E28" s="280"/>
      <c r="F28" s="290"/>
      <c r="G28" s="291"/>
    </row>
    <row r="29" spans="1:7" s="258" customFormat="1" ht="13.5" customHeight="1">
      <c r="A29" s="941" t="s">
        <v>792</v>
      </c>
      <c r="B29" s="292" t="s">
        <v>2370</v>
      </c>
      <c r="C29" s="282">
        <f ca="1">ROUND(C21*F27,4)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8732189</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85073904</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77915424</v>
      </c>
      <c r="D34" s="261"/>
      <c r="E34" s="264"/>
      <c r="F34" s="301"/>
      <c r="G34" s="263"/>
    </row>
    <row r="35" spans="1:7" ht="13.5" customHeight="1">
      <c r="A35" s="941" t="s">
        <v>796</v>
      </c>
      <c r="B35" s="259" t="s">
        <v>2380</v>
      </c>
      <c r="C35" s="264">
        <f ca="1">ROUND(C34*F35,0)</f>
        <v>2337463</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3652286</v>
      </c>
      <c r="D37" s="261">
        <f ca="1">D19</f>
        <v>24348.570000000003</v>
      </c>
      <c r="E37" s="293">
        <f>'数据-取费表'!B35</f>
        <v>150</v>
      </c>
      <c r="F37" s="303"/>
      <c r="G37" s="305"/>
    </row>
    <row r="38" spans="1:7" ht="13.5" customHeight="1">
      <c r="A38" s="941" t="s">
        <v>799</v>
      </c>
      <c r="B38" s="259" t="s">
        <v>2386</v>
      </c>
      <c r="C38" s="264">
        <f ca="1">ROUND(C34*F38,0)</f>
        <v>1168731</v>
      </c>
      <c r="D38" s="264"/>
      <c r="E38" s="264"/>
      <c r="F38" s="303">
        <f>'数据-取费表'!B36</f>
        <v>1.4999999999999999E-2</v>
      </c>
      <c r="G38" s="263" t="s">
        <v>2381</v>
      </c>
    </row>
    <row r="39" spans="1:7" s="258" customFormat="1" ht="13.5" customHeight="1">
      <c r="A39" s="299" t="s">
        <v>2387</v>
      </c>
      <c r="B39" s="254" t="s">
        <v>2388</v>
      </c>
      <c r="C39" s="276">
        <f ca="1">ROUND(C33*F20,0)</f>
        <v>1701478</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4121830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4041010</v>
      </c>
      <c r="D42" s="282"/>
      <c r="E42" s="282"/>
      <c r="F42" s="283"/>
      <c r="G42" s="3661" t="s">
        <v>2444</v>
      </c>
    </row>
    <row r="43" spans="1:7" ht="13.5" customHeight="1">
      <c r="A43" s="941" t="s">
        <v>792</v>
      </c>
      <c r="B43" s="259" t="s">
        <v>2398</v>
      </c>
      <c r="C43" s="282">
        <f ca="1">ROUND(IF('数据-取费表'!B22&lt;=1,C39*F22*'数据-取费表'!B20/2,C39*(POWER((1+F22),'数据-取费表'!B20/2)-1)),0)</f>
        <v>80820</v>
      </c>
      <c r="D43" s="282"/>
      <c r="E43" s="282"/>
      <c r="F43" s="283"/>
      <c r="G43" s="3662"/>
    </row>
    <row r="44" spans="1:7" ht="13.5" customHeight="1">
      <c r="A44" s="941" t="s">
        <v>793</v>
      </c>
      <c r="B44" s="259" t="s">
        <v>2399</v>
      </c>
      <c r="C44" s="282">
        <f ca="1">ROUND(IF('数据-取费表'!B22&lt;=1,C40*F22*'数据-取费表'!B20/2,C40*(POWER((1+F22),'数据-取费表'!B20/2)-1)),4)</f>
        <v>1E-3</v>
      </c>
      <c r="D44" s="282"/>
      <c r="E44" s="282"/>
      <c r="F44" s="283"/>
      <c r="G44" s="3663"/>
    </row>
    <row r="45" spans="1:7" s="258" customFormat="1" ht="13.5" customHeight="1">
      <c r="A45" s="299" t="s">
        <v>2400</v>
      </c>
      <c r="B45" s="288" t="s">
        <v>2366</v>
      </c>
      <c r="C45" s="289">
        <f ca="1">C46</f>
        <v>17355076</v>
      </c>
      <c r="D45" s="279">
        <f ca="1">C47</f>
        <v>4.0000000000000001E-3</v>
      </c>
      <c r="E45" s="280" t="s">
        <v>2392</v>
      </c>
      <c r="F45" s="290"/>
      <c r="G45" s="291" t="s">
        <v>2401</v>
      </c>
    </row>
    <row r="46" spans="1:7" s="258" customFormat="1" ht="13.5" customHeight="1">
      <c r="A46" s="941" t="s">
        <v>791</v>
      </c>
      <c r="B46" s="292" t="s">
        <v>2402</v>
      </c>
      <c r="C46" s="293">
        <f ca="1">ROUND((C33+C39)*F27,0)</f>
        <v>17355076</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117448506</v>
      </c>
      <c r="D49" s="276"/>
      <c r="E49" s="276"/>
      <c r="F49" s="308"/>
      <c r="G49" s="278" t="s">
        <v>2407</v>
      </c>
    </row>
    <row r="50" spans="1:7" s="302" customFormat="1">
      <c r="A50" s="299" t="s">
        <v>2408</v>
      </c>
      <c r="B50" s="254" t="s">
        <v>2409</v>
      </c>
      <c r="C50" s="276"/>
      <c r="D50" s="276"/>
      <c r="E50" s="276"/>
      <c r="F50" s="308">
        <f>IF('数据-取费表'!B24=0,'数据-取费表'!N16,1)</f>
        <v>0.98</v>
      </c>
      <c r="G50" s="291"/>
    </row>
    <row r="51" spans="1:7" ht="16.5" customHeight="1">
      <c r="A51" s="299" t="s">
        <v>2411</v>
      </c>
      <c r="B51" s="254" t="s">
        <v>2446</v>
      </c>
      <c r="C51" s="276">
        <f ca="1">ROUND(C49*F50,0)</f>
        <v>115099536</v>
      </c>
      <c r="D51" s="276"/>
      <c r="E51" s="276"/>
      <c r="F51" s="308"/>
      <c r="G51" s="278" t="s">
        <v>2413</v>
      </c>
    </row>
    <row r="52" spans="1:7" s="252" customFormat="1" ht="16.5" thickBot="1">
      <c r="A52" s="309" t="s">
        <v>2414</v>
      </c>
      <c r="B52" s="310"/>
      <c r="C52" s="311">
        <f ca="1">C31+C51</f>
        <v>123831725</v>
      </c>
      <c r="D52" s="310"/>
      <c r="E52" s="310"/>
      <c r="F52" s="310"/>
      <c r="G52" s="312"/>
    </row>
    <row r="55" spans="1:7" ht="15">
      <c r="B55" s="314" t="s">
        <v>2415</v>
      </c>
      <c r="C55" s="315"/>
    </row>
    <row r="56" spans="1:7">
      <c r="B56" s="317" t="s">
        <v>1501</v>
      </c>
      <c r="C56" s="319">
        <f ca="1">1-C57</f>
        <v>7.0999999999999952E-2</v>
      </c>
    </row>
    <row r="57" spans="1:7">
      <c r="B57" s="317" t="s">
        <v>1502</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6" t="s">
        <v>2453</v>
      </c>
      <c r="D5" s="2526" t="s">
        <v>2454</v>
      </c>
      <c r="E5" s="2526" t="s">
        <v>2455</v>
      </c>
      <c r="F5" s="2526"/>
      <c r="G5" s="2526"/>
      <c r="H5" s="2526"/>
      <c r="I5" s="2526"/>
      <c r="J5" s="2526"/>
      <c r="K5" s="2526"/>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7"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24348.570000000003</v>
      </c>
      <c r="E14" s="24">
        <f>'数据-取费表'!B35</f>
        <v>150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24348.570000000003</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8"/>
      <c r="H18" s="1557"/>
      <c r="I18" s="2529"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100</v>
      </c>
      <c r="F19" s="966"/>
      <c r="G19" s="15"/>
      <c r="H19" s="1559"/>
      <c r="I19" s="971"/>
      <c r="J19" s="971"/>
      <c r="K19" s="972"/>
    </row>
    <row r="20" spans="1:33" s="965" customFormat="1" ht="13.5" customHeight="1">
      <c r="A20" s="961" t="s">
        <v>806</v>
      </c>
      <c r="B20" s="962" t="s">
        <v>2483</v>
      </c>
      <c r="C20" s="24">
        <f ca="1">ROUND(D20*E20/10000,0)</f>
        <v>243</v>
      </c>
      <c r="D20" s="1023">
        <f ca="1">IF(C1="",'数据-汇总表'!E6,IF(INDIRECT("'数据-取费表'!c"&amp;$K$1)="住宅",INDIRECT("'数据-取费表'!s"&amp;$K$1),INDIRECT("'数据-取费表'!k"&amp;$K$1)+INDIRECT("'数据-取费表'!s"&amp;$K$1)))</f>
        <v>24348.570000000003</v>
      </c>
      <c r="E20" s="24">
        <f>'数据-取费表'!B28</f>
        <v>100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0"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0" t="str">
        <f>IF('数据-取费表'!B22&lt;=1,"（1）-（3）项×年利率×建设期÷2","（1）-（3）项×((1+年利率)^(建设期÷2)-1)")</f>
        <v>（1）-（3）项×((1+年利率)^(建设期÷2)-1)</v>
      </c>
      <c r="H27" s="969"/>
      <c r="I27" s="969"/>
      <c r="J27" s="969"/>
      <c r="K27" s="970"/>
    </row>
    <row r="28" spans="1:33" s="333" customFormat="1" ht="13.5" customHeight="1">
      <c r="A28" s="951" t="s">
        <v>2497</v>
      </c>
      <c r="B28" s="2531" t="s">
        <v>2498</v>
      </c>
      <c r="C28" s="331">
        <f ca="1">C30</f>
        <v>0</v>
      </c>
      <c r="D28" s="324">
        <f ca="1">C29</f>
        <v>0</v>
      </c>
      <c r="E28" s="326" t="s">
        <v>15</v>
      </c>
      <c r="F28" s="332">
        <f ca="1">IF(C1="",'数据-取费表'!Q16,INDIRECT("'数据-取费表'!q"&amp;$K$1))</f>
        <v>0.2</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2"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14" t="s">
        <v>1391</v>
      </c>
      <c r="C6" s="1278">
        <f ca="1">ROUND(F6*F8*F7*(1-F9),0)</f>
        <v>0</v>
      </c>
      <c r="D6" s="164" t="s">
        <v>3001</v>
      </c>
      <c r="E6" s="347" t="s">
        <v>1393</v>
      </c>
      <c r="F6" s="348">
        <f ca="1">INDIRECT("'数据-取费表'!u"&amp;$G$1)</f>
        <v>0</v>
      </c>
      <c r="G6" s="1831"/>
      <c r="H6" s="1273" t="s">
        <v>1032</v>
      </c>
      <c r="I6" s="3714" t="s">
        <v>1391</v>
      </c>
      <c r="J6" s="346">
        <f ca="1">ROUND(M6*M8*M7*(1-M9),0)</f>
        <v>0</v>
      </c>
      <c r="K6" s="1814" t="s">
        <v>3002</v>
      </c>
      <c r="L6" s="347" t="s">
        <v>1393</v>
      </c>
      <c r="M6" s="348">
        <f ca="1">INDIRECT("'数据-取费表'!z"&amp;$G$1)</f>
        <v>0</v>
      </c>
    </row>
    <row r="7" spans="1:37" ht="18" customHeight="1">
      <c r="A7" s="1277"/>
      <c r="B7" s="3715"/>
      <c r="C7" s="1279"/>
      <c r="D7" s="352"/>
      <c r="E7" s="1280" t="s">
        <v>1394</v>
      </c>
      <c r="F7" s="348">
        <f ca="1">IF(INDIRECT("'数据-取费表'!ah"&amp;$G$1)="",INDIRECT("'数据-取费表'!k"&amp;$G$1),INDIRECT("'数据-取费表'!ah"&amp;$G$1))</f>
        <v>0</v>
      </c>
      <c r="G7" s="1831"/>
      <c r="H7" s="349"/>
      <c r="I7" s="3715"/>
      <c r="J7" s="351"/>
      <c r="K7" s="352"/>
      <c r="L7" s="347" t="s">
        <v>1394</v>
      </c>
      <c r="M7" s="348">
        <f ca="1">F7</f>
        <v>0</v>
      </c>
    </row>
    <row r="8" spans="1:37" ht="18" customHeight="1">
      <c r="A8" s="349"/>
      <c r="B8" s="3715"/>
      <c r="C8" s="351"/>
      <c r="D8" s="352"/>
      <c r="E8" s="347" t="s">
        <v>1395</v>
      </c>
      <c r="F8" s="348">
        <f ca="1">INDIRECT("'数据-取费表'!ai"&amp;$G$1)</f>
        <v>0</v>
      </c>
      <c r="G8" s="1831"/>
      <c r="H8" s="349"/>
      <c r="I8" s="3715"/>
      <c r="J8" s="351"/>
      <c r="K8" s="352"/>
      <c r="L8" s="347" t="s">
        <v>1395</v>
      </c>
      <c r="M8" s="348">
        <f ca="1">INDIRECT("'数据-取费表'!ai"&amp;$G$1)</f>
        <v>0</v>
      </c>
    </row>
    <row r="9" spans="1:37" ht="18" customHeight="1">
      <c r="A9" s="349"/>
      <c r="B9" s="3716"/>
      <c r="C9" s="351"/>
      <c r="D9" s="352"/>
      <c r="E9" s="347" t="s">
        <v>1396</v>
      </c>
      <c r="F9" s="357">
        <f ca="1">INDIRECT("'数据-取费表'!w"&amp;$G$1)</f>
        <v>0</v>
      </c>
      <c r="G9" s="1831"/>
      <c r="H9" s="349"/>
      <c r="I9" s="3716"/>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150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f ca="1">C68-C40</f>
        <v>0</v>
      </c>
      <c r="D45" s="1919" t="s">
        <v>1592</v>
      </c>
      <c r="E45" s="1846"/>
      <c r="F45" s="1846"/>
      <c r="O45" s="1849" t="s">
        <v>1507</v>
      </c>
      <c r="P45" s="1819"/>
      <c r="Q45" s="1819"/>
      <c r="R45" s="1819"/>
    </row>
    <row r="46" spans="1:18" s="1822" customFormat="1" ht="13.5" thickBot="1">
      <c r="A46" s="1850" t="s">
        <v>1508</v>
      </c>
      <c r="C46" s="1851">
        <f ca="1">ROUND(C45/10000,0)</f>
        <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37.86</v>
      </c>
      <c r="O48" s="1864" t="s">
        <v>1038</v>
      </c>
      <c r="P48" s="1865" t="s">
        <v>1520</v>
      </c>
      <c r="Q48" s="1866" t="str">
        <f ca="1">J60</f>
        <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0">
        <f ca="1">IF(M47="住宅",IF(D1="——",MAX(J51,L48),MAX(J51,L48-'数据-取费表'!B24)),IF(D1="——",MIN(J51,L48),MIN(J51,L48-'数据-取费表'!B24)))</f>
        <v>0</v>
      </c>
      <c r="K53" s="3717" t="s">
        <v>1536</v>
      </c>
      <c r="L53" s="3718"/>
      <c r="O53" s="1864" t="s">
        <v>1043</v>
      </c>
      <c r="P53" s="1865" t="s">
        <v>1537</v>
      </c>
      <c r="Q53" s="1866">
        <f ca="1">Q47+Q48</f>
        <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37.86</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str">
        <f ca="1">IF(OR(M47="住宅",J51&lt;L48,J56="是"),"0",ROUND(J59/(1+J52)^J53,0))</f>
        <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1" t="s">
        <v>2983</v>
      </c>
      <c r="D1" s="3712"/>
      <c r="E1" s="3712"/>
      <c r="F1" s="3712"/>
      <c r="G1" s="3712"/>
      <c r="H1" s="3712"/>
      <c r="I1" s="3712"/>
      <c r="J1" s="3712"/>
      <c r="K1" s="3712"/>
      <c r="L1" s="3712"/>
      <c r="M1" s="3712"/>
      <c r="N1" s="3712"/>
      <c r="O1" s="3712"/>
      <c r="P1" s="3712"/>
      <c r="Q1" s="3712"/>
      <c r="R1" s="3712"/>
      <c r="S1" s="3713"/>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'[3]比较法-办公'!B123</f>
        <v>内部装修</v>
      </c>
      <c r="C5" s="1198" t="str">
        <f>'[3]比较法-办公'!C123</f>
        <v>精装修</v>
      </c>
      <c r="D5" s="1198" t="str">
        <f>'[3]比较法-办公'!D123</f>
        <v>普装</v>
      </c>
      <c r="E5" s="1198" t="str">
        <f>'[3]比较法-办公'!E123</f>
        <v>简装</v>
      </c>
      <c r="F5" s="1198" t="str">
        <f>'[3]比较法-办公'!F123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8"/>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2"/>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8" t="s">
        <v>2989</v>
      </c>
      <c r="B17" s="2879" t="s">
        <v>2990</v>
      </c>
      <c r="C17" s="2968" t="s">
        <v>3115</v>
      </c>
      <c r="D17" s="2968" t="s">
        <v>3116</v>
      </c>
      <c r="E17" s="2968"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2991</v>
      </c>
      <c r="E19" s="1772"/>
      <c r="F19" s="1772"/>
      <c r="G19" s="1772"/>
      <c r="H19" s="1262"/>
      <c r="I19" s="168"/>
      <c r="J19" s="168"/>
      <c r="K19" s="168"/>
      <c r="L19" s="168"/>
      <c r="M19" s="168"/>
      <c r="N19" s="168"/>
      <c r="O19" s="168"/>
      <c r="P19" s="168"/>
      <c r="Q19" s="168"/>
      <c r="R19" s="783"/>
      <c r="S19" s="138"/>
    </row>
    <row r="20" spans="1:45" ht="16.5" thickBot="1">
      <c r="A20" s="712" t="s">
        <v>2992</v>
      </c>
      <c r="B20" s="338" t="e">
        <f>IF(D20="——",S22,S22-F20)</f>
        <v>#REF!</v>
      </c>
      <c r="C20" s="168"/>
      <c r="D20" s="2881" t="s">
        <v>70</v>
      </c>
      <c r="E20" s="1773"/>
      <c r="F20" s="1186" t="e">
        <f ca="1">SUMIF(INDIRECT("'"&amp;H20&amp;"'"&amp;"!A:A"),"承租人权益价值",INDIRECT("'"&amp;H20&amp;"'"&amp;"!c:c"))</f>
        <v>#REF!</v>
      </c>
      <c r="G20" s="1186" t="s">
        <v>2993</v>
      </c>
      <c r="H20" s="2882"/>
      <c r="I20" s="168"/>
      <c r="J20" s="168"/>
      <c r="K20" s="168"/>
      <c r="L20" s="168"/>
      <c r="M20" s="168"/>
      <c r="N20" s="168"/>
      <c r="O20" s="168"/>
      <c r="P20" s="168"/>
      <c r="Q20" s="168"/>
      <c r="R20" s="783"/>
      <c r="S20" s="138"/>
    </row>
    <row r="21" spans="1:45" ht="15.75">
      <c r="A21" s="712" t="s">
        <v>2994</v>
      </c>
      <c r="B21" s="338" t="e">
        <f>R22</f>
        <v>#REF!</v>
      </c>
      <c r="C21" s="168"/>
      <c r="D21" s="168"/>
      <c r="E21" s="168"/>
      <c r="F21" s="168"/>
      <c r="G21" s="168"/>
      <c r="H21" s="168"/>
      <c r="I21" s="168"/>
      <c r="J21" s="168"/>
      <c r="K21" s="168"/>
      <c r="L21" s="168"/>
      <c r="M21" s="168"/>
      <c r="N21" s="168"/>
      <c r="O21" s="168"/>
      <c r="P21" s="168"/>
      <c r="Q21" s="168"/>
      <c r="R21" s="783"/>
      <c r="S21" s="138"/>
    </row>
    <row r="22" spans="1:45">
      <c r="A22" s="361" t="s">
        <v>2995</v>
      </c>
      <c r="B22" s="24" t="e">
        <f>SUM(B24:B10000)</f>
        <v>#REF!</v>
      </c>
      <c r="C22" s="3612" t="s">
        <v>33</v>
      </c>
      <c r="D22" s="3613"/>
      <c r="E22" s="3613"/>
      <c r="F22" s="3613"/>
      <c r="G22" s="3613"/>
      <c r="H22" s="3613"/>
      <c r="I22" s="3613"/>
      <c r="J22" s="3613"/>
      <c r="K22" s="3613"/>
      <c r="L22" s="3613"/>
      <c r="M22" s="3613"/>
      <c r="N22" s="3613"/>
      <c r="O22" s="3613"/>
      <c r="P22" s="3613"/>
      <c r="Q22" s="3710"/>
      <c r="R22" s="713" t="e">
        <f>ROUND(S22*10000/B22,0)</f>
        <v>#REF!</v>
      </c>
      <c r="S22" s="24" t="e">
        <f>SUM(S24:S10000)</f>
        <v>#REF!</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1" t="e">
        <f>#REF!</f>
        <v>#REF!</v>
      </c>
      <c r="B24" s="2952" t="e">
        <f>#REF!</f>
        <v>#REF!</v>
      </c>
      <c r="C24" s="715">
        <v>1</v>
      </c>
      <c r="D24" s="716" t="s">
        <v>3145</v>
      </c>
      <c r="E24" s="715">
        <v>1</v>
      </c>
      <c r="F24" s="716"/>
      <c r="G24" s="715">
        <v>1</v>
      </c>
      <c r="H24" s="716"/>
      <c r="I24" s="715">
        <v>1</v>
      </c>
      <c r="J24" s="716"/>
      <c r="K24" s="715">
        <v>1</v>
      </c>
      <c r="L24" s="716"/>
      <c r="M24" s="715">
        <v>1</v>
      </c>
      <c r="N24" s="716"/>
      <c r="O24" s="715">
        <v>1</v>
      </c>
      <c r="P24" s="716" t="s">
        <v>3142</v>
      </c>
      <c r="Q24" s="715">
        <v>1</v>
      </c>
      <c r="R24" s="717" t="e">
        <f>'比较法-办公'!B3</f>
        <v>#REF!</v>
      </c>
      <c r="S24" s="715" t="e">
        <f t="shared" ref="S24:S87" si="5">ROUND(R24*B24/10000,0)</f>
        <v>#REF!</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1" t="e">
        <f>#REF!</f>
        <v>#REF!</v>
      </c>
      <c r="B25" s="2952" t="e">
        <f>#REF!</f>
        <v>#REF!</v>
      </c>
      <c r="C25" s="24" t="e">
        <f>IF(B25="",1,(LOOKUP(B25,$3:$3,$4:$4)-LOOKUP($B$24,$3:$3,$4:$4)+100)/100)</f>
        <v>#REF!</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t="e">
        <f>IF(B25="",0,ROUND($R$24*C25*E25*G25*I25*K25*M25*O25*Q25,0))</f>
        <v>#REF!</v>
      </c>
      <c r="S25" s="361" t="e">
        <f t="shared" si="5"/>
        <v>#REF!</v>
      </c>
    </row>
    <row r="26" spans="1:45">
      <c r="A26" s="3001" t="e">
        <f>#REF!</f>
        <v>#REF!</v>
      </c>
      <c r="B26" s="2952" t="e">
        <f>#REF!</f>
        <v>#REF!</v>
      </c>
      <c r="C26" s="24" t="e">
        <f t="shared" ref="C26:C89" si="6">IF(B26="",1,(LOOKUP(B26,$3:$3,$4:$4)-LOOKUP($B$24,$3:$3,$4:$4)+100)/100)</f>
        <v>#REF!</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t="e">
        <f t="shared" ref="R26:R89" si="14">IF(B26="",0,ROUND($R$24*C26*E26*G26*I26*K26*M26*O26*Q26,0))</f>
        <v>#REF!</v>
      </c>
      <c r="S26" s="361" t="e">
        <f t="shared" si="5"/>
        <v>#REF!</v>
      </c>
    </row>
    <row r="27" spans="1:45">
      <c r="A27" s="3001" t="e">
        <f>#REF!</f>
        <v>#REF!</v>
      </c>
      <c r="B27" s="2952" t="e">
        <f>#REF!</f>
        <v>#REF!</v>
      </c>
      <c r="C27" s="24" t="e">
        <f t="shared" si="6"/>
        <v>#REF!</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t="e">
        <f t="shared" si="14"/>
        <v>#REF!</v>
      </c>
      <c r="S27" s="361" t="e">
        <f t="shared" si="5"/>
        <v>#REF!</v>
      </c>
    </row>
    <row r="28" spans="1:45">
      <c r="A28" s="3001" t="e">
        <f>#REF!</f>
        <v>#REF!</v>
      </c>
      <c r="B28" s="2952" t="e">
        <f>#REF!</f>
        <v>#REF!</v>
      </c>
      <c r="C28" s="24" t="e">
        <f t="shared" si="6"/>
        <v>#REF!</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t="e">
        <f t="shared" si="14"/>
        <v>#REF!</v>
      </c>
      <c r="S28" s="361" t="e">
        <f t="shared" si="5"/>
        <v>#REF!</v>
      </c>
    </row>
    <row r="29" spans="1:45">
      <c r="A29" s="3001" t="e">
        <f>#REF!</f>
        <v>#REF!</v>
      </c>
      <c r="B29" s="2952" t="e">
        <f>#REF!</f>
        <v>#REF!</v>
      </c>
      <c r="C29" s="24" t="e">
        <f t="shared" si="6"/>
        <v>#REF!</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t="e">
        <f t="shared" si="14"/>
        <v>#REF!</v>
      </c>
      <c r="S29" s="361" t="e">
        <f t="shared" si="5"/>
        <v>#REF!</v>
      </c>
    </row>
    <row r="30" spans="1:45">
      <c r="A30" s="3001" t="e">
        <f>#REF!</f>
        <v>#REF!</v>
      </c>
      <c r="B30" s="2952" t="e">
        <f>#REF!</f>
        <v>#REF!</v>
      </c>
      <c r="C30" s="24" t="e">
        <f t="shared" si="6"/>
        <v>#REF!</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t="e">
        <f t="shared" si="14"/>
        <v>#REF!</v>
      </c>
      <c r="S30" s="361" t="e">
        <f t="shared" si="5"/>
        <v>#REF!</v>
      </c>
    </row>
    <row r="31" spans="1:45">
      <c r="A31" s="3001" t="e">
        <f>#REF!</f>
        <v>#REF!</v>
      </c>
      <c r="B31" s="2952" t="e">
        <f>#REF!</f>
        <v>#REF!</v>
      </c>
      <c r="C31" s="24" t="e">
        <f t="shared" si="6"/>
        <v>#REF!</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t="e">
        <f t="shared" si="14"/>
        <v>#REF!</v>
      </c>
      <c r="S31" s="361" t="e">
        <f t="shared" si="5"/>
        <v>#REF!</v>
      </c>
    </row>
    <row r="32" spans="1:45">
      <c r="A32" s="3001" t="e">
        <f>#REF!</f>
        <v>#REF!</v>
      </c>
      <c r="B32" s="2952" t="e">
        <f>#REF!</f>
        <v>#REF!</v>
      </c>
      <c r="C32" s="24" t="e">
        <f t="shared" si="6"/>
        <v>#REF!</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t="e">
        <f t="shared" si="14"/>
        <v>#REF!</v>
      </c>
      <c r="S32" s="361" t="e">
        <f t="shared" si="5"/>
        <v>#REF!</v>
      </c>
    </row>
    <row r="33" spans="1:19">
      <c r="A33" s="3001" t="e">
        <f>#REF!</f>
        <v>#REF!</v>
      </c>
      <c r="B33" s="2952" t="e">
        <f>#REF!</f>
        <v>#REF!</v>
      </c>
      <c r="C33" s="24" t="e">
        <f t="shared" si="6"/>
        <v>#REF!</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t="e">
        <f t="shared" si="14"/>
        <v>#REF!</v>
      </c>
      <c r="S33" s="361" t="e">
        <f t="shared" si="5"/>
        <v>#REF!</v>
      </c>
    </row>
    <row r="34" spans="1:19">
      <c r="A34" s="3001" t="e">
        <f>#REF!</f>
        <v>#REF!</v>
      </c>
      <c r="B34" s="2952" t="e">
        <f>#REF!</f>
        <v>#REF!</v>
      </c>
      <c r="C34" s="24" t="e">
        <f t="shared" si="6"/>
        <v>#REF!</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t="e">
        <f t="shared" si="14"/>
        <v>#REF!</v>
      </c>
      <c r="S34" s="361" t="e">
        <f t="shared" si="5"/>
        <v>#REF!</v>
      </c>
    </row>
    <row r="35" spans="1:19">
      <c r="A35" s="3001" t="e">
        <f>#REF!</f>
        <v>#REF!</v>
      </c>
      <c r="B35" s="2952" t="e">
        <f>#REF!</f>
        <v>#REF!</v>
      </c>
      <c r="C35" s="24" t="e">
        <f t="shared" si="6"/>
        <v>#REF!</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t="e">
        <f t="shared" si="14"/>
        <v>#REF!</v>
      </c>
      <c r="S35" s="361" t="e">
        <f t="shared" si="5"/>
        <v>#REF!</v>
      </c>
    </row>
    <row r="36" spans="1:19">
      <c r="A36" s="3001" t="e">
        <f>#REF!</f>
        <v>#REF!</v>
      </c>
      <c r="B36" s="2952" t="e">
        <f>#REF!</f>
        <v>#REF!</v>
      </c>
      <c r="C36" s="24" t="e">
        <f t="shared" si="6"/>
        <v>#REF!</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t="e">
        <f t="shared" si="14"/>
        <v>#REF!</v>
      </c>
      <c r="S36" s="361" t="e">
        <f t="shared" si="5"/>
        <v>#REF!</v>
      </c>
    </row>
    <row r="37" spans="1:19">
      <c r="A37" s="3001" t="e">
        <f>#REF!</f>
        <v>#REF!</v>
      </c>
      <c r="B37" s="2952" t="e">
        <f>#REF!</f>
        <v>#REF!</v>
      </c>
      <c r="C37" s="24" t="e">
        <f t="shared" si="6"/>
        <v>#REF!</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t="e">
        <f t="shared" si="14"/>
        <v>#REF!</v>
      </c>
      <c r="S37" s="361" t="e">
        <f t="shared" si="5"/>
        <v>#REF!</v>
      </c>
    </row>
    <row r="38" spans="1:19">
      <c r="A38" s="3001" t="e">
        <f>#REF!</f>
        <v>#REF!</v>
      </c>
      <c r="B38" s="2952" t="e">
        <f>#REF!</f>
        <v>#REF!</v>
      </c>
      <c r="C38" s="24" t="e">
        <f t="shared" si="6"/>
        <v>#REF!</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t="e">
        <f t="shared" si="14"/>
        <v>#REF!</v>
      </c>
      <c r="S38" s="361" t="e">
        <f t="shared" si="5"/>
        <v>#REF!</v>
      </c>
    </row>
    <row r="39" spans="1:19">
      <c r="A39" s="3001" t="e">
        <f>#REF!</f>
        <v>#REF!</v>
      </c>
      <c r="B39" s="2952" t="e">
        <f>#REF!</f>
        <v>#REF!</v>
      </c>
      <c r="C39" s="24" t="e">
        <f t="shared" si="6"/>
        <v>#REF!</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t="e">
        <f t="shared" si="14"/>
        <v>#REF!</v>
      </c>
      <c r="S39" s="361" t="e">
        <f t="shared" si="5"/>
        <v>#REF!</v>
      </c>
    </row>
    <row r="40" spans="1:19">
      <c r="A40" s="3001" t="e">
        <f>#REF!</f>
        <v>#REF!</v>
      </c>
      <c r="B40" s="2952" t="e">
        <f>#REF!</f>
        <v>#REF!</v>
      </c>
      <c r="C40" s="24" t="e">
        <f t="shared" si="6"/>
        <v>#REF!</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t="e">
        <f t="shared" si="14"/>
        <v>#REF!</v>
      </c>
      <c r="S40" s="361" t="e">
        <f t="shared" si="5"/>
        <v>#REF!</v>
      </c>
    </row>
    <row r="41" spans="1:19">
      <c r="A41" s="3001" t="e">
        <f>#REF!</f>
        <v>#REF!</v>
      </c>
      <c r="B41" s="2952" t="e">
        <f>#REF!</f>
        <v>#REF!</v>
      </c>
      <c r="C41" s="24" t="e">
        <f t="shared" si="6"/>
        <v>#REF!</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t="e">
        <f t="shared" si="14"/>
        <v>#REF!</v>
      </c>
      <c r="S41" s="361" t="e">
        <f t="shared" si="5"/>
        <v>#REF!</v>
      </c>
    </row>
    <row r="42" spans="1:19">
      <c r="A42" s="3001" t="e">
        <f>#REF!</f>
        <v>#REF!</v>
      </c>
      <c r="B42" s="2952" t="e">
        <f>#REF!</f>
        <v>#REF!</v>
      </c>
      <c r="C42" s="24" t="e">
        <f t="shared" si="6"/>
        <v>#REF!</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t="e">
        <f t="shared" si="14"/>
        <v>#REF!</v>
      </c>
      <c r="S42" s="361" t="e">
        <f t="shared" si="5"/>
        <v>#REF!</v>
      </c>
    </row>
    <row r="43" spans="1:19">
      <c r="A43" s="3001" t="e">
        <f>#REF!</f>
        <v>#REF!</v>
      </c>
      <c r="B43" s="2952" t="e">
        <f>#REF!</f>
        <v>#REF!</v>
      </c>
      <c r="C43" s="24" t="e">
        <f t="shared" si="6"/>
        <v>#REF!</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t="e">
        <f t="shared" si="14"/>
        <v>#REF!</v>
      </c>
      <c r="S43" s="361" t="e">
        <f t="shared" si="5"/>
        <v>#REF!</v>
      </c>
    </row>
    <row r="44" spans="1:19">
      <c r="A44" s="3001" t="e">
        <f>#REF!</f>
        <v>#REF!</v>
      </c>
      <c r="B44" s="2952" t="e">
        <f>#REF!</f>
        <v>#REF!</v>
      </c>
      <c r="C44" s="24" t="e">
        <f t="shared" si="6"/>
        <v>#REF!</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t="e">
        <f t="shared" si="14"/>
        <v>#REF!</v>
      </c>
      <c r="S44" s="361" t="e">
        <f t="shared" si="5"/>
        <v>#REF!</v>
      </c>
    </row>
    <row r="45" spans="1:19">
      <c r="A45" s="3001" t="e">
        <f>#REF!</f>
        <v>#REF!</v>
      </c>
      <c r="B45" s="2952" t="e">
        <f>#REF!</f>
        <v>#REF!</v>
      </c>
      <c r="C45" s="24" t="e">
        <f t="shared" si="6"/>
        <v>#REF!</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t="e">
        <f t="shared" si="14"/>
        <v>#REF!</v>
      </c>
      <c r="S45" s="361" t="e">
        <f t="shared" si="5"/>
        <v>#REF!</v>
      </c>
    </row>
    <row r="46" spans="1:19">
      <c r="A46" s="3001" t="e">
        <f>#REF!</f>
        <v>#REF!</v>
      </c>
      <c r="B46" s="2952" t="e">
        <f>#REF!</f>
        <v>#REF!</v>
      </c>
      <c r="C46" s="24" t="e">
        <f t="shared" si="6"/>
        <v>#REF!</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t="e">
        <f t="shared" si="14"/>
        <v>#REF!</v>
      </c>
      <c r="S46" s="361" t="e">
        <f t="shared" si="5"/>
        <v>#REF!</v>
      </c>
    </row>
    <row r="47" spans="1:19">
      <c r="A47" s="3001" t="e">
        <f>#REF!</f>
        <v>#REF!</v>
      </c>
      <c r="B47" s="2952" t="e">
        <f>#REF!</f>
        <v>#REF!</v>
      </c>
      <c r="C47" s="24" t="e">
        <f t="shared" si="6"/>
        <v>#REF!</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t="e">
        <f t="shared" si="14"/>
        <v>#REF!</v>
      </c>
      <c r="S47" s="361" t="e">
        <f t="shared" si="5"/>
        <v>#REF!</v>
      </c>
    </row>
    <row r="48" spans="1:19">
      <c r="A48" s="3001" t="e">
        <f>#REF!</f>
        <v>#REF!</v>
      </c>
      <c r="B48" s="2952" t="e">
        <f>#REF!</f>
        <v>#REF!</v>
      </c>
      <c r="C48" s="24" t="e">
        <f t="shared" si="6"/>
        <v>#REF!</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t="e">
        <f t="shared" si="14"/>
        <v>#REF!</v>
      </c>
      <c r="S48" s="361" t="e">
        <f t="shared" si="5"/>
        <v>#REF!</v>
      </c>
    </row>
    <row r="49" spans="1:19">
      <c r="A49" s="3001" t="e">
        <f>#REF!</f>
        <v>#REF!</v>
      </c>
      <c r="B49" s="2952" t="e">
        <f>#REF!</f>
        <v>#REF!</v>
      </c>
      <c r="C49" s="24" t="e">
        <f t="shared" si="6"/>
        <v>#REF!</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t="e">
        <f t="shared" si="14"/>
        <v>#REF!</v>
      </c>
      <c r="S49" s="361" t="e">
        <f t="shared" si="5"/>
        <v>#REF!</v>
      </c>
    </row>
    <row r="50" spans="1:19">
      <c r="A50" s="3001" t="e">
        <f>#REF!</f>
        <v>#REF!</v>
      </c>
      <c r="B50" s="2952" t="e">
        <f>#REF!</f>
        <v>#REF!</v>
      </c>
      <c r="C50" s="24" t="e">
        <f t="shared" si="6"/>
        <v>#REF!</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t="e">
        <f t="shared" si="14"/>
        <v>#REF!</v>
      </c>
      <c r="S50" s="361" t="e">
        <f t="shared" si="5"/>
        <v>#REF!</v>
      </c>
    </row>
    <row r="51" spans="1:19">
      <c r="A51" s="3001" t="e">
        <f>#REF!</f>
        <v>#REF!</v>
      </c>
      <c r="B51" s="2952" t="e">
        <f>#REF!</f>
        <v>#REF!</v>
      </c>
      <c r="C51" s="24" t="e">
        <f t="shared" si="6"/>
        <v>#REF!</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t="e">
        <f t="shared" si="14"/>
        <v>#REF!</v>
      </c>
      <c r="S51" s="361" t="e">
        <f t="shared" si="5"/>
        <v>#REF!</v>
      </c>
    </row>
    <row r="52" spans="1:19">
      <c r="A52" s="3001" t="e">
        <f>#REF!</f>
        <v>#REF!</v>
      </c>
      <c r="B52" s="2952" t="e">
        <f>#REF!</f>
        <v>#REF!</v>
      </c>
      <c r="C52" s="24" t="e">
        <f t="shared" si="6"/>
        <v>#REF!</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t="e">
        <f t="shared" si="14"/>
        <v>#REF!</v>
      </c>
      <c r="S52" s="361" t="e">
        <f t="shared" si="5"/>
        <v>#REF!</v>
      </c>
    </row>
    <row r="53" spans="1:19">
      <c r="A53" s="3001" t="e">
        <f>#REF!</f>
        <v>#REF!</v>
      </c>
      <c r="B53" s="2952" t="e">
        <f>#REF!</f>
        <v>#REF!</v>
      </c>
      <c r="C53" s="24" t="e">
        <f t="shared" si="6"/>
        <v>#REF!</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t="e">
        <f t="shared" si="14"/>
        <v>#REF!</v>
      </c>
      <c r="S53" s="361" t="e">
        <f t="shared" si="5"/>
        <v>#REF!</v>
      </c>
    </row>
    <row r="54" spans="1:19">
      <c r="A54" s="3001" t="e">
        <f>#REF!</f>
        <v>#REF!</v>
      </c>
      <c r="B54" s="2952" t="e">
        <f>#REF!</f>
        <v>#REF!</v>
      </c>
      <c r="C54" s="24" t="e">
        <f t="shared" si="6"/>
        <v>#REF!</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t="e">
        <f t="shared" si="14"/>
        <v>#REF!</v>
      </c>
      <c r="S54" s="361" t="e">
        <f t="shared" si="5"/>
        <v>#REF!</v>
      </c>
    </row>
    <row r="55" spans="1:19">
      <c r="A55" s="3001" t="e">
        <f>#REF!</f>
        <v>#REF!</v>
      </c>
      <c r="B55" s="2952" t="e">
        <f>#REF!</f>
        <v>#REF!</v>
      </c>
      <c r="C55" s="24" t="e">
        <f t="shared" si="6"/>
        <v>#REF!</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t="e">
        <f t="shared" si="14"/>
        <v>#REF!</v>
      </c>
      <c r="S55" s="361" t="e">
        <f t="shared" si="5"/>
        <v>#REF!</v>
      </c>
    </row>
    <row r="56" spans="1:19">
      <c r="A56" s="3001" t="e">
        <f>#REF!</f>
        <v>#REF!</v>
      </c>
      <c r="B56" s="2952" t="e">
        <f>#REF!</f>
        <v>#REF!</v>
      </c>
      <c r="C56" s="24" t="e">
        <f t="shared" si="6"/>
        <v>#REF!</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t="e">
        <f t="shared" si="14"/>
        <v>#REF!</v>
      </c>
      <c r="S56" s="361" t="e">
        <f t="shared" si="5"/>
        <v>#REF!</v>
      </c>
    </row>
    <row r="57" spans="1:19">
      <c r="A57" s="3001" t="e">
        <f>#REF!</f>
        <v>#REF!</v>
      </c>
      <c r="B57" s="2952" t="e">
        <f>#REF!</f>
        <v>#REF!</v>
      </c>
      <c r="C57" s="24" t="e">
        <f t="shared" si="6"/>
        <v>#REF!</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t="e">
        <f t="shared" si="14"/>
        <v>#REF!</v>
      </c>
      <c r="S57" s="361" t="e">
        <f t="shared" si="5"/>
        <v>#REF!</v>
      </c>
    </row>
    <row r="58" spans="1:19">
      <c r="A58" s="3001" t="e">
        <f>#REF!</f>
        <v>#REF!</v>
      </c>
      <c r="B58" s="2952" t="e">
        <f>#REF!</f>
        <v>#REF!</v>
      </c>
      <c r="C58" s="24" t="e">
        <f t="shared" si="6"/>
        <v>#REF!</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t="e">
        <f t="shared" si="14"/>
        <v>#REF!</v>
      </c>
      <c r="S58" s="361" t="e">
        <f t="shared" si="5"/>
        <v>#REF!</v>
      </c>
    </row>
    <row r="59" spans="1:19">
      <c r="A59" s="3001" t="e">
        <f>#REF!</f>
        <v>#REF!</v>
      </c>
      <c r="B59" s="2952" t="e">
        <f>#REF!</f>
        <v>#REF!</v>
      </c>
      <c r="C59" s="24" t="e">
        <f t="shared" si="6"/>
        <v>#REF!</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t="e">
        <f t="shared" si="14"/>
        <v>#REF!</v>
      </c>
      <c r="S59" s="361" t="e">
        <f t="shared" si="5"/>
        <v>#REF!</v>
      </c>
    </row>
    <row r="60" spans="1:19">
      <c r="A60" s="3001" t="e">
        <f>#REF!</f>
        <v>#REF!</v>
      </c>
      <c r="B60" s="2952" t="e">
        <f>#REF!</f>
        <v>#REF!</v>
      </c>
      <c r="C60" s="24" t="e">
        <f t="shared" si="6"/>
        <v>#REF!</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t="e">
        <f t="shared" si="14"/>
        <v>#REF!</v>
      </c>
      <c r="S60" s="361" t="e">
        <f t="shared" si="5"/>
        <v>#REF!</v>
      </c>
    </row>
    <row r="61" spans="1:19">
      <c r="A61" s="3001" t="e">
        <f>#REF!</f>
        <v>#REF!</v>
      </c>
      <c r="B61" s="2952" t="e">
        <f>#REF!</f>
        <v>#REF!</v>
      </c>
      <c r="C61" s="24" t="e">
        <f t="shared" si="6"/>
        <v>#REF!</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t="e">
        <f t="shared" si="14"/>
        <v>#REF!</v>
      </c>
      <c r="S61" s="361" t="e">
        <f t="shared" si="5"/>
        <v>#REF!</v>
      </c>
    </row>
    <row r="62" spans="1:19">
      <c r="A62" s="3001" t="e">
        <f>#REF!</f>
        <v>#REF!</v>
      </c>
      <c r="B62" s="2952" t="e">
        <f>#REF!</f>
        <v>#REF!</v>
      </c>
      <c r="C62" s="24" t="e">
        <f t="shared" si="6"/>
        <v>#REF!</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t="e">
        <f t="shared" si="14"/>
        <v>#REF!</v>
      </c>
      <c r="S62" s="361" t="e">
        <f t="shared" si="5"/>
        <v>#REF!</v>
      </c>
    </row>
    <row r="63" spans="1:19">
      <c r="A63" s="3001" t="e">
        <f>#REF!</f>
        <v>#REF!</v>
      </c>
      <c r="B63" s="2952" t="e">
        <f>#REF!</f>
        <v>#REF!</v>
      </c>
      <c r="C63" s="24" t="e">
        <f t="shared" si="6"/>
        <v>#REF!</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t="e">
        <f t="shared" si="14"/>
        <v>#REF!</v>
      </c>
      <c r="S63" s="361" t="e">
        <f t="shared" si="5"/>
        <v>#REF!</v>
      </c>
    </row>
    <row r="64" spans="1:19">
      <c r="A64" s="3001" t="e">
        <f>#REF!</f>
        <v>#REF!</v>
      </c>
      <c r="B64" s="2952" t="e">
        <f>#REF!</f>
        <v>#REF!</v>
      </c>
      <c r="C64" s="24" t="e">
        <f t="shared" si="6"/>
        <v>#REF!</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t="e">
        <f t="shared" si="14"/>
        <v>#REF!</v>
      </c>
      <c r="S64" s="361" t="e">
        <f t="shared" si="5"/>
        <v>#REF!</v>
      </c>
    </row>
    <row r="65" spans="1:19">
      <c r="A65" s="3001" t="e">
        <f>#REF!</f>
        <v>#REF!</v>
      </c>
      <c r="B65" s="2952" t="e">
        <f>#REF!</f>
        <v>#REF!</v>
      </c>
      <c r="C65" s="24" t="e">
        <f t="shared" si="6"/>
        <v>#REF!</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t="e">
        <f t="shared" si="14"/>
        <v>#REF!</v>
      </c>
      <c r="S65" s="361" t="e">
        <f t="shared" si="5"/>
        <v>#REF!</v>
      </c>
    </row>
    <row r="66" spans="1:19">
      <c r="A66" s="3001" t="e">
        <f>#REF!</f>
        <v>#REF!</v>
      </c>
      <c r="B66" s="2952" t="e">
        <f>#REF!</f>
        <v>#REF!</v>
      </c>
      <c r="C66" s="24" t="e">
        <f t="shared" si="6"/>
        <v>#REF!</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t="e">
        <f t="shared" si="14"/>
        <v>#REF!</v>
      </c>
      <c r="S66" s="361" t="e">
        <f t="shared" si="5"/>
        <v>#REF!</v>
      </c>
    </row>
    <row r="67" spans="1:19">
      <c r="A67" s="3001" t="e">
        <f>#REF!</f>
        <v>#REF!</v>
      </c>
      <c r="B67" s="2952" t="e">
        <f>#REF!</f>
        <v>#REF!</v>
      </c>
      <c r="C67" s="24" t="e">
        <f t="shared" si="6"/>
        <v>#REF!</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t="e">
        <f t="shared" si="14"/>
        <v>#REF!</v>
      </c>
      <c r="S67" s="361" t="e">
        <f t="shared" si="5"/>
        <v>#REF!</v>
      </c>
    </row>
    <row r="68" spans="1:19">
      <c r="A68" s="3001" t="e">
        <f>#REF!</f>
        <v>#REF!</v>
      </c>
      <c r="B68" s="2952" t="e">
        <f>#REF!</f>
        <v>#REF!</v>
      </c>
      <c r="C68" s="24" t="e">
        <f t="shared" si="6"/>
        <v>#REF!</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t="e">
        <f t="shared" si="14"/>
        <v>#REF!</v>
      </c>
      <c r="S68" s="361" t="e">
        <f t="shared" si="5"/>
        <v>#REF!</v>
      </c>
    </row>
    <row r="69" spans="1:19">
      <c r="A69" s="3001" t="e">
        <f>#REF!</f>
        <v>#REF!</v>
      </c>
      <c r="B69" s="2952" t="e">
        <f>#REF!</f>
        <v>#REF!</v>
      </c>
      <c r="C69" s="24" t="e">
        <f t="shared" si="6"/>
        <v>#REF!</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t="e">
        <f t="shared" si="14"/>
        <v>#REF!</v>
      </c>
      <c r="S69" s="361" t="e">
        <f t="shared" si="5"/>
        <v>#REF!</v>
      </c>
    </row>
    <row r="70" spans="1:19">
      <c r="A70" s="3001" t="e">
        <f>#REF!</f>
        <v>#REF!</v>
      </c>
      <c r="B70" s="2952" t="e">
        <f>#REF!</f>
        <v>#REF!</v>
      </c>
      <c r="C70" s="24" t="e">
        <f t="shared" si="6"/>
        <v>#REF!</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t="e">
        <f t="shared" si="14"/>
        <v>#REF!</v>
      </c>
      <c r="S70" s="361" t="e">
        <f t="shared" si="5"/>
        <v>#REF!</v>
      </c>
    </row>
    <row r="71" spans="1:19">
      <c r="A71" s="3001" t="e">
        <f>#REF!</f>
        <v>#REF!</v>
      </c>
      <c r="B71" s="2952" t="e">
        <f>#REF!</f>
        <v>#REF!</v>
      </c>
      <c r="C71" s="24" t="e">
        <f t="shared" si="6"/>
        <v>#REF!</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t="e">
        <f t="shared" si="14"/>
        <v>#REF!</v>
      </c>
      <c r="S71" s="361" t="e">
        <f t="shared" si="5"/>
        <v>#REF!</v>
      </c>
    </row>
    <row r="72" spans="1:19">
      <c r="A72" s="3001" t="e">
        <f>#REF!</f>
        <v>#REF!</v>
      </c>
      <c r="B72" s="2952" t="e">
        <f>#REF!</f>
        <v>#REF!</v>
      </c>
      <c r="C72" s="24" t="e">
        <f t="shared" si="6"/>
        <v>#REF!</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t="e">
        <f t="shared" si="14"/>
        <v>#REF!</v>
      </c>
      <c r="S72" s="361" t="e">
        <f t="shared" si="5"/>
        <v>#REF!</v>
      </c>
    </row>
    <row r="73" spans="1:19">
      <c r="A73" s="3001" t="e">
        <f>#REF!</f>
        <v>#REF!</v>
      </c>
      <c r="B73" s="2952" t="e">
        <f>#REF!</f>
        <v>#REF!</v>
      </c>
      <c r="C73" s="24" t="e">
        <f t="shared" si="6"/>
        <v>#REF!</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t="e">
        <f t="shared" si="14"/>
        <v>#REF!</v>
      </c>
      <c r="S73" s="361" t="e">
        <f t="shared" si="5"/>
        <v>#REF!</v>
      </c>
    </row>
    <row r="74" spans="1:19">
      <c r="A74" s="3001" t="e">
        <f>#REF!</f>
        <v>#REF!</v>
      </c>
      <c r="B74" s="2952" t="e">
        <f>#REF!</f>
        <v>#REF!</v>
      </c>
      <c r="C74" s="24" t="e">
        <f t="shared" si="6"/>
        <v>#REF!</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t="e">
        <f t="shared" si="14"/>
        <v>#REF!</v>
      </c>
      <c r="S74" s="361" t="e">
        <f t="shared" si="5"/>
        <v>#REF!</v>
      </c>
    </row>
    <row r="75" spans="1:19">
      <c r="A75" s="3001" t="e">
        <f>#REF!</f>
        <v>#REF!</v>
      </c>
      <c r="B75" s="2952" t="e">
        <f>#REF!</f>
        <v>#REF!</v>
      </c>
      <c r="C75" s="24" t="e">
        <f t="shared" si="6"/>
        <v>#REF!</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t="e">
        <f t="shared" si="14"/>
        <v>#REF!</v>
      </c>
      <c r="S75" s="361" t="e">
        <f t="shared" si="5"/>
        <v>#REF!</v>
      </c>
    </row>
    <row r="76" spans="1:19">
      <c r="A76" s="3001" t="e">
        <f>#REF!</f>
        <v>#REF!</v>
      </c>
      <c r="B76" s="2952" t="e">
        <f>#REF!</f>
        <v>#REF!</v>
      </c>
      <c r="C76" s="24" t="e">
        <f t="shared" si="6"/>
        <v>#REF!</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t="e">
        <f t="shared" si="14"/>
        <v>#REF!</v>
      </c>
      <c r="S76" s="361" t="e">
        <f t="shared" si="5"/>
        <v>#REF!</v>
      </c>
    </row>
    <row r="77" spans="1:19">
      <c r="A77" s="3001" t="e">
        <f>#REF!</f>
        <v>#REF!</v>
      </c>
      <c r="B77" s="2952" t="e">
        <f>#REF!</f>
        <v>#REF!</v>
      </c>
      <c r="C77" s="24" t="e">
        <f t="shared" si="6"/>
        <v>#REF!</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t="e">
        <f t="shared" si="14"/>
        <v>#REF!</v>
      </c>
      <c r="S77" s="361" t="e">
        <f t="shared" si="5"/>
        <v>#REF!</v>
      </c>
    </row>
    <row r="78" spans="1:19">
      <c r="A78" s="3001" t="e">
        <f>#REF!</f>
        <v>#REF!</v>
      </c>
      <c r="B78" s="2952" t="e">
        <f>#REF!</f>
        <v>#REF!</v>
      </c>
      <c r="C78" s="24" t="e">
        <f t="shared" si="6"/>
        <v>#REF!</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t="e">
        <f t="shared" si="14"/>
        <v>#REF!</v>
      </c>
      <c r="S78" s="361" t="e">
        <f t="shared" si="5"/>
        <v>#REF!</v>
      </c>
    </row>
    <row r="79" spans="1:19">
      <c r="A79" s="3001" t="e">
        <f>#REF!</f>
        <v>#REF!</v>
      </c>
      <c r="B79" s="2952" t="e">
        <f>#REF!</f>
        <v>#REF!</v>
      </c>
      <c r="C79" s="24" t="e">
        <f t="shared" si="6"/>
        <v>#REF!</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t="e">
        <f t="shared" si="14"/>
        <v>#REF!</v>
      </c>
      <c r="S79" s="361" t="e">
        <f t="shared" si="5"/>
        <v>#REF!</v>
      </c>
    </row>
    <row r="80" spans="1:19">
      <c r="A80" s="3001" t="e">
        <f>#REF!</f>
        <v>#REF!</v>
      </c>
      <c r="B80" s="2952" t="e">
        <f>#REF!</f>
        <v>#REF!</v>
      </c>
      <c r="C80" s="24" t="e">
        <f t="shared" si="6"/>
        <v>#REF!</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t="e">
        <f t="shared" si="14"/>
        <v>#REF!</v>
      </c>
      <c r="S80" s="361" t="e">
        <f t="shared" si="5"/>
        <v>#REF!</v>
      </c>
    </row>
    <row r="81" spans="1:19">
      <c r="A81" s="3001" t="e">
        <f>#REF!</f>
        <v>#REF!</v>
      </c>
      <c r="B81" s="2952" t="e">
        <f>#REF!</f>
        <v>#REF!</v>
      </c>
      <c r="C81" s="24" t="e">
        <f t="shared" si="6"/>
        <v>#REF!</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t="e">
        <f t="shared" si="14"/>
        <v>#REF!</v>
      </c>
      <c r="S81" s="361" t="e">
        <f t="shared" si="5"/>
        <v>#REF!</v>
      </c>
    </row>
    <row r="82" spans="1:19">
      <c r="A82" s="3001" t="e">
        <f>#REF!</f>
        <v>#REF!</v>
      </c>
      <c r="B82" s="2952" t="e">
        <f>#REF!</f>
        <v>#REF!</v>
      </c>
      <c r="C82" s="24" t="e">
        <f t="shared" si="6"/>
        <v>#REF!</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t="e">
        <f t="shared" si="14"/>
        <v>#REF!</v>
      </c>
      <c r="S82" s="361" t="e">
        <f t="shared" si="5"/>
        <v>#REF!</v>
      </c>
    </row>
    <row r="83" spans="1:19">
      <c r="A83" s="3001" t="e">
        <f>#REF!</f>
        <v>#REF!</v>
      </c>
      <c r="B83" s="2952" t="e">
        <f>#REF!</f>
        <v>#REF!</v>
      </c>
      <c r="C83" s="24" t="e">
        <f t="shared" si="6"/>
        <v>#REF!</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t="e">
        <f t="shared" si="14"/>
        <v>#REF!</v>
      </c>
      <c r="S83" s="361" t="e">
        <f t="shared" si="5"/>
        <v>#REF!</v>
      </c>
    </row>
    <row r="84" spans="1:19">
      <c r="A84" s="3001" t="e">
        <f>#REF!</f>
        <v>#REF!</v>
      </c>
      <c r="B84" s="2952" t="e">
        <f>#REF!</f>
        <v>#REF!</v>
      </c>
      <c r="C84" s="24" t="e">
        <f t="shared" si="6"/>
        <v>#REF!</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t="e">
        <f t="shared" si="14"/>
        <v>#REF!</v>
      </c>
      <c r="S84" s="361" t="e">
        <f t="shared" si="5"/>
        <v>#REF!</v>
      </c>
    </row>
    <row r="85" spans="1:19">
      <c r="A85" s="3001" t="e">
        <f>#REF!</f>
        <v>#REF!</v>
      </c>
      <c r="B85" s="2952" t="e">
        <f>#REF!</f>
        <v>#REF!</v>
      </c>
      <c r="C85" s="24" t="e">
        <f t="shared" si="6"/>
        <v>#REF!</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t="e">
        <f t="shared" si="14"/>
        <v>#REF!</v>
      </c>
      <c r="S85" s="361" t="e">
        <f t="shared" si="5"/>
        <v>#REF!</v>
      </c>
    </row>
    <row r="86" spans="1:19">
      <c r="A86" s="3001" t="e">
        <f>#REF!</f>
        <v>#REF!</v>
      </c>
      <c r="B86" s="2952" t="e">
        <f>#REF!</f>
        <v>#REF!</v>
      </c>
      <c r="C86" s="24" t="e">
        <f t="shared" si="6"/>
        <v>#REF!</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t="e">
        <f t="shared" si="14"/>
        <v>#REF!</v>
      </c>
      <c r="S86" s="361" t="e">
        <f t="shared" si="5"/>
        <v>#REF!</v>
      </c>
    </row>
    <row r="87" spans="1:19">
      <c r="A87" s="3001" t="e">
        <f>#REF!</f>
        <v>#REF!</v>
      </c>
      <c r="B87" s="2952" t="e">
        <f>#REF!</f>
        <v>#REF!</v>
      </c>
      <c r="C87" s="24" t="e">
        <f t="shared" si="6"/>
        <v>#REF!</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t="e">
        <f t="shared" si="14"/>
        <v>#REF!</v>
      </c>
      <c r="S87" s="361" t="e">
        <f t="shared" si="5"/>
        <v>#REF!</v>
      </c>
    </row>
    <row r="88" spans="1:19">
      <c r="A88" s="3001" t="e">
        <f>#REF!</f>
        <v>#REF!</v>
      </c>
      <c r="B88" s="2952" t="e">
        <f>#REF!</f>
        <v>#REF!</v>
      </c>
      <c r="C88" s="24" t="e">
        <f t="shared" si="6"/>
        <v>#REF!</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t="e">
        <f t="shared" si="14"/>
        <v>#REF!</v>
      </c>
      <c r="S88" s="361" t="e">
        <f t="shared" ref="S88:S151" si="15">ROUND(R88*B88/10000,0)</f>
        <v>#REF!</v>
      </c>
    </row>
    <row r="89" spans="1:19">
      <c r="A89" s="3001" t="e">
        <f>#REF!</f>
        <v>#REF!</v>
      </c>
      <c r="B89" s="2952" t="e">
        <f>#REF!</f>
        <v>#REF!</v>
      </c>
      <c r="C89" s="24" t="e">
        <f t="shared" si="6"/>
        <v>#REF!</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t="e">
        <f t="shared" si="14"/>
        <v>#REF!</v>
      </c>
      <c r="S89" s="361" t="e">
        <f t="shared" si="15"/>
        <v>#REF!</v>
      </c>
    </row>
    <row r="90" spans="1:19">
      <c r="A90" s="3001" t="e">
        <f>#REF!</f>
        <v>#REF!</v>
      </c>
      <c r="B90" s="2952" t="e">
        <f>#REF!</f>
        <v>#REF!</v>
      </c>
      <c r="C90" s="24" t="e">
        <f t="shared" ref="C90:C153" si="16">IF(B90="",1,(LOOKUP(B90,$3:$3,$4:$4)-LOOKUP($B$24,$3:$3,$4:$4)+100)/100)</f>
        <v>#REF!</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t="e">
        <f t="shared" ref="R90:R153" si="24">IF(B90="",0,ROUND($R$24*C90*E90*G90*I90*K90*M90*O90*Q90,0))</f>
        <v>#REF!</v>
      </c>
      <c r="S90" s="361" t="e">
        <f t="shared" si="15"/>
        <v>#REF!</v>
      </c>
    </row>
    <row r="91" spans="1:19">
      <c r="A91" s="3001" t="e">
        <f>#REF!</f>
        <v>#REF!</v>
      </c>
      <c r="B91" s="2952" t="e">
        <f>#REF!</f>
        <v>#REF!</v>
      </c>
      <c r="C91" s="24" t="e">
        <f t="shared" si="16"/>
        <v>#REF!</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t="e">
        <f t="shared" si="24"/>
        <v>#REF!</v>
      </c>
      <c r="S91" s="361" t="e">
        <f t="shared" si="15"/>
        <v>#REF!</v>
      </c>
    </row>
    <row r="92" spans="1:19">
      <c r="A92" s="3001" t="e">
        <f>#REF!</f>
        <v>#REF!</v>
      </c>
      <c r="B92" s="2952" t="e">
        <f>#REF!</f>
        <v>#REF!</v>
      </c>
      <c r="C92" s="24" t="e">
        <f t="shared" si="16"/>
        <v>#REF!</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t="e">
        <f t="shared" si="24"/>
        <v>#REF!</v>
      </c>
      <c r="S92" s="361" t="e">
        <f t="shared" si="15"/>
        <v>#REF!</v>
      </c>
    </row>
    <row r="93" spans="1:19">
      <c r="A93" s="3001" t="e">
        <f>#REF!</f>
        <v>#REF!</v>
      </c>
      <c r="B93" s="2952" t="e">
        <f>#REF!</f>
        <v>#REF!</v>
      </c>
      <c r="C93" s="24" t="e">
        <f t="shared" si="16"/>
        <v>#REF!</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t="e">
        <f t="shared" si="24"/>
        <v>#REF!</v>
      </c>
      <c r="S93" s="361" t="e">
        <f t="shared" si="15"/>
        <v>#REF!</v>
      </c>
    </row>
    <row r="94" spans="1:19">
      <c r="A94" s="3001" t="e">
        <f>#REF!</f>
        <v>#REF!</v>
      </c>
      <c r="B94" s="2952" t="e">
        <f>#REF!</f>
        <v>#REF!</v>
      </c>
      <c r="C94" s="24" t="e">
        <f t="shared" si="16"/>
        <v>#REF!</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t="e">
        <f t="shared" si="24"/>
        <v>#REF!</v>
      </c>
      <c r="S94" s="361" t="e">
        <f t="shared" si="15"/>
        <v>#REF!</v>
      </c>
    </row>
    <row r="95" spans="1:19">
      <c r="A95" s="3001" t="e">
        <f>#REF!</f>
        <v>#REF!</v>
      </c>
      <c r="B95" s="2952" t="e">
        <f>#REF!</f>
        <v>#REF!</v>
      </c>
      <c r="C95" s="24" t="e">
        <f t="shared" si="16"/>
        <v>#REF!</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t="e">
        <f t="shared" si="24"/>
        <v>#REF!</v>
      </c>
      <c r="S95" s="361" t="e">
        <f t="shared" si="15"/>
        <v>#REF!</v>
      </c>
    </row>
    <row r="96" spans="1:19">
      <c r="A96" s="3001" t="e">
        <f>#REF!</f>
        <v>#REF!</v>
      </c>
      <c r="B96" s="2952" t="e">
        <f>#REF!</f>
        <v>#REF!</v>
      </c>
      <c r="C96" s="24" t="e">
        <f t="shared" si="16"/>
        <v>#REF!</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t="e">
        <f t="shared" si="24"/>
        <v>#REF!</v>
      </c>
      <c r="S96" s="361" t="e">
        <f t="shared" si="15"/>
        <v>#REF!</v>
      </c>
    </row>
    <row r="97" spans="1:19">
      <c r="A97" s="3001" t="e">
        <f>#REF!</f>
        <v>#REF!</v>
      </c>
      <c r="B97" s="2952" t="e">
        <f>#REF!</f>
        <v>#REF!</v>
      </c>
      <c r="C97" s="24" t="e">
        <f t="shared" si="16"/>
        <v>#REF!</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t="e">
        <f t="shared" si="24"/>
        <v>#REF!</v>
      </c>
      <c r="S97" s="361" t="e">
        <f t="shared" si="15"/>
        <v>#REF!</v>
      </c>
    </row>
    <row r="98" spans="1:19">
      <c r="A98" s="3001" t="e">
        <f>#REF!</f>
        <v>#REF!</v>
      </c>
      <c r="B98" s="2952" t="e">
        <f>#REF!</f>
        <v>#REF!</v>
      </c>
      <c r="C98" s="24" t="e">
        <f t="shared" si="16"/>
        <v>#REF!</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t="e">
        <f t="shared" si="24"/>
        <v>#REF!</v>
      </c>
      <c r="S98" s="361" t="e">
        <f t="shared" si="15"/>
        <v>#REF!</v>
      </c>
    </row>
    <row r="99" spans="1:19">
      <c r="A99" s="3001" t="e">
        <f>#REF!</f>
        <v>#REF!</v>
      </c>
      <c r="B99" s="2952" t="e">
        <f>#REF!</f>
        <v>#REF!</v>
      </c>
      <c r="C99" s="24" t="e">
        <f t="shared" si="16"/>
        <v>#REF!</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t="e">
        <f t="shared" si="24"/>
        <v>#REF!</v>
      </c>
      <c r="S99" s="361" t="e">
        <f t="shared" si="15"/>
        <v>#REF!</v>
      </c>
    </row>
    <row r="100" spans="1:19">
      <c r="A100" s="3001" t="e">
        <f>#REF!</f>
        <v>#REF!</v>
      </c>
      <c r="B100" s="2952" t="e">
        <f>#REF!</f>
        <v>#REF!</v>
      </c>
      <c r="C100" s="24" t="e">
        <f t="shared" si="16"/>
        <v>#REF!</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t="e">
        <f t="shared" si="24"/>
        <v>#REF!</v>
      </c>
      <c r="S100" s="361" t="e">
        <f t="shared" si="15"/>
        <v>#REF!</v>
      </c>
    </row>
    <row r="101" spans="1:19">
      <c r="A101" s="3001" t="e">
        <f>#REF!</f>
        <v>#REF!</v>
      </c>
      <c r="B101" s="2952" t="e">
        <f>#REF!</f>
        <v>#REF!</v>
      </c>
      <c r="C101" s="24" t="e">
        <f t="shared" si="16"/>
        <v>#REF!</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t="e">
        <f t="shared" si="24"/>
        <v>#REF!</v>
      </c>
      <c r="S101" s="361" t="e">
        <f t="shared" si="15"/>
        <v>#REF!</v>
      </c>
    </row>
    <row r="102" spans="1:19">
      <c r="A102" s="3001" t="e">
        <f>#REF!</f>
        <v>#REF!</v>
      </c>
      <c r="B102" s="2952" t="e">
        <f>#REF!</f>
        <v>#REF!</v>
      </c>
      <c r="C102" s="24" t="e">
        <f t="shared" si="16"/>
        <v>#REF!</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t="e">
        <f t="shared" si="24"/>
        <v>#REF!</v>
      </c>
      <c r="S102" s="361" t="e">
        <f t="shared" si="15"/>
        <v>#REF!</v>
      </c>
    </row>
    <row r="103" spans="1:19">
      <c r="A103" s="3001" t="e">
        <f>#REF!</f>
        <v>#REF!</v>
      </c>
      <c r="B103" s="2952" t="e">
        <f>#REF!</f>
        <v>#REF!</v>
      </c>
      <c r="C103" s="24" t="e">
        <f t="shared" si="16"/>
        <v>#REF!</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t="e">
        <f t="shared" si="24"/>
        <v>#REF!</v>
      </c>
      <c r="S103" s="361" t="e">
        <f t="shared" si="15"/>
        <v>#REF!</v>
      </c>
    </row>
    <row r="104" spans="1:19">
      <c r="A104" s="3001" t="e">
        <f>#REF!</f>
        <v>#REF!</v>
      </c>
      <c r="B104" s="2952" t="e">
        <f>#REF!</f>
        <v>#REF!</v>
      </c>
      <c r="C104" s="24" t="e">
        <f t="shared" si="16"/>
        <v>#REF!</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t="e">
        <f t="shared" si="24"/>
        <v>#REF!</v>
      </c>
      <c r="S104" s="361" t="e">
        <f t="shared" si="15"/>
        <v>#REF!</v>
      </c>
    </row>
    <row r="105" spans="1:19">
      <c r="A105" s="3001" t="e">
        <f>#REF!</f>
        <v>#REF!</v>
      </c>
      <c r="B105" s="2952" t="e">
        <f>#REF!</f>
        <v>#REF!</v>
      </c>
      <c r="C105" s="24" t="e">
        <f t="shared" si="16"/>
        <v>#REF!</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t="e">
        <f t="shared" si="24"/>
        <v>#REF!</v>
      </c>
      <c r="S105" s="361" t="e">
        <f t="shared" si="15"/>
        <v>#REF!</v>
      </c>
    </row>
    <row r="106" spans="1:19">
      <c r="A106" s="3001" t="e">
        <f>#REF!</f>
        <v>#REF!</v>
      </c>
      <c r="B106" s="2952" t="e">
        <f>#REF!</f>
        <v>#REF!</v>
      </c>
      <c r="C106" s="24" t="e">
        <f t="shared" si="16"/>
        <v>#REF!</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t="e">
        <f t="shared" si="24"/>
        <v>#REF!</v>
      </c>
      <c r="S106" s="361" t="e">
        <f t="shared" si="15"/>
        <v>#REF!</v>
      </c>
    </row>
    <row r="107" spans="1:19">
      <c r="A107" s="3001" t="e">
        <f>#REF!</f>
        <v>#REF!</v>
      </c>
      <c r="B107" s="2952" t="e">
        <f>#REF!</f>
        <v>#REF!</v>
      </c>
      <c r="C107" s="24" t="e">
        <f t="shared" si="16"/>
        <v>#REF!</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t="e">
        <f t="shared" si="24"/>
        <v>#REF!</v>
      </c>
      <c r="S107" s="361" t="e">
        <f t="shared" si="15"/>
        <v>#REF!</v>
      </c>
    </row>
    <row r="108" spans="1:19">
      <c r="A108" s="3001" t="e">
        <f>#REF!</f>
        <v>#REF!</v>
      </c>
      <c r="B108" s="2952" t="e">
        <f>#REF!</f>
        <v>#REF!</v>
      </c>
      <c r="C108" s="24" t="e">
        <f t="shared" si="16"/>
        <v>#REF!</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t="e">
        <f t="shared" si="24"/>
        <v>#REF!</v>
      </c>
      <c r="S108" s="361" t="e">
        <f t="shared" si="15"/>
        <v>#REF!</v>
      </c>
    </row>
    <row r="109" spans="1:19">
      <c r="A109" s="3001" t="e">
        <f>#REF!</f>
        <v>#REF!</v>
      </c>
      <c r="B109" s="2952" t="e">
        <f>#REF!</f>
        <v>#REF!</v>
      </c>
      <c r="C109" s="24" t="e">
        <f t="shared" si="16"/>
        <v>#REF!</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t="e">
        <f t="shared" si="24"/>
        <v>#REF!</v>
      </c>
      <c r="S109" s="361" t="e">
        <f t="shared" si="15"/>
        <v>#REF!</v>
      </c>
    </row>
    <row r="110" spans="1:19">
      <c r="A110" s="3001" t="e">
        <f>#REF!</f>
        <v>#REF!</v>
      </c>
      <c r="B110" s="2952" t="e">
        <f>#REF!</f>
        <v>#REF!</v>
      </c>
      <c r="C110" s="24" t="e">
        <f t="shared" si="16"/>
        <v>#REF!</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t="e">
        <f t="shared" si="24"/>
        <v>#REF!</v>
      </c>
      <c r="S110" s="361" t="e">
        <f t="shared" si="15"/>
        <v>#REF!</v>
      </c>
    </row>
    <row r="111" spans="1:19">
      <c r="A111" s="3001" t="e">
        <f>#REF!</f>
        <v>#REF!</v>
      </c>
      <c r="B111" s="2952" t="e">
        <f>#REF!</f>
        <v>#REF!</v>
      </c>
      <c r="C111" s="24" t="e">
        <f t="shared" si="16"/>
        <v>#REF!</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t="e">
        <f t="shared" si="24"/>
        <v>#REF!</v>
      </c>
      <c r="S111" s="361" t="e">
        <f t="shared" si="15"/>
        <v>#REF!</v>
      </c>
    </row>
    <row r="112" spans="1:19">
      <c r="A112" s="3001" t="e">
        <f>#REF!</f>
        <v>#REF!</v>
      </c>
      <c r="B112" s="2952" t="e">
        <f>#REF!</f>
        <v>#REF!</v>
      </c>
      <c r="C112" s="24" t="e">
        <f t="shared" si="16"/>
        <v>#REF!</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t="e">
        <f t="shared" si="24"/>
        <v>#REF!</v>
      </c>
      <c r="S112" s="361" t="e">
        <f t="shared" si="15"/>
        <v>#REF!</v>
      </c>
    </row>
    <row r="113" spans="1:19">
      <c r="A113" s="3001" t="e">
        <f>#REF!</f>
        <v>#REF!</v>
      </c>
      <c r="B113" s="2952" t="e">
        <f>#REF!</f>
        <v>#REF!</v>
      </c>
      <c r="C113" s="24" t="e">
        <f t="shared" si="16"/>
        <v>#REF!</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t="e">
        <f t="shared" si="24"/>
        <v>#REF!</v>
      </c>
      <c r="S113" s="361" t="e">
        <f t="shared" si="15"/>
        <v>#REF!</v>
      </c>
    </row>
    <row r="114" spans="1:19">
      <c r="A114" s="3001" t="e">
        <f>#REF!</f>
        <v>#REF!</v>
      </c>
      <c r="B114" s="2952" t="e">
        <f>#REF!</f>
        <v>#REF!</v>
      </c>
      <c r="C114" s="24" t="e">
        <f t="shared" si="16"/>
        <v>#REF!</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t="e">
        <f t="shared" si="24"/>
        <v>#REF!</v>
      </c>
      <c r="S114" s="361" t="e">
        <f t="shared" si="15"/>
        <v>#REF!</v>
      </c>
    </row>
    <row r="115" spans="1:19">
      <c r="A115" s="3001" t="e">
        <f>#REF!</f>
        <v>#REF!</v>
      </c>
      <c r="B115" s="2952" t="e">
        <f>#REF!</f>
        <v>#REF!</v>
      </c>
      <c r="C115" s="24" t="e">
        <f t="shared" si="16"/>
        <v>#REF!</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t="e">
        <f t="shared" si="24"/>
        <v>#REF!</v>
      </c>
      <c r="S115" s="361" t="e">
        <f t="shared" si="15"/>
        <v>#REF!</v>
      </c>
    </row>
    <row r="116" spans="1:19">
      <c r="A116" s="3001" t="e">
        <f>#REF!</f>
        <v>#REF!</v>
      </c>
      <c r="B116" s="2952" t="e">
        <f>#REF!</f>
        <v>#REF!</v>
      </c>
      <c r="C116" s="24" t="e">
        <f t="shared" si="16"/>
        <v>#REF!</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t="e">
        <f t="shared" si="24"/>
        <v>#REF!</v>
      </c>
      <c r="S116" s="361" t="e">
        <f t="shared" si="15"/>
        <v>#REF!</v>
      </c>
    </row>
    <row r="117" spans="1:19">
      <c r="A117" s="3001" t="e">
        <f>#REF!</f>
        <v>#REF!</v>
      </c>
      <c r="B117" s="2952" t="e">
        <f>#REF!</f>
        <v>#REF!</v>
      </c>
      <c r="C117" s="24" t="e">
        <f t="shared" si="16"/>
        <v>#REF!</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t="e">
        <f t="shared" si="24"/>
        <v>#REF!</v>
      </c>
      <c r="S117" s="361" t="e">
        <f t="shared" si="15"/>
        <v>#REF!</v>
      </c>
    </row>
    <row r="118" spans="1:19">
      <c r="A118" s="3001" t="e">
        <f>#REF!</f>
        <v>#REF!</v>
      </c>
      <c r="B118" s="2952" t="e">
        <f>#REF!</f>
        <v>#REF!</v>
      </c>
      <c r="C118" s="24" t="e">
        <f t="shared" si="16"/>
        <v>#REF!</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t="e">
        <f t="shared" si="24"/>
        <v>#REF!</v>
      </c>
      <c r="S118" s="361" t="e">
        <f t="shared" si="15"/>
        <v>#REF!</v>
      </c>
    </row>
    <row r="119" spans="1:19">
      <c r="A119" s="3001" t="e">
        <f>#REF!</f>
        <v>#REF!</v>
      </c>
      <c r="B119" s="2952" t="e">
        <f>#REF!</f>
        <v>#REF!</v>
      </c>
      <c r="C119" s="24" t="e">
        <f t="shared" si="16"/>
        <v>#REF!</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t="e">
        <f t="shared" si="24"/>
        <v>#REF!</v>
      </c>
      <c r="S119" s="361" t="e">
        <f t="shared" si="15"/>
        <v>#REF!</v>
      </c>
    </row>
    <row r="120" spans="1:19">
      <c r="A120" s="3001" t="e">
        <f>#REF!</f>
        <v>#REF!</v>
      </c>
      <c r="B120" s="2952" t="e">
        <f>#REF!</f>
        <v>#REF!</v>
      </c>
      <c r="C120" s="24" t="e">
        <f t="shared" si="16"/>
        <v>#REF!</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t="e">
        <f t="shared" si="24"/>
        <v>#REF!</v>
      </c>
      <c r="S120" s="361" t="e">
        <f t="shared" si="15"/>
        <v>#REF!</v>
      </c>
    </row>
    <row r="121" spans="1:19">
      <c r="A121" s="3001" t="e">
        <f>#REF!</f>
        <v>#REF!</v>
      </c>
      <c r="B121" s="2952" t="e">
        <f>#REF!</f>
        <v>#REF!</v>
      </c>
      <c r="C121" s="24" t="e">
        <f t="shared" si="16"/>
        <v>#REF!</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t="e">
        <f t="shared" si="24"/>
        <v>#REF!</v>
      </c>
      <c r="S121" s="361" t="e">
        <f t="shared" si="15"/>
        <v>#REF!</v>
      </c>
    </row>
    <row r="122" spans="1:19">
      <c r="A122" s="3001" t="e">
        <f>#REF!</f>
        <v>#REF!</v>
      </c>
      <c r="B122" s="2952" t="e">
        <f>#REF!</f>
        <v>#REF!</v>
      </c>
      <c r="C122" s="24" t="e">
        <f t="shared" si="16"/>
        <v>#REF!</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t="e">
        <f t="shared" si="24"/>
        <v>#REF!</v>
      </c>
      <c r="S122" s="361" t="e">
        <f t="shared" si="15"/>
        <v>#REF!</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3644</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40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4" t="s">
        <v>1406</v>
      </c>
      <c r="E14" s="3392"/>
      <c r="F14" s="364"/>
      <c r="G14" s="1831"/>
      <c r="H14" s="1183" t="s">
        <v>1032</v>
      </c>
      <c r="I14" s="347" t="s">
        <v>1407</v>
      </c>
      <c r="J14" s="24" t="e">
        <f ca="1">C29</f>
        <v>#N/A</v>
      </c>
      <c r="K14" s="340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396"/>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394" t="s">
        <v>1418</v>
      </c>
      <c r="L17" s="3393"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3"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399"/>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399"/>
      <c r="F22" s="26"/>
      <c r="G22" s="1831"/>
      <c r="H22" s="1183" t="s">
        <v>1036</v>
      </c>
      <c r="I22" s="347" t="s">
        <v>1437</v>
      </c>
      <c r="J22" s="24" t="e">
        <f ca="1">ROUND(J14*M22,1)</f>
        <v>#N/A</v>
      </c>
      <c r="K22" s="3393"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3"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39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396"/>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4" t="s">
        <v>1418</v>
      </c>
      <c r="E31" s="3393"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3"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3"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3" t="s">
        <v>1442</v>
      </c>
      <c r="E37" s="347" t="s">
        <v>1443</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39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3397"/>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397"/>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3645</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1280"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1780" t="s">
        <v>1406</v>
      </c>
      <c r="E14" s="1774"/>
      <c r="F14" s="364"/>
      <c r="G14" s="1831"/>
      <c r="H14" s="1183" t="s">
        <v>1032</v>
      </c>
      <c r="I14" s="347" t="s">
        <v>1407</v>
      </c>
      <c r="J14" s="24" t="e">
        <f ca="1">C29</f>
        <v>#N/A</v>
      </c>
      <c r="K14" s="15"/>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1320"/>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1798"/>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t="e">
        <f ca="1">ROUND(J14*M22,1)</f>
        <v>#N/A</v>
      </c>
      <c r="K22" s="177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1778"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132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177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1778" t="s">
        <v>1442</v>
      </c>
      <c r="E37" s="347" t="s">
        <v>1443</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179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4" t="s">
        <v>2517</v>
      </c>
      <c r="C1" s="1614" t="s">
        <v>2518</v>
      </c>
      <c r="D1" s="1601"/>
      <c r="E1" s="2555"/>
      <c r="F1" s="2556" t="s">
        <v>2519</v>
      </c>
      <c r="G1" s="1611" t="s">
        <v>2520</v>
      </c>
      <c r="H1" s="1610"/>
      <c r="I1" s="1610"/>
      <c r="J1" s="1610"/>
      <c r="K1" s="1612"/>
      <c r="L1" s="1613"/>
      <c r="M1" s="1614"/>
      <c r="N1" s="1614"/>
      <c r="O1" s="1614"/>
      <c r="P1" s="2557"/>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8"/>
      <c r="D2" s="1347" t="e">
        <f ca="1">SUMIF(INDIRECT("'"&amp;F2&amp;"'"&amp;"!A:A"),"承租人权益价值",INDIRECT("'"&amp;F2&amp;"'"&amp;"!c:c"))</f>
        <v>#REF!</v>
      </c>
      <c r="E2" s="2559" t="s">
        <v>2521</v>
      </c>
      <c r="F2" s="2560"/>
      <c r="G2" s="1107"/>
      <c r="H2" s="1107"/>
      <c r="I2" s="1107"/>
      <c r="J2" s="1107"/>
      <c r="K2" s="2561"/>
      <c r="L2" s="2562"/>
      <c r="M2" s="2563"/>
      <c r="N2" s="2563"/>
      <c r="O2" s="2563"/>
      <c r="P2" s="2564"/>
      <c r="Q2" s="2565"/>
      <c r="R2" s="2565"/>
      <c r="S2" s="2565"/>
      <c r="T2" s="2565"/>
      <c r="U2" s="2565"/>
      <c r="V2" s="2565"/>
      <c r="W2" s="2565"/>
      <c r="X2" s="2565"/>
      <c r="Y2" s="2565"/>
      <c r="Z2" s="2565"/>
      <c r="AA2" s="2565"/>
      <c r="AB2" s="2565"/>
      <c r="AC2" s="2566"/>
    </row>
    <row r="3" spans="1:29" s="393" customFormat="1" ht="28.5" customHeight="1" thickBot="1">
      <c r="A3" s="247" t="s">
        <v>1383</v>
      </c>
      <c r="B3" s="398" t="e">
        <f ca="1">IF(C2="——",C49,ROUND(B2*10000/D3,0))</f>
        <v>#DIV/0!</v>
      </c>
      <c r="C3" s="399" t="s">
        <v>2522</v>
      </c>
      <c r="D3" s="398">
        <f>IF(D1="",'数据-汇总表'!E3,SUMIF('数据-汇总表'!$C19:$C33,D1,'数据-汇总表'!$E19:$E33))</f>
        <v>24348.570000000003</v>
      </c>
      <c r="E3" s="1107"/>
      <c r="F3" s="2567"/>
      <c r="G3" s="1107"/>
      <c r="H3" s="1107"/>
      <c r="I3" s="1107"/>
      <c r="J3" s="1107"/>
      <c r="K3" s="2561"/>
      <c r="L3" s="2562"/>
      <c r="M3" s="2563"/>
      <c r="N3" s="2563"/>
      <c r="O3" s="2563"/>
      <c r="P3" s="2564"/>
      <c r="Q3" s="2565"/>
      <c r="R3" s="2565"/>
      <c r="S3" s="2565"/>
      <c r="T3" s="2565"/>
      <c r="U3" s="2565"/>
      <c r="V3" s="2565"/>
      <c r="W3" s="2565"/>
      <c r="X3" s="2565"/>
      <c r="Y3" s="2565"/>
      <c r="Z3" s="2565"/>
      <c r="AA3" s="2565"/>
      <c r="AB3" s="2565"/>
      <c r="AC3" s="1264"/>
    </row>
    <row r="4" spans="1:29" ht="15">
      <c r="A4" s="400" t="s">
        <v>2523</v>
      </c>
      <c r="B4" s="401"/>
      <c r="C4" s="3683" t="s">
        <v>2524</v>
      </c>
      <c r="D4" s="3684"/>
      <c r="E4" s="3685" t="s">
        <v>2525</v>
      </c>
      <c r="F4" s="3686"/>
      <c r="G4" s="3683" t="s">
        <v>2526</v>
      </c>
      <c r="H4" s="3684"/>
      <c r="I4" s="3683" t="s">
        <v>2527</v>
      </c>
      <c r="J4" s="3684"/>
      <c r="K4" s="2568" t="s">
        <v>2528</v>
      </c>
      <c r="L4" s="1113"/>
      <c r="M4" s="1114"/>
      <c r="N4" s="1114"/>
      <c r="O4" s="1114"/>
      <c r="P4" s="3687" t="s">
        <v>2529</v>
      </c>
      <c r="Q4" s="3688"/>
      <c r="R4" s="3693" t="s">
        <v>2525</v>
      </c>
      <c r="S4" s="3694"/>
      <c r="T4" s="3693" t="s">
        <v>2526</v>
      </c>
      <c r="U4" s="3694"/>
      <c r="V4" s="3678" t="s">
        <v>2527</v>
      </c>
      <c r="W4" s="3678"/>
      <c r="X4" s="1793"/>
      <c r="Y4" s="3693" t="s">
        <v>2529</v>
      </c>
      <c r="Z4" s="3694"/>
      <c r="AA4" s="3680" t="s">
        <v>2525</v>
      </c>
      <c r="AB4" s="3680" t="s">
        <v>2526</v>
      </c>
      <c r="AC4" s="3680" t="s">
        <v>2527</v>
      </c>
    </row>
    <row r="5" spans="1:29" ht="15">
      <c r="A5" s="403"/>
      <c r="B5" s="404"/>
      <c r="C5" s="3737" t="s">
        <v>2530</v>
      </c>
      <c r="D5" s="3738"/>
      <c r="E5" s="3739" t="s">
        <v>2531</v>
      </c>
      <c r="F5" s="3740"/>
      <c r="G5" s="3737" t="s">
        <v>2532</v>
      </c>
      <c r="H5" s="3738"/>
      <c r="I5" s="3737" t="s">
        <v>2533</v>
      </c>
      <c r="J5" s="3738"/>
      <c r="K5" s="2569"/>
      <c r="L5" s="1113"/>
      <c r="M5" s="1114"/>
      <c r="N5" s="1114"/>
      <c r="O5" s="1114"/>
      <c r="P5" s="3689"/>
      <c r="Q5" s="3690"/>
      <c r="R5" s="3695"/>
      <c r="S5" s="3696"/>
      <c r="T5" s="3695"/>
      <c r="U5" s="3696"/>
      <c r="V5" s="3678"/>
      <c r="W5" s="3678"/>
      <c r="X5" s="1793"/>
      <c r="Y5" s="3695"/>
      <c r="Z5" s="3696"/>
      <c r="AA5" s="3681"/>
      <c r="AB5" s="3681"/>
      <c r="AC5" s="3681"/>
    </row>
    <row r="6" spans="1:29" ht="15.75" thickBot="1">
      <c r="A6" s="405"/>
      <c r="B6" s="406"/>
      <c r="C6" s="3699" t="s">
        <v>2534</v>
      </c>
      <c r="D6" s="3700"/>
      <c r="E6" s="3706" t="s">
        <v>2534</v>
      </c>
      <c r="F6" s="3707"/>
      <c r="G6" s="3699" t="s">
        <v>2534</v>
      </c>
      <c r="H6" s="3700"/>
      <c r="I6" s="3699" t="s">
        <v>2534</v>
      </c>
      <c r="J6" s="3700"/>
      <c r="K6" s="2569" t="s">
        <v>2535</v>
      </c>
      <c r="L6" s="1113"/>
      <c r="M6" s="1114"/>
      <c r="N6" s="1114"/>
      <c r="O6" s="1114"/>
      <c r="P6" s="3691"/>
      <c r="Q6" s="3692"/>
      <c r="R6" s="3695"/>
      <c r="S6" s="3696"/>
      <c r="T6" s="3697"/>
      <c r="U6" s="3698"/>
      <c r="V6" s="3678"/>
      <c r="W6" s="3678"/>
      <c r="X6" s="1793"/>
      <c r="Y6" s="3697"/>
      <c r="Z6" s="3698"/>
      <c r="AA6" s="3682"/>
      <c r="AB6" s="3682"/>
      <c r="AC6" s="3682"/>
    </row>
    <row r="7" spans="1:29" s="117" customFormat="1" ht="15.75" thickBot="1">
      <c r="A7" s="407" t="s">
        <v>2536</v>
      </c>
      <c r="B7" s="408"/>
      <c r="C7" s="409">
        <f>'数据-取费表'!B2</f>
        <v>43840</v>
      </c>
      <c r="D7" s="410">
        <v>100</v>
      </c>
      <c r="E7" s="411"/>
      <c r="F7" s="412">
        <f>SUMIF(58:58,YEAR(E7)&amp;"-"&amp;MONTH(E7),59:59)</f>
        <v>0</v>
      </c>
      <c r="G7" s="411"/>
      <c r="H7" s="410">
        <f>SUMIF(58:58,YEAR(G7)&amp;"-"&amp;MONTH(G7),59:59)</f>
        <v>0</v>
      </c>
      <c r="I7" s="411"/>
      <c r="J7" s="410">
        <f>SUMIF(58:58,YEAR(I7)&amp;"-"&amp;MONTH(I7),59:59)</f>
        <v>0</v>
      </c>
      <c r="K7" s="2570"/>
      <c r="L7" s="1115"/>
      <c r="M7" s="1116"/>
      <c r="N7" s="1116"/>
      <c r="O7" s="1116"/>
      <c r="P7" s="3703" t="s">
        <v>2537</v>
      </c>
      <c r="Q7" s="3705"/>
      <c r="R7" s="766" t="s">
        <v>23</v>
      </c>
      <c r="S7" s="767">
        <f t="shared" ref="S7:S15" si="0">F7</f>
        <v>0</v>
      </c>
      <c r="T7" s="766" t="s">
        <v>23</v>
      </c>
      <c r="U7" s="767">
        <f t="shared" ref="U7:U15" si="1">H7</f>
        <v>0</v>
      </c>
      <c r="V7" s="766" t="s">
        <v>23</v>
      </c>
      <c r="W7" s="767">
        <f t="shared" ref="W7:W15" si="2">J7</f>
        <v>0</v>
      </c>
      <c r="X7" s="768"/>
      <c r="Y7" s="3703" t="s">
        <v>2537</v>
      </c>
      <c r="Z7" s="3704"/>
      <c r="AA7" s="769" t="e">
        <f>D7/F7</f>
        <v>#DIV/0!</v>
      </c>
      <c r="AB7" s="769" t="e">
        <f>D7/H7</f>
        <v>#DIV/0!</v>
      </c>
      <c r="AC7" s="769" t="e">
        <f>D7/J7</f>
        <v>#DIV/0!</v>
      </c>
    </row>
    <row r="8" spans="1:29" s="117" customFormat="1" ht="15.75" thickBot="1">
      <c r="A8" s="407" t="s">
        <v>2538</v>
      </c>
      <c r="B8" s="408"/>
      <c r="C8" s="413" t="s">
        <v>2539</v>
      </c>
      <c r="D8" s="410">
        <v>100</v>
      </c>
      <c r="E8" s="2571"/>
      <c r="F8" s="412">
        <f>SUMIF(61:61,E8,62:62)-SUMIF(61:61,C8,62:62)+100</f>
        <v>0</v>
      </c>
      <c r="G8" s="413"/>
      <c r="H8" s="410">
        <f>SUMIF(61:61,G8,62:62)-SUMIF(61:61,C8,62:62)+100</f>
        <v>0</v>
      </c>
      <c r="I8" s="2571"/>
      <c r="J8" s="410">
        <f>SUMIF(61:61,I8,62:62)-SUMIF(61:61,C8,62:62)+100</f>
        <v>0</v>
      </c>
      <c r="K8" s="2570"/>
      <c r="L8" s="1115"/>
      <c r="M8" s="1116"/>
      <c r="N8" s="1116"/>
      <c r="O8" s="1116"/>
      <c r="P8" s="3703" t="s">
        <v>2540</v>
      </c>
      <c r="Q8" s="3704"/>
      <c r="R8" s="766" t="s">
        <v>23</v>
      </c>
      <c r="S8" s="767">
        <f t="shared" si="0"/>
        <v>0</v>
      </c>
      <c r="T8" s="766" t="s">
        <v>23</v>
      </c>
      <c r="U8" s="767">
        <f t="shared" si="1"/>
        <v>0</v>
      </c>
      <c r="V8" s="766" t="s">
        <v>23</v>
      </c>
      <c r="W8" s="767">
        <f t="shared" si="2"/>
        <v>0</v>
      </c>
      <c r="X8" s="768"/>
      <c r="Y8" s="3703" t="s">
        <v>2540</v>
      </c>
      <c r="Z8" s="3704"/>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0"/>
      <c r="L9" s="1115"/>
      <c r="M9" s="1116"/>
      <c r="N9" s="1116"/>
      <c r="O9" s="1116"/>
      <c r="P9" s="3679"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79"/>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79"/>
      <c r="Q11" s="1775" t="str">
        <f t="shared" si="6"/>
        <v>容积率</v>
      </c>
      <c r="R11" s="766" t="s">
        <v>21</v>
      </c>
      <c r="S11" s="767" t="e">
        <f t="shared" si="0"/>
        <v>#N/A</v>
      </c>
      <c r="T11" s="766" t="s">
        <v>21</v>
      </c>
      <c r="U11" s="767" t="e">
        <f t="shared" si="1"/>
        <v>#N/A</v>
      </c>
      <c r="V11" s="766" t="s">
        <v>21</v>
      </c>
      <c r="W11" s="767" t="e">
        <f t="shared" si="2"/>
        <v>#N/A</v>
      </c>
      <c r="X11" s="768"/>
      <c r="Y11" s="3466"/>
      <c r="Z11" s="55" t="str">
        <f t="shared" si="7"/>
        <v>容积率</v>
      </c>
      <c r="AA11" s="769" t="e">
        <f t="shared" si="3"/>
        <v>#N/A</v>
      </c>
      <c r="AB11" s="769" t="e">
        <f t="shared" si="4"/>
        <v>#N/A</v>
      </c>
      <c r="AC11" s="769" t="e">
        <f t="shared" si="5"/>
        <v>#N/A</v>
      </c>
    </row>
    <row r="12" spans="1:29" s="117" customFormat="1" ht="15">
      <c r="A12" s="430"/>
      <c r="B12" s="2572">
        <v>111</v>
      </c>
      <c r="C12" s="431"/>
      <c r="D12" s="432">
        <v>100</v>
      </c>
      <c r="E12" s="431"/>
      <c r="F12" s="424">
        <f>SUMIF(70:70,E12,71:71)-SUMIF(70:70,C12,71:71)+100</f>
        <v>100</v>
      </c>
      <c r="G12" s="431"/>
      <c r="H12" s="136">
        <f>SUMIF(70:70,G12,71:71)-SUMIF(70:70,C12,71:71)+100</f>
        <v>100</v>
      </c>
      <c r="I12" s="431"/>
      <c r="J12" s="136">
        <f>SUMIF(70:70,I12,71:71)-SUMIF(70:70,C12,71:71)+100</f>
        <v>100</v>
      </c>
      <c r="K12" s="2573"/>
      <c r="L12" s="1115"/>
      <c r="M12" s="1116"/>
      <c r="N12" s="1116"/>
      <c r="O12" s="1116"/>
      <c r="P12" s="3679"/>
      <c r="Q12" s="1775">
        <f t="shared" si="6"/>
        <v>111</v>
      </c>
      <c r="R12" s="766" t="s">
        <v>21</v>
      </c>
      <c r="S12" s="767">
        <f t="shared" si="0"/>
        <v>100</v>
      </c>
      <c r="T12" s="766" t="s">
        <v>21</v>
      </c>
      <c r="U12" s="767">
        <f t="shared" si="1"/>
        <v>100</v>
      </c>
      <c r="V12" s="766" t="s">
        <v>21</v>
      </c>
      <c r="W12" s="767">
        <f t="shared" si="2"/>
        <v>100</v>
      </c>
      <c r="X12" s="768"/>
      <c r="Y12" s="3466"/>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2573"/>
      <c r="L13" s="1123"/>
      <c r="M13" s="1114"/>
      <c r="N13" s="1114"/>
      <c r="O13" s="1114"/>
      <c r="P13" s="3679"/>
      <c r="Q13" s="1775">
        <f t="shared" si="6"/>
        <v>111</v>
      </c>
      <c r="R13" s="766" t="s">
        <v>21</v>
      </c>
      <c r="S13" s="767">
        <f t="shared" si="0"/>
        <v>100</v>
      </c>
      <c r="T13" s="766" t="s">
        <v>21</v>
      </c>
      <c r="U13" s="767">
        <f t="shared" si="1"/>
        <v>100</v>
      </c>
      <c r="V13" s="766" t="s">
        <v>21</v>
      </c>
      <c r="W13" s="767">
        <f t="shared" si="2"/>
        <v>100</v>
      </c>
      <c r="X13" s="768"/>
      <c r="Y13" s="3466"/>
      <c r="Z13" s="55">
        <f t="shared" si="7"/>
        <v>111</v>
      </c>
      <c r="AA13" s="769">
        <f t="shared" si="3"/>
        <v>1</v>
      </c>
      <c r="AB13" s="769">
        <f t="shared" si="4"/>
        <v>1</v>
      </c>
      <c r="AC13" s="769">
        <f t="shared" si="5"/>
        <v>1</v>
      </c>
    </row>
    <row r="14" spans="1:29" ht="15.75" thickBot="1">
      <c r="A14" s="435"/>
      <c r="B14" s="2574">
        <v>111</v>
      </c>
      <c r="C14" s="436"/>
      <c r="D14" s="437">
        <v>100</v>
      </c>
      <c r="E14" s="436"/>
      <c r="F14" s="438">
        <f>SUMIF(74:74,E14,75:75)-SUMIF(74:74,C14,75:75)+100</f>
        <v>100</v>
      </c>
      <c r="G14" s="436"/>
      <c r="H14" s="437">
        <f>SUMIF(74:74,G14,75:75)-SUMIF(74:74,C14,75:75)+100</f>
        <v>100</v>
      </c>
      <c r="I14" s="436"/>
      <c r="J14" s="437">
        <f>SUMIF(74:74,I14,75:75)-SUMIF(74:74,C14,75:75)+100</f>
        <v>100</v>
      </c>
      <c r="K14" s="2573"/>
      <c r="L14" s="1123"/>
      <c r="M14" s="1114"/>
      <c r="N14" s="1114"/>
      <c r="O14" s="1114"/>
      <c r="P14" s="3679"/>
      <c r="Q14" s="1775">
        <f t="shared" si="6"/>
        <v>111</v>
      </c>
      <c r="R14" s="766" t="s">
        <v>21</v>
      </c>
      <c r="S14" s="767">
        <f t="shared" si="0"/>
        <v>100</v>
      </c>
      <c r="T14" s="766" t="s">
        <v>21</v>
      </c>
      <c r="U14" s="767">
        <f t="shared" si="1"/>
        <v>100</v>
      </c>
      <c r="V14" s="766" t="s">
        <v>21</v>
      </c>
      <c r="W14" s="767">
        <f t="shared" si="2"/>
        <v>100</v>
      </c>
      <c r="X14" s="768"/>
      <c r="Y14" s="3466"/>
      <c r="Z14" s="55">
        <f t="shared" si="7"/>
        <v>111</v>
      </c>
      <c r="AA14" s="769">
        <f t="shared" si="3"/>
        <v>1</v>
      </c>
      <c r="AB14" s="769">
        <f t="shared" si="4"/>
        <v>1</v>
      </c>
      <c r="AC14" s="769">
        <f t="shared" si="5"/>
        <v>1</v>
      </c>
    </row>
    <row r="15" spans="1:29" ht="15">
      <c r="A15" s="439" t="s">
        <v>2547</v>
      </c>
      <c r="B15" s="69" t="s">
        <v>2076</v>
      </c>
      <c r="C15" s="257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69" t="s">
        <v>2548</v>
      </c>
      <c r="Q15" s="1790" t="str">
        <f t="shared" si="6"/>
        <v>居住社区成熟度</v>
      </c>
      <c r="R15" s="770" t="s">
        <v>21</v>
      </c>
      <c r="S15" s="771">
        <f t="shared" si="0"/>
        <v>100</v>
      </c>
      <c r="T15" s="770" t="s">
        <v>21</v>
      </c>
      <c r="U15" s="771">
        <f t="shared" si="1"/>
        <v>100</v>
      </c>
      <c r="V15" s="770" t="s">
        <v>21</v>
      </c>
      <c r="W15" s="771">
        <f t="shared" si="2"/>
        <v>100</v>
      </c>
      <c r="X15" s="1793"/>
      <c r="Y15" s="3671" t="s">
        <v>2548</v>
      </c>
      <c r="Z15" s="1794" t="str">
        <f t="shared" si="7"/>
        <v>居住社区成熟度</v>
      </c>
      <c r="AA15" s="1791">
        <f t="shared" si="3"/>
        <v>1</v>
      </c>
      <c r="AB15" s="1791">
        <f t="shared" si="4"/>
        <v>1</v>
      </c>
      <c r="AC15" s="1791">
        <f t="shared" si="5"/>
        <v>1</v>
      </c>
    </row>
    <row r="16" spans="1:29" ht="15">
      <c r="A16" s="427"/>
      <c r="B16" s="445"/>
      <c r="C16" s="446"/>
      <c r="D16" s="447"/>
      <c r="E16" s="2576"/>
      <c r="F16" s="447"/>
      <c r="G16" s="2577"/>
      <c r="H16" s="449"/>
      <c r="I16" s="2577"/>
      <c r="J16" s="447"/>
      <c r="K16" s="2578"/>
      <c r="L16" s="1123"/>
      <c r="M16" s="1114"/>
      <c r="N16" s="1114"/>
      <c r="O16" s="1114"/>
      <c r="P16" s="3670"/>
      <c r="Q16" s="1790"/>
      <c r="R16" s="770"/>
      <c r="S16" s="771"/>
      <c r="T16" s="770"/>
      <c r="U16" s="771"/>
      <c r="V16" s="770"/>
      <c r="W16" s="771"/>
      <c r="X16" s="1793"/>
      <c r="Y16" s="3672"/>
      <c r="Z16" s="1794"/>
      <c r="AA16" s="1791">
        <v>1</v>
      </c>
      <c r="AB16" s="1791">
        <v>1</v>
      </c>
      <c r="AC16" s="1791">
        <v>1</v>
      </c>
    </row>
    <row r="17" spans="1:29" ht="114">
      <c r="A17" s="427"/>
      <c r="B17" s="450" t="s">
        <v>2085</v>
      </c>
      <c r="C17" s="2579"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70"/>
      <c r="Q17" s="1790" t="str">
        <f>B17</f>
        <v>交通便捷度</v>
      </c>
      <c r="R17" s="770" t="s">
        <v>21</v>
      </c>
      <c r="S17" s="771">
        <f>F17</f>
        <v>100</v>
      </c>
      <c r="T17" s="770" t="s">
        <v>21</v>
      </c>
      <c r="U17" s="771">
        <f>H17</f>
        <v>100</v>
      </c>
      <c r="V17" s="770" t="s">
        <v>21</v>
      </c>
      <c r="W17" s="771">
        <f>J17</f>
        <v>100</v>
      </c>
      <c r="X17" s="1793"/>
      <c r="Y17" s="3672"/>
      <c r="Z17" s="1794" t="str">
        <f>Q17</f>
        <v>交通便捷度</v>
      </c>
      <c r="AA17" s="1791">
        <f t="shared" si="3"/>
        <v>1</v>
      </c>
      <c r="AB17" s="1791">
        <f t="shared" si="4"/>
        <v>1</v>
      </c>
      <c r="AC17" s="1791">
        <f t="shared" si="5"/>
        <v>1</v>
      </c>
    </row>
    <row r="18" spans="1:29" ht="15">
      <c r="A18" s="427"/>
      <c r="B18" s="455"/>
      <c r="C18" s="2580"/>
      <c r="D18" s="449"/>
      <c r="E18" s="2581"/>
      <c r="F18" s="449"/>
      <c r="G18" s="2582"/>
      <c r="H18" s="447"/>
      <c r="I18" s="2582"/>
      <c r="J18" s="447"/>
      <c r="K18" s="2578"/>
      <c r="L18" s="1123"/>
      <c r="M18" s="1114"/>
      <c r="N18" s="1114"/>
      <c r="O18" s="1114"/>
      <c r="P18" s="3670"/>
      <c r="Q18" s="1790"/>
      <c r="R18" s="770"/>
      <c r="S18" s="771"/>
      <c r="T18" s="770"/>
      <c r="U18" s="771"/>
      <c r="V18" s="770"/>
      <c r="W18" s="771"/>
      <c r="X18" s="1793"/>
      <c r="Y18" s="3672"/>
      <c r="Z18" s="1794"/>
      <c r="AA18" s="1791">
        <v>1</v>
      </c>
      <c r="AB18" s="1791">
        <v>1</v>
      </c>
      <c r="AC18" s="1791">
        <v>1</v>
      </c>
    </row>
    <row r="19" spans="1:29" ht="42.75">
      <c r="A19" s="427"/>
      <c r="B19" s="450" t="s">
        <v>2083</v>
      </c>
      <c r="C19" s="2579"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70"/>
      <c r="Q19" s="1790" t="str">
        <f>B19</f>
        <v>公共配套设施</v>
      </c>
      <c r="R19" s="770" t="s">
        <v>21</v>
      </c>
      <c r="S19" s="771">
        <f>F19</f>
        <v>100</v>
      </c>
      <c r="T19" s="770" t="s">
        <v>21</v>
      </c>
      <c r="U19" s="771">
        <f>H19</f>
        <v>100</v>
      </c>
      <c r="V19" s="770" t="s">
        <v>21</v>
      </c>
      <c r="W19" s="771">
        <f>J19</f>
        <v>100</v>
      </c>
      <c r="X19" s="1793"/>
      <c r="Y19" s="3672"/>
      <c r="Z19" s="1794" t="str">
        <f>Q19</f>
        <v>公共配套设施</v>
      </c>
      <c r="AA19" s="1791">
        <f t="shared" si="3"/>
        <v>1</v>
      </c>
      <c r="AB19" s="1791">
        <f t="shared" si="4"/>
        <v>1</v>
      </c>
      <c r="AC19" s="1791">
        <f t="shared" si="5"/>
        <v>1</v>
      </c>
    </row>
    <row r="20" spans="1:29" ht="15">
      <c r="A20" s="427"/>
      <c r="B20" s="455"/>
      <c r="C20" s="446"/>
      <c r="D20" s="447"/>
      <c r="E20" s="2576"/>
      <c r="F20" s="447"/>
      <c r="G20" s="2577"/>
      <c r="H20" s="447"/>
      <c r="I20" s="2577"/>
      <c r="J20" s="447"/>
      <c r="K20" s="2578"/>
      <c r="L20" s="1123"/>
      <c r="M20" s="1114"/>
      <c r="N20" s="1114"/>
      <c r="O20" s="1114"/>
      <c r="P20" s="3670"/>
      <c r="Q20" s="1790"/>
      <c r="R20" s="770"/>
      <c r="S20" s="771"/>
      <c r="T20" s="770"/>
      <c r="U20" s="771"/>
      <c r="V20" s="770"/>
      <c r="W20" s="771"/>
      <c r="X20" s="1793"/>
      <c r="Y20" s="3672"/>
      <c r="Z20" s="1794"/>
      <c r="AA20" s="1791">
        <v>1</v>
      </c>
      <c r="AB20" s="1791">
        <v>1</v>
      </c>
      <c r="AC20" s="1791">
        <v>1</v>
      </c>
    </row>
    <row r="21" spans="1:29" ht="42.75">
      <c r="A21" s="427"/>
      <c r="B21" s="1366" t="s">
        <v>2086</v>
      </c>
      <c r="C21" s="2579"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70"/>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7"/>
      <c r="G22" s="2583"/>
      <c r="H22" s="447"/>
      <c r="I22" s="446"/>
      <c r="J22" s="447"/>
      <c r="K22" s="2584"/>
      <c r="L22" s="1123"/>
      <c r="M22" s="1114"/>
      <c r="N22" s="1114"/>
      <c r="O22" s="1114"/>
      <c r="P22" s="3670"/>
      <c r="Q22" s="1790"/>
      <c r="R22" s="770"/>
      <c r="S22" s="771"/>
      <c r="T22" s="770"/>
      <c r="U22" s="771"/>
      <c r="V22" s="770"/>
      <c r="W22" s="771"/>
      <c r="X22" s="1793"/>
      <c r="Y22" s="3672"/>
      <c r="Z22" s="1794"/>
      <c r="AA22" s="1791">
        <v>1</v>
      </c>
      <c r="AB22" s="1791">
        <v>1</v>
      </c>
      <c r="AC22" s="1791">
        <v>1</v>
      </c>
    </row>
    <row r="23" spans="1:29" ht="85.5">
      <c r="A23" s="427"/>
      <c r="B23" s="450" t="s">
        <v>2090</v>
      </c>
      <c r="C23" s="2579"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70"/>
      <c r="Q23" s="1790" t="str">
        <f>B23</f>
        <v>自然及人文环境</v>
      </c>
      <c r="R23" s="770" t="s">
        <v>21</v>
      </c>
      <c r="S23" s="771">
        <f>F23</f>
        <v>100</v>
      </c>
      <c r="T23" s="770" t="s">
        <v>21</v>
      </c>
      <c r="U23" s="771">
        <f>H23</f>
        <v>100</v>
      </c>
      <c r="V23" s="770" t="s">
        <v>21</v>
      </c>
      <c r="W23" s="771">
        <f>J23</f>
        <v>100</v>
      </c>
      <c r="X23" s="1793"/>
      <c r="Y23" s="3672"/>
      <c r="Z23" s="1794" t="str">
        <f>Q23</f>
        <v>自然及人文环境</v>
      </c>
      <c r="AA23" s="1791">
        <f>D23/F23</f>
        <v>1</v>
      </c>
      <c r="AB23" s="1791">
        <f>D23/H23</f>
        <v>1</v>
      </c>
      <c r="AC23" s="1791">
        <f>D23/J23</f>
        <v>1</v>
      </c>
    </row>
    <row r="24" spans="1:29" ht="15">
      <c r="A24" s="427"/>
      <c r="B24" s="455"/>
      <c r="C24" s="446"/>
      <c r="D24" s="447"/>
      <c r="E24" s="2576"/>
      <c r="F24" s="447"/>
      <c r="G24" s="2577"/>
      <c r="H24" s="447"/>
      <c r="I24" s="2577"/>
      <c r="J24" s="447"/>
      <c r="K24" s="2578"/>
      <c r="L24" s="1123"/>
      <c r="M24" s="1114"/>
      <c r="N24" s="1114"/>
      <c r="O24" s="1114"/>
      <c r="P24" s="3670"/>
      <c r="Q24" s="1790"/>
      <c r="R24" s="770"/>
      <c r="S24" s="771"/>
      <c r="T24" s="770"/>
      <c r="U24" s="771"/>
      <c r="V24" s="770"/>
      <c r="W24" s="771"/>
      <c r="X24" s="1793"/>
      <c r="Y24" s="3672"/>
      <c r="Z24" s="1794"/>
      <c r="AA24" s="1791">
        <v>1</v>
      </c>
      <c r="AB24" s="1791">
        <v>1</v>
      </c>
      <c r="AC24" s="1791">
        <v>1</v>
      </c>
    </row>
    <row r="25" spans="1:29" ht="15">
      <c r="A25" s="427"/>
      <c r="B25" s="421" t="s">
        <v>2549</v>
      </c>
      <c r="C25" s="459"/>
      <c r="D25" s="434">
        <v>100</v>
      </c>
      <c r="E25" s="2585"/>
      <c r="F25" s="434">
        <f>SUMIF(86:86,E25,87:87)-SUMIF(86:86,C25,87:87)+100</f>
        <v>100</v>
      </c>
      <c r="G25" s="2586"/>
      <c r="H25" s="434">
        <f>SUMIF(86:86,G25,87:87)-SUMIF(86:86,C25,87:87)+100</f>
        <v>100</v>
      </c>
      <c r="I25" s="2586"/>
      <c r="J25" s="434">
        <f>SUMIF(86:86,I25,87:87)-SUMIF(86:86,C25,87:87)+100</f>
        <v>100</v>
      </c>
      <c r="K25" s="425"/>
      <c r="L25" s="1123"/>
      <c r="M25" s="1114"/>
      <c r="N25" s="1114"/>
      <c r="O25" s="1114"/>
      <c r="P25" s="3670"/>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72"/>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5"/>
      <c r="F26" s="434">
        <f>SUMIF(88:88,E26,89:89)-SUMIF(88:88,C26,89:89)+100</f>
        <v>100</v>
      </c>
      <c r="G26" s="2586"/>
      <c r="H26" s="434">
        <f>SUMIF(88:88,G26,89:89)-SUMIF(88:88,C26,89:89)+100</f>
        <v>100</v>
      </c>
      <c r="I26" s="2586"/>
      <c r="J26" s="434">
        <f>SUMIF(88:88,I26,89:89)-SUMIF(88:88,C26,89:89)+100</f>
        <v>100</v>
      </c>
      <c r="K26" s="425"/>
      <c r="L26" s="1123"/>
      <c r="M26" s="1114"/>
      <c r="N26" s="1114"/>
      <c r="O26" s="1114"/>
      <c r="P26" s="3670"/>
      <c r="Q26" s="1790" t="str">
        <f t="shared" si="11"/>
        <v>朝向</v>
      </c>
      <c r="R26" s="770" t="s">
        <v>21</v>
      </c>
      <c r="S26" s="771">
        <f t="shared" si="12"/>
        <v>100</v>
      </c>
      <c r="T26" s="770" t="s">
        <v>21</v>
      </c>
      <c r="U26" s="771">
        <f t="shared" si="13"/>
        <v>100</v>
      </c>
      <c r="V26" s="770" t="s">
        <v>21</v>
      </c>
      <c r="W26" s="771">
        <f t="shared" si="14"/>
        <v>100</v>
      </c>
      <c r="X26" s="1793"/>
      <c r="Y26" s="3672"/>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3"/>
      <c r="L27" s="1115"/>
      <c r="M27" s="1116"/>
      <c r="N27" s="1116"/>
      <c r="O27" s="1116"/>
      <c r="P27" s="3670"/>
      <c r="Q27" s="1775">
        <f t="shared" si="11"/>
        <v>111</v>
      </c>
      <c r="R27" s="766" t="s">
        <v>21</v>
      </c>
      <c r="S27" s="767">
        <f t="shared" si="12"/>
        <v>100</v>
      </c>
      <c r="T27" s="766" t="s">
        <v>21</v>
      </c>
      <c r="U27" s="767">
        <f t="shared" si="13"/>
        <v>100</v>
      </c>
      <c r="V27" s="766" t="s">
        <v>21</v>
      </c>
      <c r="W27" s="767">
        <f t="shared" si="14"/>
        <v>100</v>
      </c>
      <c r="X27" s="768"/>
      <c r="Y27" s="3672"/>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7"/>
      <c r="H28" s="434">
        <f>SUMIF(92:92,G28,93:93)-SUMIF(92:92,C28,93:93)+100</f>
        <v>100</v>
      </c>
      <c r="I28" s="433"/>
      <c r="J28" s="434">
        <f>SUMIF(92:92,I28,93:93)-SUMIF(92:92,C28,93:93)+100</f>
        <v>100</v>
      </c>
      <c r="K28" s="2573"/>
      <c r="L28" s="1123"/>
      <c r="M28" s="1114"/>
      <c r="N28" s="1114"/>
      <c r="O28" s="1114"/>
      <c r="P28" s="3670"/>
      <c r="Q28" s="1790">
        <f t="shared" si="11"/>
        <v>111</v>
      </c>
      <c r="R28" s="770" t="s">
        <v>21</v>
      </c>
      <c r="S28" s="771">
        <f t="shared" si="12"/>
        <v>100</v>
      </c>
      <c r="T28" s="770" t="s">
        <v>21</v>
      </c>
      <c r="U28" s="771">
        <f t="shared" si="13"/>
        <v>100</v>
      </c>
      <c r="V28" s="770" t="s">
        <v>21</v>
      </c>
      <c r="W28" s="771">
        <f t="shared" si="14"/>
        <v>100</v>
      </c>
      <c r="X28" s="1793"/>
      <c r="Y28" s="3672"/>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7"/>
      <c r="H29" s="434">
        <f>SUMIF(94:94,G29,95:95)-SUMIF(94:94,C29,95:95)+100</f>
        <v>100</v>
      </c>
      <c r="I29" s="433"/>
      <c r="J29" s="434">
        <f>SUMIF(94:94,I29,95:95)-SUMIF(94:94,C29,95:95)+100</f>
        <v>100</v>
      </c>
      <c r="K29" s="2573"/>
      <c r="L29" s="1123"/>
      <c r="M29" s="1114"/>
      <c r="N29" s="1114"/>
      <c r="O29" s="1114"/>
      <c r="P29" s="3670"/>
      <c r="Q29" s="1790">
        <f t="shared" si="11"/>
        <v>111</v>
      </c>
      <c r="R29" s="770" t="s">
        <v>21</v>
      </c>
      <c r="S29" s="771">
        <f t="shared" si="12"/>
        <v>100</v>
      </c>
      <c r="T29" s="770" t="s">
        <v>21</v>
      </c>
      <c r="U29" s="771">
        <f t="shared" si="13"/>
        <v>100</v>
      </c>
      <c r="V29" s="770" t="s">
        <v>21</v>
      </c>
      <c r="W29" s="771">
        <f t="shared" si="14"/>
        <v>100</v>
      </c>
      <c r="X29" s="1793"/>
      <c r="Y29" s="3672"/>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7"/>
      <c r="H30" s="434">
        <f>SUMIF(96:96,G30,97:97)-SUMIF(96:96,C30,97:97)+100</f>
        <v>100</v>
      </c>
      <c r="I30" s="433"/>
      <c r="J30" s="434">
        <f>SUMIF(96:96,I30,97:97)-SUMIF(96:96,C30,97:97)+100</f>
        <v>100</v>
      </c>
      <c r="K30" s="2573"/>
      <c r="L30" s="1123"/>
      <c r="M30" s="1114"/>
      <c r="N30" s="1114"/>
      <c r="O30" s="1114"/>
      <c r="P30" s="3670"/>
      <c r="Q30" s="1790">
        <f t="shared" si="11"/>
        <v>111</v>
      </c>
      <c r="R30" s="770" t="s">
        <v>21</v>
      </c>
      <c r="S30" s="771">
        <f t="shared" si="12"/>
        <v>100</v>
      </c>
      <c r="T30" s="770" t="s">
        <v>21</v>
      </c>
      <c r="U30" s="771">
        <f t="shared" si="13"/>
        <v>100</v>
      </c>
      <c r="V30" s="770" t="s">
        <v>21</v>
      </c>
      <c r="W30" s="771">
        <f t="shared" si="14"/>
        <v>100</v>
      </c>
      <c r="X30" s="1793"/>
      <c r="Y30" s="3672"/>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8"/>
      <c r="H31" s="437">
        <f>SUMIF(98:98,G31,99:99)-SUMIF(98:98,C31,99:99)+100</f>
        <v>100</v>
      </c>
      <c r="I31" s="436"/>
      <c r="J31" s="437">
        <f>SUMIF(98:98,I31,99:99)-SUMIF(98:98,C31,99:99)+100</f>
        <v>100</v>
      </c>
      <c r="K31" s="2573"/>
      <c r="L31" s="1123"/>
      <c r="M31" s="1114"/>
      <c r="N31" s="1114"/>
      <c r="O31" s="1114"/>
      <c r="P31" s="3670"/>
      <c r="Q31" s="1790">
        <f t="shared" si="11"/>
        <v>111</v>
      </c>
      <c r="R31" s="770" t="s">
        <v>21</v>
      </c>
      <c r="S31" s="771">
        <f t="shared" si="12"/>
        <v>100</v>
      </c>
      <c r="T31" s="770" t="s">
        <v>21</v>
      </c>
      <c r="U31" s="771">
        <f t="shared" si="13"/>
        <v>100</v>
      </c>
      <c r="V31" s="770" t="s">
        <v>21</v>
      </c>
      <c r="W31" s="771">
        <f t="shared" si="14"/>
        <v>100</v>
      </c>
      <c r="X31" s="1793"/>
      <c r="Y31" s="3672"/>
      <c r="Z31" s="1794">
        <f t="shared" si="18"/>
        <v>111</v>
      </c>
      <c r="AA31" s="1791">
        <f t="shared" si="15"/>
        <v>1</v>
      </c>
      <c r="AB31" s="1791">
        <f t="shared" si="16"/>
        <v>1</v>
      </c>
      <c r="AC31" s="1791">
        <f t="shared" si="17"/>
        <v>1</v>
      </c>
    </row>
    <row r="32" spans="1:29" ht="15">
      <c r="A32" s="439" t="s">
        <v>2551</v>
      </c>
      <c r="B32" s="71" t="s">
        <v>2552</v>
      </c>
      <c r="C32" s="2589"/>
      <c r="D32" s="466">
        <v>100</v>
      </c>
      <c r="E32" s="2590"/>
      <c r="F32" s="460">
        <f>SUMIF(100:100,E32,101:101)-SUMIF(100:100,C32,101:101)+100</f>
        <v>100</v>
      </c>
      <c r="G32" s="2589"/>
      <c r="H32" s="466">
        <f>SUMIF(100:100,G32,101:101)-SUMIF(100:100,C32,101:101)+100</f>
        <v>100</v>
      </c>
      <c r="I32" s="2590"/>
      <c r="J32" s="434">
        <f>SUMIF(100:100,I32,101:101)-SUMIF(100:100,C32,101:101)+100</f>
        <v>100</v>
      </c>
      <c r="K32" s="425"/>
      <c r="L32" s="1123"/>
      <c r="M32" s="1114"/>
      <c r="N32" s="1114"/>
      <c r="O32" s="1114"/>
      <c r="P32" s="3673" t="s">
        <v>2553</v>
      </c>
      <c r="Q32" s="1790" t="str">
        <f t="shared" si="11"/>
        <v>建筑类型</v>
      </c>
      <c r="R32" s="770" t="s">
        <v>21</v>
      </c>
      <c r="S32" s="771">
        <f t="shared" si="12"/>
        <v>100</v>
      </c>
      <c r="T32" s="770" t="s">
        <v>21</v>
      </c>
      <c r="U32" s="771">
        <f t="shared" si="13"/>
        <v>100</v>
      </c>
      <c r="V32" s="770" t="s">
        <v>21</v>
      </c>
      <c r="W32" s="771">
        <f t="shared" si="14"/>
        <v>100</v>
      </c>
      <c r="X32" s="1793"/>
      <c r="Y32" s="3676"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3"/>
      <c r="L33" s="1121"/>
      <c r="M33" s="1124"/>
      <c r="N33" s="1124"/>
      <c r="O33" s="1124"/>
      <c r="P33" s="3674"/>
      <c r="Q33" s="772" t="str">
        <f t="shared" si="11"/>
        <v>项目建筑规模</v>
      </c>
      <c r="R33" s="773" t="s">
        <v>21</v>
      </c>
      <c r="S33" s="774" t="e">
        <f t="shared" si="12"/>
        <v>#N/A</v>
      </c>
      <c r="T33" s="773" t="s">
        <v>21</v>
      </c>
      <c r="U33" s="774" t="e">
        <f t="shared" si="13"/>
        <v>#N/A</v>
      </c>
      <c r="V33" s="773" t="s">
        <v>21</v>
      </c>
      <c r="W33" s="774" t="e">
        <f t="shared" si="14"/>
        <v>#N/A</v>
      </c>
      <c r="X33" s="775"/>
      <c r="Y33" s="3676"/>
      <c r="Z33" s="776" t="str">
        <f t="shared" si="18"/>
        <v>项目建筑规模</v>
      </c>
      <c r="AA33" s="1791" t="e">
        <f t="shared" si="15"/>
        <v>#N/A</v>
      </c>
      <c r="AB33" s="1791" t="e">
        <f t="shared" si="16"/>
        <v>#N/A</v>
      </c>
      <c r="AC33" s="1791" t="e">
        <f t="shared" si="17"/>
        <v>#N/A</v>
      </c>
    </row>
    <row r="34" spans="1:29" ht="15">
      <c r="A34" s="471"/>
      <c r="B34" s="421" t="s">
        <v>2555</v>
      </c>
      <c r="C34" s="2591"/>
      <c r="D34" s="434">
        <v>100</v>
      </c>
      <c r="E34" s="2592"/>
      <c r="F34" s="460">
        <f>SUMIF(105:105,E34,106:106)-SUMIF(105:105,C34,106:106)+100</f>
        <v>100</v>
      </c>
      <c r="G34" s="2591"/>
      <c r="H34" s="434">
        <f>SUMIF(105:105,G34,106:106)-SUMIF(105:105,C34,106:106)+100</f>
        <v>100</v>
      </c>
      <c r="I34" s="2592"/>
      <c r="J34" s="434">
        <f>SUMIF(105:105,I34,106:106)-SUMIF(105:105,C34,106:106)+100</f>
        <v>100</v>
      </c>
      <c r="K34" s="425"/>
      <c r="L34" s="1123"/>
      <c r="M34" s="1114"/>
      <c r="N34" s="1114"/>
      <c r="O34" s="1114"/>
      <c r="P34" s="3674"/>
      <c r="Q34" s="1790" t="str">
        <f t="shared" si="11"/>
        <v>建筑结构</v>
      </c>
      <c r="R34" s="770" t="s">
        <v>21</v>
      </c>
      <c r="S34" s="771">
        <f t="shared" si="12"/>
        <v>100</v>
      </c>
      <c r="T34" s="770" t="s">
        <v>21</v>
      </c>
      <c r="U34" s="771">
        <f t="shared" si="13"/>
        <v>100</v>
      </c>
      <c r="V34" s="770" t="s">
        <v>21</v>
      </c>
      <c r="W34" s="771">
        <f t="shared" si="14"/>
        <v>100</v>
      </c>
      <c r="X34" s="1793"/>
      <c r="Y34" s="3676"/>
      <c r="Z34" s="1794" t="str">
        <f t="shared" si="18"/>
        <v>建筑结构</v>
      </c>
      <c r="AA34" s="1791">
        <f t="shared" si="15"/>
        <v>1</v>
      </c>
      <c r="AB34" s="1791">
        <f t="shared" si="16"/>
        <v>1</v>
      </c>
      <c r="AC34" s="1791">
        <f t="shared" si="17"/>
        <v>1</v>
      </c>
    </row>
    <row r="35" spans="1:29" ht="15">
      <c r="A35" s="471"/>
      <c r="B35" s="421" t="s">
        <v>2556</v>
      </c>
      <c r="C35" s="2585"/>
      <c r="D35" s="434">
        <v>100</v>
      </c>
      <c r="E35" s="2586"/>
      <c r="F35" s="460">
        <f>SUMIF(107:107,E35,108:108)-SUMIF(107:107,C35,108:108)+100</f>
        <v>100</v>
      </c>
      <c r="G35" s="2585"/>
      <c r="H35" s="434">
        <f>SUMIF(107:107,G35,108:108)-SUMIF(107:107,C35,108:108)+100</f>
        <v>100</v>
      </c>
      <c r="I35" s="2586"/>
      <c r="J35" s="434">
        <f>SUMIF(107:107,I35,108:108)-SUMIF(107:107,C35,108:108)+100</f>
        <v>100</v>
      </c>
      <c r="K35" s="425"/>
      <c r="L35" s="1123"/>
      <c r="M35" s="1114"/>
      <c r="N35" s="1114"/>
      <c r="O35" s="1114"/>
      <c r="P35" s="3674"/>
      <c r="Q35" s="1790" t="str">
        <f t="shared" si="11"/>
        <v>建筑品质</v>
      </c>
      <c r="R35" s="770" t="s">
        <v>21</v>
      </c>
      <c r="S35" s="771">
        <f t="shared" si="12"/>
        <v>100</v>
      </c>
      <c r="T35" s="770" t="s">
        <v>21</v>
      </c>
      <c r="U35" s="771">
        <f t="shared" si="13"/>
        <v>100</v>
      </c>
      <c r="V35" s="770" t="s">
        <v>21</v>
      </c>
      <c r="W35" s="771">
        <f t="shared" si="14"/>
        <v>100</v>
      </c>
      <c r="X35" s="1793"/>
      <c r="Y35" s="3676"/>
      <c r="Z35" s="1794" t="str">
        <f t="shared" si="18"/>
        <v>建筑品质</v>
      </c>
      <c r="AA35" s="1791">
        <f t="shared" si="15"/>
        <v>1</v>
      </c>
      <c r="AB35" s="1791">
        <f t="shared" si="16"/>
        <v>1</v>
      </c>
      <c r="AC35" s="1791">
        <f t="shared" si="17"/>
        <v>1</v>
      </c>
    </row>
    <row r="36" spans="1:29" ht="15">
      <c r="A36" s="471"/>
      <c r="B36" s="421" t="s">
        <v>2557</v>
      </c>
      <c r="C36" s="2585"/>
      <c r="D36" s="434">
        <v>100</v>
      </c>
      <c r="E36" s="2586"/>
      <c r="F36" s="460">
        <f>SUMIF(109:109,E36,110:110)-SUMIF(109:109,C36,110:110)+100</f>
        <v>100</v>
      </c>
      <c r="G36" s="2585"/>
      <c r="H36" s="434">
        <f>SUMIF(109:109,G36,110:110)-SUMIF(109:109,C36,110:110)+100</f>
        <v>100</v>
      </c>
      <c r="I36" s="2586"/>
      <c r="J36" s="434">
        <f>SUMIF(109:109,I36,110:110)-SUMIF(109:109,C36,110:110)+100</f>
        <v>100</v>
      </c>
      <c r="K36" s="425"/>
      <c r="L36" s="1123"/>
      <c r="M36" s="1114"/>
      <c r="N36" s="1114"/>
      <c r="O36" s="1114"/>
      <c r="P36" s="3674"/>
      <c r="Q36" s="1790" t="str">
        <f t="shared" si="11"/>
        <v>公共部分装修</v>
      </c>
      <c r="R36" s="770" t="s">
        <v>21</v>
      </c>
      <c r="S36" s="771">
        <f t="shared" si="12"/>
        <v>100</v>
      </c>
      <c r="T36" s="770" t="s">
        <v>21</v>
      </c>
      <c r="U36" s="771">
        <f t="shared" si="13"/>
        <v>100</v>
      </c>
      <c r="V36" s="770" t="s">
        <v>21</v>
      </c>
      <c r="W36" s="771">
        <f t="shared" si="14"/>
        <v>100</v>
      </c>
      <c r="X36" s="1793"/>
      <c r="Y36" s="3676"/>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74"/>
      <c r="Q37" s="1775" t="str">
        <f t="shared" si="11"/>
        <v>成新度</v>
      </c>
      <c r="R37" s="766" t="s">
        <v>21</v>
      </c>
      <c r="S37" s="767" t="e">
        <f t="shared" si="12"/>
        <v>#N/A</v>
      </c>
      <c r="T37" s="766" t="s">
        <v>21</v>
      </c>
      <c r="U37" s="767" t="e">
        <f t="shared" si="13"/>
        <v>#N/A</v>
      </c>
      <c r="V37" s="766" t="s">
        <v>21</v>
      </c>
      <c r="W37" s="767" t="e">
        <f t="shared" si="14"/>
        <v>#N/A</v>
      </c>
      <c r="X37" s="768"/>
      <c r="Y37" s="3676"/>
      <c r="Z37" s="55" t="str">
        <f t="shared" si="18"/>
        <v>成新度</v>
      </c>
      <c r="AA37" s="769" t="e">
        <f t="shared" si="15"/>
        <v>#N/A</v>
      </c>
      <c r="AB37" s="769" t="e">
        <f t="shared" si="16"/>
        <v>#N/A</v>
      </c>
      <c r="AC37" s="769" t="e">
        <f t="shared" si="17"/>
        <v>#N/A</v>
      </c>
    </row>
    <row r="38" spans="1:29" ht="15">
      <c r="A38" s="471"/>
      <c r="B38" s="421" t="s">
        <v>2559</v>
      </c>
      <c r="C38" s="2585"/>
      <c r="D38" s="434">
        <v>100</v>
      </c>
      <c r="E38" s="2586"/>
      <c r="F38" s="460">
        <f>SUMIF(114:114,E38,115:115)-SUMIF(114:114,C38,115:115)+100</f>
        <v>100</v>
      </c>
      <c r="G38" s="2585"/>
      <c r="H38" s="434">
        <f>SUMIF(114:114,G38,115:115)-SUMIF(114:114,C38,115:115)+100</f>
        <v>100</v>
      </c>
      <c r="I38" s="2586"/>
      <c r="J38" s="434">
        <f>SUMIF(114:114,I38,115:115)-SUMIF(114:114,C38,115:115)+100</f>
        <v>100</v>
      </c>
      <c r="K38" s="425"/>
      <c r="L38" s="1123"/>
      <c r="M38" s="1114"/>
      <c r="N38" s="1114"/>
      <c r="O38" s="1114"/>
      <c r="P38" s="3674" t="s">
        <v>2553</v>
      </c>
      <c r="Q38" s="1790" t="str">
        <f t="shared" si="11"/>
        <v>物业管理</v>
      </c>
      <c r="R38" s="770" t="s">
        <v>21</v>
      </c>
      <c r="S38" s="771">
        <f t="shared" si="12"/>
        <v>100</v>
      </c>
      <c r="T38" s="770" t="s">
        <v>21</v>
      </c>
      <c r="U38" s="771">
        <f t="shared" si="13"/>
        <v>100</v>
      </c>
      <c r="V38" s="770" t="s">
        <v>21</v>
      </c>
      <c r="W38" s="771">
        <f t="shared" si="14"/>
        <v>100</v>
      </c>
      <c r="X38" s="1793"/>
      <c r="Y38" s="3676" t="s">
        <v>2553</v>
      </c>
      <c r="Z38" s="1794" t="str">
        <f t="shared" si="18"/>
        <v>物业管理</v>
      </c>
      <c r="AA38" s="1791">
        <f t="shared" si="15"/>
        <v>1</v>
      </c>
      <c r="AB38" s="1791">
        <f t="shared" si="16"/>
        <v>1</v>
      </c>
      <c r="AC38" s="1791">
        <f t="shared" si="17"/>
        <v>1</v>
      </c>
    </row>
    <row r="39" spans="1:29" ht="15">
      <c r="A39" s="471"/>
      <c r="B39" s="421" t="s">
        <v>2560</v>
      </c>
      <c r="C39" s="2585"/>
      <c r="D39" s="434">
        <v>100</v>
      </c>
      <c r="E39" s="2586"/>
      <c r="F39" s="460">
        <f>SUMIF(116:116,E39,117:117)-SUMIF(116:116,C39,117:117)+100</f>
        <v>100</v>
      </c>
      <c r="G39" s="2585"/>
      <c r="H39" s="434">
        <f>SUMIF(116:116,G39,117:117)-SUMIF(116:116,C39,117:117)+100</f>
        <v>100</v>
      </c>
      <c r="I39" s="2586"/>
      <c r="J39" s="434">
        <f>SUMIF(116:116,I39,117:117)-SUMIF(116:116,C39,117:117)+100</f>
        <v>100</v>
      </c>
      <c r="K39" s="425"/>
      <c r="L39" s="1123"/>
      <c r="M39" s="1114"/>
      <c r="N39" s="1114"/>
      <c r="O39" s="1114"/>
      <c r="P39" s="3674"/>
      <c r="Q39" s="1790" t="str">
        <f t="shared" si="11"/>
        <v>市政基础设施</v>
      </c>
      <c r="R39" s="770" t="s">
        <v>21</v>
      </c>
      <c r="S39" s="771">
        <f t="shared" si="12"/>
        <v>100</v>
      </c>
      <c r="T39" s="770" t="s">
        <v>21</v>
      </c>
      <c r="U39" s="771">
        <f t="shared" si="13"/>
        <v>100</v>
      </c>
      <c r="V39" s="770" t="s">
        <v>21</v>
      </c>
      <c r="W39" s="771">
        <f t="shared" si="14"/>
        <v>100</v>
      </c>
      <c r="X39" s="1793"/>
      <c r="Y39" s="3676"/>
      <c r="Z39" s="1794" t="str">
        <f t="shared" si="18"/>
        <v>市政基础设施</v>
      </c>
      <c r="AA39" s="1791">
        <f t="shared" si="15"/>
        <v>1</v>
      </c>
      <c r="AB39" s="1791">
        <f t="shared" si="16"/>
        <v>1</v>
      </c>
      <c r="AC39" s="1791">
        <f t="shared" si="17"/>
        <v>1</v>
      </c>
    </row>
    <row r="40" spans="1:29" ht="15">
      <c r="A40" s="471"/>
      <c r="B40" s="421" t="s">
        <v>2561</v>
      </c>
      <c r="C40" s="2585"/>
      <c r="D40" s="434">
        <v>100</v>
      </c>
      <c r="E40" s="2586"/>
      <c r="F40" s="460">
        <f>SUMIF(118:118,E40,119:119)-SUMIF(118:118,C40,119:119)+100</f>
        <v>100</v>
      </c>
      <c r="G40" s="2585"/>
      <c r="H40" s="434">
        <f>SUMIF(118:118,G40,119:119)-SUMIF(118:118,C40,119:119)+100</f>
        <v>100</v>
      </c>
      <c r="I40" s="2586"/>
      <c r="J40" s="434">
        <f>SUMIF(118:118,I40,119:119)-SUMIF(118:118,C40,119:119)+100</f>
        <v>100</v>
      </c>
      <c r="K40" s="425"/>
      <c r="L40" s="1123"/>
      <c r="M40" s="1114"/>
      <c r="N40" s="1114"/>
      <c r="O40" s="1114"/>
      <c r="P40" s="3674"/>
      <c r="Q40" s="1790" t="str">
        <f t="shared" si="11"/>
        <v>房型</v>
      </c>
      <c r="R40" s="770" t="s">
        <v>21</v>
      </c>
      <c r="S40" s="771">
        <f t="shared" si="12"/>
        <v>100</v>
      </c>
      <c r="T40" s="770" t="s">
        <v>21</v>
      </c>
      <c r="U40" s="771">
        <f t="shared" si="13"/>
        <v>100</v>
      </c>
      <c r="V40" s="770" t="s">
        <v>21</v>
      </c>
      <c r="W40" s="771">
        <f t="shared" si="14"/>
        <v>100</v>
      </c>
      <c r="X40" s="1793"/>
      <c r="Y40" s="3676"/>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3"/>
      <c r="L41" s="1121"/>
      <c r="M41" s="1124"/>
      <c r="N41" s="1124"/>
      <c r="O41" s="1124"/>
      <c r="P41" s="3674"/>
      <c r="Q41" s="772" t="str">
        <f t="shared" si="11"/>
        <v>单套/主力户型建筑面积</v>
      </c>
      <c r="R41" s="773" t="s">
        <v>21</v>
      </c>
      <c r="S41" s="774">
        <f t="shared" si="12"/>
        <v>100</v>
      </c>
      <c r="T41" s="773" t="s">
        <v>21</v>
      </c>
      <c r="U41" s="774">
        <f t="shared" si="13"/>
        <v>100</v>
      </c>
      <c r="V41" s="773" t="s">
        <v>21</v>
      </c>
      <c r="W41" s="774">
        <f t="shared" si="14"/>
        <v>100</v>
      </c>
      <c r="X41" s="775"/>
      <c r="Y41" s="3676"/>
      <c r="Z41" s="776" t="str">
        <f t="shared" si="18"/>
        <v>单套/主力户型建筑面积</v>
      </c>
      <c r="AA41" s="1791">
        <f t="shared" si="15"/>
        <v>1</v>
      </c>
      <c r="AB41" s="1791">
        <f t="shared" si="16"/>
        <v>1</v>
      </c>
      <c r="AC41" s="1791">
        <f t="shared" si="17"/>
        <v>1</v>
      </c>
    </row>
    <row r="42" spans="1:29" ht="15">
      <c r="A42" s="471"/>
      <c r="B42" s="421" t="s">
        <v>2563</v>
      </c>
      <c r="C42" s="2585"/>
      <c r="D42" s="434">
        <v>100</v>
      </c>
      <c r="E42" s="2586"/>
      <c r="F42" s="460">
        <f>SUMIF(122:122,E42,123:123)-SUMIF(122:122,C42,123:123)+100</f>
        <v>100</v>
      </c>
      <c r="G42" s="2585"/>
      <c r="H42" s="434">
        <f>SUMIF(122:122,G42,123:123)-SUMIF(122:122,C42,123:123)+100</f>
        <v>100</v>
      </c>
      <c r="I42" s="2586"/>
      <c r="J42" s="434">
        <f>SUMIF(122:122,I42,123:123)-SUMIF(122:122,C42,123:123)+100</f>
        <v>100</v>
      </c>
      <c r="K42" s="425"/>
      <c r="L42" s="1123"/>
      <c r="M42" s="1114"/>
      <c r="N42" s="1114"/>
      <c r="O42" s="1114"/>
      <c r="P42" s="3674"/>
      <c r="Q42" s="1790" t="str">
        <f t="shared" si="11"/>
        <v>内部装修</v>
      </c>
      <c r="R42" s="770" t="s">
        <v>21</v>
      </c>
      <c r="S42" s="771">
        <f t="shared" si="12"/>
        <v>100</v>
      </c>
      <c r="T42" s="770" t="s">
        <v>21</v>
      </c>
      <c r="U42" s="771">
        <f t="shared" si="13"/>
        <v>100</v>
      </c>
      <c r="V42" s="770" t="s">
        <v>21</v>
      </c>
      <c r="W42" s="771">
        <f t="shared" si="14"/>
        <v>100</v>
      </c>
      <c r="X42" s="1793"/>
      <c r="Y42" s="3676"/>
      <c r="Z42" s="1794" t="str">
        <f t="shared" si="18"/>
        <v>内部装修</v>
      </c>
      <c r="AA42" s="1791">
        <f t="shared" si="15"/>
        <v>1</v>
      </c>
      <c r="AB42" s="1791">
        <f t="shared" si="16"/>
        <v>1</v>
      </c>
      <c r="AC42" s="1791">
        <f t="shared" si="17"/>
        <v>1</v>
      </c>
    </row>
    <row r="43" spans="1:29" ht="15">
      <c r="A43" s="471"/>
      <c r="B43" s="421" t="s">
        <v>2564</v>
      </c>
      <c r="C43" s="2585"/>
      <c r="D43" s="434">
        <v>100</v>
      </c>
      <c r="E43" s="2586"/>
      <c r="F43" s="460">
        <f>SUMIF(124:124,E43,125:125)-SUMIF(124:124,C43,125:125)+100</f>
        <v>100</v>
      </c>
      <c r="G43" s="2585"/>
      <c r="H43" s="434">
        <f>SUMIF(124:124,G43,125:125)-SUMIF(124:124,C43,125:125)+100</f>
        <v>100</v>
      </c>
      <c r="I43" s="2586"/>
      <c r="J43" s="434">
        <f>SUMIF(124:124,I43,125:125)-SUMIF(124:124,C43,125:125)+100</f>
        <v>100</v>
      </c>
      <c r="K43" s="425"/>
      <c r="L43" s="1123"/>
      <c r="M43" s="1114"/>
      <c r="N43" s="1114"/>
      <c r="O43" s="1114"/>
      <c r="P43" s="3674"/>
      <c r="Q43" s="1790" t="str">
        <f t="shared" si="11"/>
        <v>内部装修维护情况</v>
      </c>
      <c r="R43" s="770" t="s">
        <v>21</v>
      </c>
      <c r="S43" s="771">
        <f t="shared" si="12"/>
        <v>100</v>
      </c>
      <c r="T43" s="770" t="s">
        <v>21</v>
      </c>
      <c r="U43" s="771">
        <f t="shared" si="13"/>
        <v>100</v>
      </c>
      <c r="V43" s="770" t="s">
        <v>21</v>
      </c>
      <c r="W43" s="771">
        <f t="shared" si="14"/>
        <v>100</v>
      </c>
      <c r="X43" s="1793"/>
      <c r="Y43" s="3676"/>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3"/>
      <c r="L44" s="1115"/>
      <c r="M44" s="1116"/>
      <c r="N44" s="1116"/>
      <c r="O44" s="1116"/>
      <c r="P44" s="3674"/>
      <c r="Q44" s="1775">
        <f t="shared" si="11"/>
        <v>111</v>
      </c>
      <c r="R44" s="766" t="s">
        <v>21</v>
      </c>
      <c r="S44" s="767">
        <f t="shared" si="12"/>
        <v>100</v>
      </c>
      <c r="T44" s="766" t="s">
        <v>21</v>
      </c>
      <c r="U44" s="767">
        <f t="shared" si="13"/>
        <v>100</v>
      </c>
      <c r="V44" s="766" t="s">
        <v>21</v>
      </c>
      <c r="W44" s="767">
        <f t="shared" si="14"/>
        <v>100</v>
      </c>
      <c r="X44" s="768"/>
      <c r="Y44" s="3676"/>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3"/>
      <c r="L45" s="1123"/>
      <c r="M45" s="1114"/>
      <c r="N45" s="1114"/>
      <c r="O45" s="1114"/>
      <c r="P45" s="3674"/>
      <c r="Q45" s="1790">
        <f t="shared" si="11"/>
        <v>111</v>
      </c>
      <c r="R45" s="770" t="s">
        <v>21</v>
      </c>
      <c r="S45" s="771">
        <f t="shared" si="12"/>
        <v>100</v>
      </c>
      <c r="T45" s="770" t="s">
        <v>21</v>
      </c>
      <c r="U45" s="771">
        <f t="shared" si="13"/>
        <v>100</v>
      </c>
      <c r="V45" s="770" t="s">
        <v>21</v>
      </c>
      <c r="W45" s="771">
        <f t="shared" si="14"/>
        <v>100</v>
      </c>
      <c r="X45" s="1793"/>
      <c r="Y45" s="3676"/>
      <c r="Z45" s="1794">
        <f t="shared" si="18"/>
        <v>111</v>
      </c>
      <c r="AA45" s="1791">
        <f t="shared" si="15"/>
        <v>1</v>
      </c>
      <c r="AB45" s="1791">
        <f t="shared" si="16"/>
        <v>1</v>
      </c>
      <c r="AC45" s="1791">
        <f t="shared" si="17"/>
        <v>1</v>
      </c>
    </row>
    <row r="46" spans="1:29" ht="15.75" thickBot="1">
      <c r="A46" s="477"/>
      <c r="B46" s="257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3"/>
      <c r="L46" s="1123"/>
      <c r="M46" s="1114"/>
      <c r="N46" s="1114"/>
      <c r="O46" s="1114"/>
      <c r="P46" s="3675"/>
      <c r="Q46" s="1790">
        <f t="shared" si="11"/>
        <v>111</v>
      </c>
      <c r="R46" s="770" t="s">
        <v>20</v>
      </c>
      <c r="S46" s="771">
        <f t="shared" si="12"/>
        <v>100</v>
      </c>
      <c r="T46" s="770" t="s">
        <v>20</v>
      </c>
      <c r="U46" s="771">
        <f t="shared" si="13"/>
        <v>100</v>
      </c>
      <c r="V46" s="770" t="s">
        <v>20</v>
      </c>
      <c r="W46" s="771">
        <f t="shared" si="14"/>
        <v>100</v>
      </c>
      <c r="X46" s="1793"/>
      <c r="Y46" s="3677"/>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3"/>
      <c r="L47" s="1126"/>
      <c r="M47" s="1127"/>
      <c r="N47" s="1114"/>
      <c r="O47" s="1127"/>
      <c r="P47" s="3664" t="str">
        <f>A47</f>
        <v>成交单价（元/平方米）</v>
      </c>
      <c r="Q47" s="3664"/>
      <c r="R47" s="3665">
        <f>E47</f>
        <v>0</v>
      </c>
      <c r="S47" s="3665"/>
      <c r="T47" s="3665">
        <f>G47</f>
        <v>0</v>
      </c>
      <c r="U47" s="3665"/>
      <c r="V47" s="3665">
        <f>I47</f>
        <v>0</v>
      </c>
      <c r="W47" s="3665"/>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4"/>
      <c r="L48" s="1126"/>
      <c r="M48" s="1127"/>
      <c r="N48" s="1127"/>
      <c r="O48" s="1127"/>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5"/>
      <c r="L49" s="1126"/>
      <c r="M49" s="1127"/>
      <c r="N49" s="1127"/>
      <c r="O49" s="1127"/>
      <c r="P49" s="3666" t="str">
        <f>A49</f>
        <v>估价对象XX用房的比较价值（楼面单价，元/平方米）</v>
      </c>
      <c r="Q49" s="3667"/>
      <c r="R49" s="3668" t="e">
        <f>IF(F1="售价",ROUND(AVERAGE(R48:V48),0),ROUND(AVERAGE(R48:V48),1))</f>
        <v>#DIV/0!</v>
      </c>
      <c r="S49" s="3668"/>
      <c r="T49" s="3668"/>
      <c r="U49" s="3668"/>
      <c r="V49" s="3668"/>
      <c r="W49" s="3668"/>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7"/>
    </row>
    <row r="55" spans="1:29" s="501" customFormat="1">
      <c r="A55" s="1128"/>
      <c r="B55" s="1129"/>
      <c r="C55" s="1133"/>
      <c r="D55" s="1128"/>
      <c r="E55" s="1128"/>
      <c r="F55" s="1128"/>
      <c r="G55" s="1128"/>
      <c r="H55" s="1128"/>
      <c r="I55" s="1128"/>
      <c r="J55" s="1128"/>
      <c r="K55" s="1131"/>
      <c r="L55" s="1132"/>
      <c r="M55" s="1128"/>
      <c r="N55" s="1128"/>
      <c r="O55" s="1128"/>
      <c r="P55" s="2597"/>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8"/>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599"/>
      <c r="C59" s="1553">
        <v>100</v>
      </c>
      <c r="D59" s="510"/>
      <c r="E59" s="511"/>
      <c r="F59" s="511"/>
      <c r="G59" s="511"/>
      <c r="H59" s="511"/>
      <c r="I59" s="511"/>
      <c r="J59" s="511"/>
      <c r="K59" s="511"/>
      <c r="L59" s="511"/>
      <c r="M59" s="512"/>
      <c r="N59" s="511"/>
      <c r="O59" s="512"/>
      <c r="P59" s="2600"/>
    </row>
    <row r="60" spans="1:29" s="117" customFormat="1" ht="15.75" thickBot="1">
      <c r="A60" s="514" t="s">
        <v>2573</v>
      </c>
      <c r="B60" s="515"/>
      <c r="C60" s="516"/>
      <c r="D60" s="517"/>
      <c r="E60" s="517"/>
      <c r="F60" s="517"/>
      <c r="G60" s="517"/>
      <c r="H60" s="517"/>
      <c r="I60" s="517"/>
      <c r="J60" s="517"/>
      <c r="K60" s="517"/>
      <c r="L60" s="517"/>
      <c r="M60" s="518"/>
      <c r="N60" s="517"/>
      <c r="O60" s="518"/>
      <c r="P60" s="2600"/>
      <c r="Q60" s="503"/>
    </row>
    <row r="61" spans="1:29" s="117" customFormat="1" ht="15">
      <c r="A61" s="520" t="s">
        <v>2574</v>
      </c>
      <c r="B61" s="509"/>
      <c r="C61" s="521" t="s">
        <v>2575</v>
      </c>
      <c r="D61" s="522"/>
      <c r="E61" s="522"/>
      <c r="F61" s="522"/>
      <c r="G61" s="522"/>
      <c r="H61" s="522"/>
      <c r="I61" s="522"/>
      <c r="J61" s="522"/>
      <c r="K61" s="522"/>
      <c r="L61" s="523"/>
      <c r="M61" s="524"/>
      <c r="N61" s="1134"/>
      <c r="O61" s="1134"/>
      <c r="P61" s="2601"/>
      <c r="Q61" s="503"/>
    </row>
    <row r="62" spans="1:29" s="117" customFormat="1" ht="15.75" thickBot="1">
      <c r="A62" s="520"/>
      <c r="B62" s="509"/>
      <c r="C62" s="510">
        <v>100</v>
      </c>
      <c r="D62" s="511"/>
      <c r="E62" s="511"/>
      <c r="F62" s="511"/>
      <c r="G62" s="511"/>
      <c r="H62" s="511"/>
      <c r="I62" s="511"/>
      <c r="J62" s="511"/>
      <c r="K62" s="511"/>
      <c r="L62" s="511"/>
      <c r="M62" s="513"/>
      <c r="N62" s="1134"/>
      <c r="O62" s="1134"/>
      <c r="P62" s="2600"/>
      <c r="Q62" s="503"/>
    </row>
    <row r="63" spans="1:29">
      <c r="A63" s="526" t="s">
        <v>2576</v>
      </c>
      <c r="B63" s="527" t="s">
        <v>2542</v>
      </c>
      <c r="C63" s="528">
        <f>C9</f>
        <v>0</v>
      </c>
      <c r="D63" s="529"/>
      <c r="E63" s="529"/>
      <c r="F63" s="529"/>
      <c r="G63" s="529"/>
      <c r="H63" s="529"/>
      <c r="I63" s="529"/>
      <c r="J63" s="529"/>
      <c r="K63" s="530"/>
      <c r="L63" s="531"/>
      <c r="M63" s="532"/>
      <c r="N63" s="1135"/>
      <c r="O63" s="1135"/>
      <c r="P63" s="2602"/>
      <c r="Q63" s="503"/>
    </row>
    <row r="64" spans="1:29" ht="15.75" thickBot="1">
      <c r="A64" s="533"/>
      <c r="B64" s="534"/>
      <c r="C64" s="535">
        <v>100</v>
      </c>
      <c r="D64" s="535"/>
      <c r="E64" s="535"/>
      <c r="F64" s="535"/>
      <c r="G64" s="535"/>
      <c r="H64" s="535"/>
      <c r="I64" s="535"/>
      <c r="J64" s="535"/>
      <c r="K64" s="535"/>
      <c r="L64" s="535"/>
      <c r="M64" s="536"/>
      <c r="N64" s="1136"/>
      <c r="O64" s="1136"/>
      <c r="P64" s="260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2"/>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2"/>
      <c r="Q67" s="503"/>
    </row>
    <row r="68" spans="1:17" ht="15">
      <c r="A68" s="533"/>
      <c r="B68" s="547"/>
      <c r="C68" s="548"/>
      <c r="D68" s="548"/>
      <c r="E68" s="548"/>
      <c r="F68" s="548"/>
      <c r="G68" s="548"/>
      <c r="H68" s="548"/>
      <c r="I68" s="548"/>
      <c r="J68" s="548"/>
      <c r="K68" s="549"/>
      <c r="L68" s="550"/>
      <c r="M68" s="551"/>
      <c r="N68" s="1135"/>
      <c r="O68" s="1135"/>
      <c r="P68" s="260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2"/>
      <c r="Q69" s="503"/>
    </row>
    <row r="70" spans="1:17" s="470" customFormat="1" ht="15.75" thickTop="1">
      <c r="A70" s="552"/>
      <c r="B70" s="537">
        <f>B12</f>
        <v>111</v>
      </c>
      <c r="C70" s="553"/>
      <c r="D70" s="553"/>
      <c r="E70" s="553"/>
      <c r="F70" s="553"/>
      <c r="G70" s="553"/>
      <c r="H70" s="554"/>
      <c r="I70" s="554"/>
      <c r="J70" s="554"/>
      <c r="K70" s="554"/>
      <c r="L70" s="555"/>
      <c r="M70" s="556"/>
      <c r="N70" s="1137"/>
      <c r="O70" s="1137"/>
      <c r="P70" s="2603"/>
      <c r="Q70" s="558"/>
    </row>
    <row r="71" spans="1:17" s="470" customFormat="1" ht="15.75" thickBot="1">
      <c r="A71" s="552"/>
      <c r="B71" s="542"/>
      <c r="C71" s="559"/>
      <c r="D71" s="535"/>
      <c r="E71" s="535"/>
      <c r="F71" s="535"/>
      <c r="G71" s="535"/>
      <c r="H71" s="535"/>
      <c r="I71" s="535"/>
      <c r="J71" s="535"/>
      <c r="K71" s="535"/>
      <c r="L71" s="535"/>
      <c r="M71" s="536"/>
      <c r="N71" s="1136"/>
      <c r="O71" s="1136"/>
      <c r="P71" s="2603"/>
      <c r="Q71" s="558"/>
    </row>
    <row r="72" spans="1:17" s="470" customFormat="1" ht="15.75" thickTop="1">
      <c r="A72" s="552"/>
      <c r="B72" s="537">
        <f>B13</f>
        <v>111</v>
      </c>
      <c r="C72" s="553"/>
      <c r="D72" s="553"/>
      <c r="E72" s="553"/>
      <c r="F72" s="553"/>
      <c r="G72" s="553"/>
      <c r="H72" s="554"/>
      <c r="I72" s="554"/>
      <c r="J72" s="554"/>
      <c r="K72" s="554"/>
      <c r="L72" s="555"/>
      <c r="M72" s="556"/>
      <c r="N72" s="1137"/>
      <c r="O72" s="1137"/>
      <c r="P72" s="2604"/>
      <c r="Q72" s="560"/>
    </row>
    <row r="73" spans="1:17" s="470" customFormat="1" ht="15.75" thickBot="1">
      <c r="A73" s="552"/>
      <c r="B73" s="542"/>
      <c r="C73" s="559"/>
      <c r="D73" s="559"/>
      <c r="E73" s="559"/>
      <c r="F73" s="559"/>
      <c r="G73" s="559"/>
      <c r="H73" s="561"/>
      <c r="I73" s="561"/>
      <c r="J73" s="561"/>
      <c r="K73" s="561"/>
      <c r="L73" s="561"/>
      <c r="M73" s="562"/>
      <c r="N73" s="1137"/>
      <c r="O73" s="1137"/>
      <c r="P73" s="2603"/>
      <c r="Q73" s="558"/>
    </row>
    <row r="74" spans="1:17" s="470" customFormat="1" ht="15.75" thickTop="1">
      <c r="A74" s="552"/>
      <c r="B74" s="545">
        <f>B14</f>
        <v>111</v>
      </c>
      <c r="C74" s="553"/>
      <c r="D74" s="553"/>
      <c r="E74" s="553"/>
      <c r="F74" s="553"/>
      <c r="G74" s="522"/>
      <c r="H74" s="563"/>
      <c r="I74" s="563"/>
      <c r="J74" s="563"/>
      <c r="K74" s="563"/>
      <c r="L74" s="564"/>
      <c r="M74" s="565"/>
      <c r="N74" s="1137"/>
      <c r="O74" s="1137"/>
      <c r="P74" s="2605"/>
      <c r="Q74" s="558"/>
    </row>
    <row r="75" spans="1:17" s="470" customFormat="1" ht="15.75" thickBot="1">
      <c r="A75" s="567"/>
      <c r="B75" s="568"/>
      <c r="C75" s="569"/>
      <c r="D75" s="569"/>
      <c r="E75" s="569"/>
      <c r="F75" s="569"/>
      <c r="G75" s="569"/>
      <c r="H75" s="570"/>
      <c r="I75" s="570"/>
      <c r="J75" s="570"/>
      <c r="K75" s="570"/>
      <c r="L75" s="570"/>
      <c r="M75" s="571"/>
      <c r="N75" s="1137"/>
      <c r="O75" s="1137"/>
      <c r="P75" s="260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2"/>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2"/>
      <c r="Q85" s="503"/>
    </row>
    <row r="86" spans="1:17" s="117" customFormat="1" ht="15.75" thickTop="1">
      <c r="A86" s="578"/>
      <c r="B86" s="537" t="s">
        <v>2598</v>
      </c>
      <c r="C86" s="553"/>
      <c r="D86" s="553"/>
      <c r="E86" s="553"/>
      <c r="F86" s="553"/>
      <c r="G86" s="553"/>
      <c r="H86" s="553"/>
      <c r="I86" s="553"/>
      <c r="J86" s="553"/>
      <c r="K86" s="553"/>
      <c r="L86" s="579"/>
      <c r="M86" s="580"/>
      <c r="N86" s="1134"/>
      <c r="O86" s="1134"/>
      <c r="P86" s="260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2"/>
      <c r="Q87" s="503"/>
    </row>
    <row r="88" spans="1:17" s="117" customFormat="1" ht="15.75" thickTop="1">
      <c r="A88" s="578"/>
      <c r="B88" s="537" t="s">
        <v>2599</v>
      </c>
      <c r="C88" s="553"/>
      <c r="D88" s="553"/>
      <c r="E88" s="553"/>
      <c r="F88" s="2607"/>
      <c r="G88" s="553"/>
      <c r="H88" s="553"/>
      <c r="I88" s="553"/>
      <c r="J88" s="553"/>
      <c r="K88" s="553"/>
      <c r="L88" s="553"/>
      <c r="M88" s="580"/>
      <c r="N88" s="1134"/>
      <c r="O88" s="1134"/>
      <c r="P88" s="260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2"/>
      <c r="Q89" s="503"/>
    </row>
    <row r="90" spans="1:17" s="470" customFormat="1" ht="15.75" thickTop="1">
      <c r="A90" s="552"/>
      <c r="B90" s="537">
        <f>B27</f>
        <v>111</v>
      </c>
      <c r="C90" s="553"/>
      <c r="D90" s="553"/>
      <c r="E90" s="553"/>
      <c r="F90" s="553"/>
      <c r="G90" s="553"/>
      <c r="H90" s="554"/>
      <c r="I90" s="554"/>
      <c r="J90" s="554"/>
      <c r="K90" s="554"/>
      <c r="L90" s="555"/>
      <c r="M90" s="556"/>
      <c r="N90" s="1137"/>
      <c r="O90" s="1137"/>
      <c r="P90" s="2603"/>
      <c r="Q90" s="558"/>
    </row>
    <row r="91" spans="1:17" s="470" customFormat="1" ht="15.75" thickBot="1">
      <c r="A91" s="552"/>
      <c r="B91" s="542"/>
      <c r="C91" s="559"/>
      <c r="D91" s="559"/>
      <c r="E91" s="559"/>
      <c r="F91" s="559"/>
      <c r="G91" s="559"/>
      <c r="H91" s="561"/>
      <c r="I91" s="561"/>
      <c r="J91" s="561"/>
      <c r="K91" s="561"/>
      <c r="L91" s="561"/>
      <c r="M91" s="562"/>
      <c r="N91" s="1137"/>
      <c r="O91" s="1137"/>
      <c r="P91" s="2603"/>
      <c r="Q91" s="558"/>
    </row>
    <row r="92" spans="1:17" ht="15.75" thickTop="1">
      <c r="A92" s="533"/>
      <c r="B92" s="537">
        <f>B28</f>
        <v>111</v>
      </c>
      <c r="C92" s="553"/>
      <c r="D92" s="553"/>
      <c r="E92" s="553"/>
      <c r="F92" s="553"/>
      <c r="G92" s="582"/>
      <c r="H92" s="582"/>
      <c r="I92" s="582"/>
      <c r="J92" s="582"/>
      <c r="K92" s="583"/>
      <c r="L92" s="584"/>
      <c r="M92" s="585"/>
      <c r="N92" s="1135"/>
      <c r="O92" s="1135"/>
      <c r="P92" s="2602"/>
      <c r="Q92" s="503"/>
    </row>
    <row r="93" spans="1:17" ht="15.75" thickBot="1">
      <c r="A93" s="533"/>
      <c r="B93" s="542"/>
      <c r="C93" s="559"/>
      <c r="D93" s="535"/>
      <c r="E93" s="535"/>
      <c r="F93" s="535"/>
      <c r="G93" s="535"/>
      <c r="H93" s="535"/>
      <c r="I93" s="535"/>
      <c r="J93" s="535"/>
      <c r="K93" s="535"/>
      <c r="L93" s="535"/>
      <c r="M93" s="536"/>
      <c r="N93" s="1136"/>
      <c r="O93" s="1136"/>
      <c r="P93" s="2602"/>
      <c r="Q93" s="503"/>
    </row>
    <row r="94" spans="1:17" ht="15.75" thickTop="1">
      <c r="A94" s="533"/>
      <c r="B94" s="537">
        <f>B29</f>
        <v>111</v>
      </c>
      <c r="C94" s="553"/>
      <c r="D94" s="553"/>
      <c r="E94" s="553"/>
      <c r="F94" s="553"/>
      <c r="G94" s="582"/>
      <c r="H94" s="582"/>
      <c r="I94" s="582"/>
      <c r="J94" s="582"/>
      <c r="K94" s="583"/>
      <c r="L94" s="584"/>
      <c r="M94" s="585"/>
      <c r="N94" s="1135"/>
      <c r="O94" s="1135"/>
      <c r="P94" s="2602"/>
      <c r="Q94" s="503"/>
    </row>
    <row r="95" spans="1:17" ht="15.75" thickBot="1">
      <c r="A95" s="533"/>
      <c r="B95" s="542"/>
      <c r="C95" s="559"/>
      <c r="D95" s="559"/>
      <c r="E95" s="559"/>
      <c r="F95" s="559"/>
      <c r="G95" s="535"/>
      <c r="H95" s="535"/>
      <c r="I95" s="535"/>
      <c r="J95" s="535"/>
      <c r="K95" s="535"/>
      <c r="L95" s="535"/>
      <c r="M95" s="536"/>
      <c r="N95" s="1136"/>
      <c r="O95" s="1136"/>
      <c r="P95" s="2602"/>
      <c r="Q95" s="503"/>
    </row>
    <row r="96" spans="1:17" ht="15.75" thickTop="1">
      <c r="A96" s="533"/>
      <c r="B96" s="537">
        <f>B30</f>
        <v>111</v>
      </c>
      <c r="C96" s="553"/>
      <c r="D96" s="553"/>
      <c r="E96" s="553"/>
      <c r="F96" s="553"/>
      <c r="G96" s="582"/>
      <c r="H96" s="582"/>
      <c r="I96" s="582"/>
      <c r="J96" s="582"/>
      <c r="K96" s="583"/>
      <c r="L96" s="584"/>
      <c r="M96" s="585"/>
      <c r="N96" s="1135"/>
      <c r="O96" s="1135"/>
      <c r="P96" s="2602"/>
      <c r="Q96" s="503"/>
    </row>
    <row r="97" spans="1:17" ht="15.75" thickBot="1">
      <c r="A97" s="533"/>
      <c r="B97" s="542"/>
      <c r="C97" s="569"/>
      <c r="D97" s="569"/>
      <c r="E97" s="569"/>
      <c r="F97" s="569"/>
      <c r="G97" s="535"/>
      <c r="H97" s="535"/>
      <c r="I97" s="535"/>
      <c r="J97" s="535"/>
      <c r="K97" s="535"/>
      <c r="L97" s="535"/>
      <c r="M97" s="536"/>
      <c r="N97" s="1136"/>
      <c r="O97" s="1136"/>
      <c r="P97" s="2602"/>
      <c r="Q97" s="503"/>
    </row>
    <row r="98" spans="1:17" ht="15.75" thickTop="1">
      <c r="A98" s="533"/>
      <c r="B98" s="545">
        <f>B31</f>
        <v>111</v>
      </c>
      <c r="C98" s="586"/>
      <c r="D98" s="586"/>
      <c r="E98" s="586"/>
      <c r="F98" s="586"/>
      <c r="G98" s="586"/>
      <c r="H98" s="586"/>
      <c r="I98" s="586"/>
      <c r="J98" s="586"/>
      <c r="K98" s="587"/>
      <c r="L98" s="588"/>
      <c r="M98" s="589"/>
      <c r="N98" s="1135"/>
      <c r="O98" s="1135"/>
      <c r="P98" s="2602"/>
      <c r="Q98" s="503"/>
    </row>
    <row r="99" spans="1:17" ht="15.75" thickBot="1">
      <c r="A99" s="2608"/>
      <c r="B99" s="568"/>
      <c r="C99" s="590"/>
      <c r="D99" s="590"/>
      <c r="E99" s="590"/>
      <c r="F99" s="590"/>
      <c r="G99" s="590"/>
      <c r="H99" s="590"/>
      <c r="I99" s="590"/>
      <c r="J99" s="590"/>
      <c r="K99" s="590"/>
      <c r="L99" s="590"/>
      <c r="M99" s="591"/>
      <c r="N99" s="1136"/>
      <c r="O99" s="1136"/>
      <c r="P99" s="2602"/>
      <c r="Q99" s="503"/>
    </row>
    <row r="100" spans="1:17">
      <c r="A100" s="526" t="s">
        <v>2551</v>
      </c>
      <c r="B100" s="527" t="s">
        <v>2600</v>
      </c>
      <c r="C100" s="529"/>
      <c r="D100" s="529"/>
      <c r="E100" s="529"/>
      <c r="F100" s="529"/>
      <c r="G100" s="529"/>
      <c r="H100" s="529"/>
      <c r="I100" s="529"/>
      <c r="J100" s="529"/>
      <c r="K100" s="530"/>
      <c r="L100" s="531"/>
      <c r="M100" s="532"/>
      <c r="N100" s="1135"/>
      <c r="O100" s="1135"/>
      <c r="P100" s="260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2"/>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2"/>
      <c r="Q102" s="503"/>
    </row>
    <row r="103" spans="1:17" s="470" customFormat="1">
      <c r="A103" s="592"/>
      <c r="B103" s="593"/>
      <c r="C103" s="594"/>
      <c r="D103" s="594"/>
      <c r="E103" s="594"/>
      <c r="F103" s="594"/>
      <c r="G103" s="594"/>
      <c r="H103" s="594"/>
      <c r="I103" s="594"/>
      <c r="J103" s="595"/>
      <c r="K103" s="595"/>
      <c r="L103" s="596"/>
      <c r="M103" s="597"/>
      <c r="N103" s="1137"/>
      <c r="O103" s="1137"/>
      <c r="P103" s="2603"/>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3"/>
      <c r="Q104" s="558"/>
    </row>
    <row r="105" spans="1:17" ht="15" thickTop="1">
      <c r="A105" s="598"/>
      <c r="B105" s="537" t="s">
        <v>2602</v>
      </c>
      <c r="C105" s="553"/>
      <c r="D105" s="553"/>
      <c r="E105" s="582"/>
      <c r="F105" s="582"/>
      <c r="G105" s="582"/>
      <c r="H105" s="582"/>
      <c r="I105" s="582"/>
      <c r="J105" s="582"/>
      <c r="K105" s="583"/>
      <c r="L105" s="584"/>
      <c r="M105" s="585"/>
      <c r="N105" s="1135"/>
      <c r="O105" s="1135"/>
      <c r="P105" s="260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2"/>
      <c r="Q106" s="503"/>
    </row>
    <row r="107" spans="1:17" ht="15" thickTop="1">
      <c r="A107" s="598"/>
      <c r="B107" s="537" t="s">
        <v>2603</v>
      </c>
      <c r="C107" s="582"/>
      <c r="D107" s="582"/>
      <c r="E107" s="582"/>
      <c r="F107" s="582"/>
      <c r="G107" s="582"/>
      <c r="H107" s="582"/>
      <c r="I107" s="582"/>
      <c r="J107" s="582"/>
      <c r="K107" s="583"/>
      <c r="L107" s="584"/>
      <c r="M107" s="585"/>
      <c r="N107" s="1135"/>
      <c r="O107" s="1135"/>
      <c r="P107" s="260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2"/>
      <c r="Q108" s="503"/>
    </row>
    <row r="109" spans="1:17" ht="15" thickTop="1">
      <c r="A109" s="598"/>
      <c r="B109" s="537" t="s">
        <v>2604</v>
      </c>
      <c r="C109" s="553"/>
      <c r="D109" s="553"/>
      <c r="E109" s="553"/>
      <c r="F109" s="582"/>
      <c r="G109" s="582"/>
      <c r="H109" s="582"/>
      <c r="I109" s="582"/>
      <c r="J109" s="582"/>
      <c r="K109" s="583"/>
      <c r="L109" s="584"/>
      <c r="M109" s="585"/>
      <c r="N109" s="1135"/>
      <c r="O109" s="1135"/>
      <c r="P109" s="260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2"/>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3"/>
      <c r="Q113" s="558"/>
    </row>
    <row r="114" spans="1:17" ht="15" thickTop="1">
      <c r="A114" s="598"/>
      <c r="B114" s="537" t="s">
        <v>2605</v>
      </c>
      <c r="C114" s="553"/>
      <c r="D114" s="553"/>
      <c r="E114" s="582"/>
      <c r="F114" s="582"/>
      <c r="G114" s="582"/>
      <c r="H114" s="582"/>
      <c r="I114" s="582"/>
      <c r="J114" s="582"/>
      <c r="K114" s="583"/>
      <c r="L114" s="584"/>
      <c r="M114" s="585"/>
      <c r="N114" s="1135"/>
      <c r="O114" s="1135"/>
      <c r="P114" s="260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2"/>
      <c r="Q115" s="503"/>
    </row>
    <row r="116" spans="1:17" ht="15" thickTop="1">
      <c r="A116" s="598"/>
      <c r="B116" s="537" t="s">
        <v>2606</v>
      </c>
      <c r="C116" s="553"/>
      <c r="D116" s="553"/>
      <c r="E116" s="553"/>
      <c r="F116" s="553"/>
      <c r="G116" s="553"/>
      <c r="H116" s="582"/>
      <c r="I116" s="582"/>
      <c r="J116" s="582"/>
      <c r="K116" s="583"/>
      <c r="L116" s="584"/>
      <c r="M116" s="585"/>
      <c r="N116" s="1135"/>
      <c r="O116" s="1135"/>
      <c r="P116" s="260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2"/>
      <c r="Q117" s="503"/>
    </row>
    <row r="118" spans="1:17" ht="15" thickTop="1">
      <c r="A118" s="598"/>
      <c r="B118" s="537" t="s">
        <v>2607</v>
      </c>
      <c r="C118" s="582"/>
      <c r="D118" s="582"/>
      <c r="E118" s="582"/>
      <c r="F118" s="582"/>
      <c r="G118" s="582"/>
      <c r="H118" s="582"/>
      <c r="I118" s="582"/>
      <c r="J118" s="582"/>
      <c r="K118" s="583"/>
      <c r="L118" s="584"/>
      <c r="M118" s="585"/>
      <c r="N118" s="1135"/>
      <c r="O118" s="1135"/>
      <c r="P118" s="260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2"/>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3"/>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3"/>
      <c r="Q121" s="558"/>
    </row>
    <row r="122" spans="1:17" ht="15" thickTop="1">
      <c r="A122" s="598"/>
      <c r="B122" s="537" t="s">
        <v>2608</v>
      </c>
      <c r="C122" s="553"/>
      <c r="D122" s="553"/>
      <c r="E122" s="553"/>
      <c r="F122" s="582"/>
      <c r="G122" s="582"/>
      <c r="H122" s="582"/>
      <c r="I122" s="582"/>
      <c r="J122" s="582"/>
      <c r="K122" s="583"/>
      <c r="L122" s="584"/>
      <c r="M122" s="585"/>
      <c r="N122" s="1135"/>
      <c r="O122" s="1135"/>
      <c r="P122" s="260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2"/>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3"/>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3"/>
      <c r="Q127" s="558"/>
    </row>
    <row r="128" spans="1:17" ht="15" thickTop="1">
      <c r="A128" s="598"/>
      <c r="B128" s="537">
        <f>B45</f>
        <v>111</v>
      </c>
      <c r="C128" s="553"/>
      <c r="D128" s="553"/>
      <c r="E128" s="553"/>
      <c r="F128" s="553"/>
      <c r="G128" s="582"/>
      <c r="H128" s="582"/>
      <c r="I128" s="582"/>
      <c r="J128" s="582"/>
      <c r="K128" s="583"/>
      <c r="L128" s="584"/>
      <c r="M128" s="585"/>
      <c r="N128" s="1135"/>
      <c r="O128" s="1135"/>
      <c r="P128" s="2602"/>
      <c r="Q128" s="503"/>
    </row>
    <row r="129" spans="1:17" ht="15.75" thickBot="1">
      <c r="A129" s="533"/>
      <c r="B129" s="542"/>
      <c r="C129" s="559"/>
      <c r="D129" s="559"/>
      <c r="E129" s="559"/>
      <c r="F129" s="559"/>
      <c r="G129" s="535"/>
      <c r="H129" s="535"/>
      <c r="I129" s="535"/>
      <c r="J129" s="535"/>
      <c r="K129" s="535"/>
      <c r="L129" s="535"/>
      <c r="M129" s="536"/>
      <c r="N129" s="1136"/>
      <c r="O129" s="1136"/>
      <c r="P129" s="2602"/>
      <c r="Q129" s="503"/>
    </row>
    <row r="130" spans="1:17" ht="15" thickTop="1">
      <c r="A130" s="598"/>
      <c r="B130" s="545">
        <f>B46</f>
        <v>111</v>
      </c>
      <c r="C130" s="553"/>
      <c r="D130" s="553"/>
      <c r="E130" s="553"/>
      <c r="F130" s="553"/>
      <c r="G130" s="586"/>
      <c r="H130" s="586"/>
      <c r="I130" s="586"/>
      <c r="J130" s="586"/>
      <c r="K130" s="522"/>
      <c r="L130" s="523"/>
      <c r="M130" s="589"/>
      <c r="N130" s="1135"/>
      <c r="O130" s="1135"/>
      <c r="P130" s="2602"/>
      <c r="Q130" s="503"/>
    </row>
    <row r="131" spans="1:17" ht="15.75" thickBot="1">
      <c r="A131" s="2608"/>
      <c r="B131" s="568"/>
      <c r="C131" s="569"/>
      <c r="D131" s="569"/>
      <c r="E131" s="569"/>
      <c r="F131" s="569"/>
      <c r="G131" s="590"/>
      <c r="H131" s="590"/>
      <c r="I131" s="590"/>
      <c r="J131" s="590"/>
      <c r="K131" s="590"/>
      <c r="L131" s="590"/>
      <c r="M131" s="591"/>
      <c r="N131" s="1136"/>
      <c r="O131" s="1136"/>
      <c r="P131" s="2602"/>
      <c r="Q131" s="503"/>
    </row>
    <row r="136" spans="1:17" ht="15" thickBot="1">
      <c r="B136" s="2609" t="s">
        <v>2610</v>
      </c>
    </row>
    <row r="137" spans="1:17" ht="15">
      <c r="B137" s="2610" t="s">
        <v>2611</v>
      </c>
      <c r="C137" s="2611"/>
      <c r="D137" s="2611"/>
      <c r="E137" s="2611"/>
      <c r="F137" s="2611"/>
      <c r="G137" s="2612"/>
      <c r="H137" s="2613"/>
      <c r="I137" s="2614" t="s">
        <v>2612</v>
      </c>
      <c r="J137" s="2611"/>
      <c r="K137" s="2615"/>
    </row>
    <row r="138" spans="1:17" ht="15">
      <c r="B138" s="2616"/>
      <c r="C138" s="146" t="s">
        <v>2613</v>
      </c>
      <c r="D138" s="146" t="s">
        <v>2614</v>
      </c>
      <c r="E138" s="2617" t="s">
        <v>2615</v>
      </c>
      <c r="F138" s="2618" t="s">
        <v>2616</v>
      </c>
      <c r="G138" s="146" t="s">
        <v>2614</v>
      </c>
      <c r="H138" s="147" t="s">
        <v>2615</v>
      </c>
      <c r="I138" s="2619"/>
      <c r="J138" s="146" t="s">
        <v>2617</v>
      </c>
      <c r="K138" s="147" t="s">
        <v>2618</v>
      </c>
    </row>
    <row r="139" spans="1:17" ht="15">
      <c r="B139" s="1074">
        <v>6</v>
      </c>
      <c r="C139" s="1075">
        <v>96</v>
      </c>
      <c r="D139" s="2620" t="s">
        <v>2619</v>
      </c>
      <c r="E139" s="1076">
        <v>100</v>
      </c>
      <c r="F139" s="1077">
        <v>102.5</v>
      </c>
      <c r="G139" s="2620" t="s">
        <v>2619</v>
      </c>
      <c r="H139" s="1078">
        <v>105</v>
      </c>
      <c r="I139" s="2621" t="s">
        <v>2620</v>
      </c>
      <c r="J139" s="1075">
        <v>20</v>
      </c>
      <c r="K139" s="1079">
        <f>C145/(J139-2)</f>
        <v>4.0555555555555553E-3</v>
      </c>
    </row>
    <row r="140" spans="1:17" ht="15">
      <c r="B140" s="1080">
        <v>5</v>
      </c>
      <c r="C140" s="1081">
        <v>100</v>
      </c>
      <c r="D140" s="1081"/>
      <c r="E140" s="1082"/>
      <c r="F140" s="1083">
        <v>102</v>
      </c>
      <c r="G140" s="1081"/>
      <c r="H140" s="1084"/>
      <c r="I140" s="2622" t="s">
        <v>2621</v>
      </c>
      <c r="J140" s="315">
        <f>ROUNDUP((J139-1)/2,0)</f>
        <v>10</v>
      </c>
      <c r="K140" s="1085">
        <v>100</v>
      </c>
    </row>
    <row r="141" spans="1:17" ht="15">
      <c r="B141" s="1080">
        <v>4</v>
      </c>
      <c r="C141" s="1081">
        <v>102</v>
      </c>
      <c r="D141" s="1081"/>
      <c r="E141" s="1082"/>
      <c r="F141" s="1083">
        <v>101.5</v>
      </c>
      <c r="G141" s="1081"/>
      <c r="H141" s="1084"/>
      <c r="I141" s="2622" t="s">
        <v>2622</v>
      </c>
      <c r="J141" s="315">
        <v>1</v>
      </c>
      <c r="K141" s="1086">
        <f>ROUND(100+(J141-J140)*K139*100,1)</f>
        <v>96.4</v>
      </c>
    </row>
    <row r="142" spans="1:17" ht="15">
      <c r="B142" s="1080">
        <v>3</v>
      </c>
      <c r="C142" s="1081">
        <v>103</v>
      </c>
      <c r="D142" s="1081"/>
      <c r="E142" s="1082"/>
      <c r="F142" s="1083">
        <v>101</v>
      </c>
      <c r="G142" s="1081"/>
      <c r="H142" s="1084"/>
      <c r="I142" s="2622" t="s">
        <v>2623</v>
      </c>
      <c r="J142" s="315">
        <f>J139</f>
        <v>20</v>
      </c>
      <c r="K142" s="1087">
        <v>95</v>
      </c>
    </row>
    <row r="143" spans="1:17" ht="15">
      <c r="B143" s="1080">
        <v>2</v>
      </c>
      <c r="C143" s="1081">
        <v>100</v>
      </c>
      <c r="D143" s="1081"/>
      <c r="E143" s="1082"/>
      <c r="F143" s="1083">
        <v>100.5</v>
      </c>
      <c r="G143" s="1081"/>
      <c r="H143" s="1084"/>
      <c r="I143" s="2622" t="s">
        <v>2624</v>
      </c>
      <c r="J143" s="1081">
        <v>15</v>
      </c>
      <c r="K143" s="1086">
        <f>ROUND(100+(J143-J140)*K139*100,1)</f>
        <v>102</v>
      </c>
    </row>
    <row r="144" spans="1:17" ht="15">
      <c r="B144" s="1080">
        <v>1</v>
      </c>
      <c r="C144" s="1081">
        <v>98</v>
      </c>
      <c r="D144" s="2623" t="s">
        <v>2625</v>
      </c>
      <c r="E144" s="1082">
        <v>102</v>
      </c>
      <c r="F144" s="1088">
        <v>100</v>
      </c>
      <c r="G144" s="2623" t="s">
        <v>2625</v>
      </c>
      <c r="H144" s="1084">
        <v>105</v>
      </c>
      <c r="I144" s="2622" t="s">
        <v>2624</v>
      </c>
      <c r="J144" s="1081">
        <v>18</v>
      </c>
      <c r="K144" s="1086">
        <f>ROUND(100+(J144-J140)*K139*100,1)</f>
        <v>103.2</v>
      </c>
    </row>
    <row r="145" spans="2:11" ht="15.75" thickBot="1">
      <c r="B145" s="2624" t="s">
        <v>2626</v>
      </c>
      <c r="C145" s="1089">
        <f>ROUND(MAX(C139:C144)/MIN(C139:C144)-1,3)</f>
        <v>7.2999999999999995E-2</v>
      </c>
      <c r="D145" s="1090"/>
      <c r="E145" s="1090"/>
      <c r="F145" s="2625" t="s">
        <v>2627</v>
      </c>
      <c r="G145" s="2626"/>
      <c r="H145" s="2627"/>
      <c r="I145" s="2628" t="s">
        <v>2624</v>
      </c>
      <c r="J145" s="1091">
        <v>8</v>
      </c>
      <c r="K145" s="1092">
        <f>ROUND(100+(J145-J140)*K139*100,1)</f>
        <v>99.2</v>
      </c>
    </row>
    <row r="147" spans="2:11">
      <c r="B147" s="2609" t="s">
        <v>2628</v>
      </c>
    </row>
    <row r="148" spans="2:11">
      <c r="B148" s="260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1" t="s">
        <v>2690</v>
      </c>
      <c r="C1" s="1600" t="s">
        <v>2518</v>
      </c>
      <c r="D1" s="1601"/>
      <c r="E1" s="1610"/>
      <c r="F1" s="2556"/>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8"/>
      <c r="D2" s="1107" t="e">
        <f ca="1">SUMIF(INDIRECT("'"&amp;F2&amp;"'"&amp;"!A:A"),"承租人权益价值",INDIRECT("'"&amp;F2&amp;"'"&amp;"!c:c"))</f>
        <v>#REF!</v>
      </c>
      <c r="E2" s="2559" t="s">
        <v>2316</v>
      </c>
      <c r="F2" s="2560"/>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24348.570000000003</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ht="15">
      <c r="A5" s="403"/>
      <c r="B5" s="404"/>
      <c r="C5" s="3737" t="s">
        <v>2530</v>
      </c>
      <c r="D5" s="3738"/>
      <c r="E5" s="3739" t="s">
        <v>2531</v>
      </c>
      <c r="F5" s="3740"/>
      <c r="G5" s="3737" t="s">
        <v>2532</v>
      </c>
      <c r="H5" s="3738"/>
      <c r="I5" s="3737" t="s">
        <v>2533</v>
      </c>
      <c r="J5" s="3738"/>
      <c r="K5" s="609"/>
      <c r="L5" s="1113"/>
      <c r="M5" s="1114"/>
      <c r="N5" s="1114"/>
      <c r="O5" s="1114"/>
      <c r="P5" s="3689"/>
      <c r="Q5" s="3690"/>
      <c r="R5" s="3695"/>
      <c r="S5" s="3696"/>
      <c r="T5" s="3695"/>
      <c r="U5" s="3696"/>
      <c r="V5" s="3678"/>
      <c r="W5" s="3678"/>
      <c r="X5" s="1793"/>
      <c r="Y5" s="3695"/>
      <c r="Z5" s="3696"/>
      <c r="AA5" s="3681"/>
      <c r="AB5" s="3681"/>
      <c r="AC5" s="3681"/>
    </row>
    <row r="6" spans="1:29" ht="15.7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75" thickBot="1">
      <c r="A7" s="407" t="s">
        <v>2536</v>
      </c>
      <c r="B7" s="408"/>
      <c r="C7" s="409">
        <f>'数据-取费表'!B2</f>
        <v>43840</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03" t="s">
        <v>2537</v>
      </c>
      <c r="Q7" s="3705"/>
      <c r="R7" s="766" t="s">
        <v>17</v>
      </c>
      <c r="S7" s="767">
        <f t="shared" ref="S7:S15" si="0">F7</f>
        <v>0</v>
      </c>
      <c r="T7" s="766" t="s">
        <v>17</v>
      </c>
      <c r="U7" s="767">
        <f t="shared" ref="U7:U15" si="1">H7</f>
        <v>0</v>
      </c>
      <c r="V7" s="766" t="s">
        <v>17</v>
      </c>
      <c r="W7" s="767">
        <f t="shared" ref="W7:W15" si="2">J7</f>
        <v>0</v>
      </c>
      <c r="X7" s="768"/>
      <c r="Y7" s="3703" t="s">
        <v>2537</v>
      </c>
      <c r="Z7" s="3704"/>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03" t="s">
        <v>2540</v>
      </c>
      <c r="Q8" s="3704"/>
      <c r="R8" s="766" t="s">
        <v>17</v>
      </c>
      <c r="S8" s="767">
        <f t="shared" si="0"/>
        <v>0</v>
      </c>
      <c r="T8" s="766" t="s">
        <v>17</v>
      </c>
      <c r="U8" s="767">
        <f t="shared" si="1"/>
        <v>0</v>
      </c>
      <c r="V8" s="766" t="s">
        <v>17</v>
      </c>
      <c r="W8" s="767">
        <f t="shared" si="2"/>
        <v>0</v>
      </c>
      <c r="X8" s="768"/>
      <c r="Y8" s="3703" t="s">
        <v>2540</v>
      </c>
      <c r="Z8" s="3704"/>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64"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64"/>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64"/>
      <c r="Q11" s="1775" t="str">
        <f t="shared" si="6"/>
        <v>容积率</v>
      </c>
      <c r="R11" s="766" t="s">
        <v>17</v>
      </c>
      <c r="S11" s="767" t="e">
        <f t="shared" si="0"/>
        <v>#N/A</v>
      </c>
      <c r="T11" s="766" t="s">
        <v>17</v>
      </c>
      <c r="U11" s="767" t="e">
        <f t="shared" si="1"/>
        <v>#N/A</v>
      </c>
      <c r="V11" s="766" t="s">
        <v>17</v>
      </c>
      <c r="W11" s="767" t="e">
        <f t="shared" si="2"/>
        <v>#N/A</v>
      </c>
      <c r="X11" s="768"/>
      <c r="Y11" s="3466"/>
      <c r="Z11" s="55" t="str">
        <f t="shared" si="7"/>
        <v>容积率</v>
      </c>
      <c r="AA11" s="769" t="e">
        <f t="shared" si="3"/>
        <v>#N/A</v>
      </c>
      <c r="AB11" s="769" t="e">
        <f t="shared" si="4"/>
        <v>#N/A</v>
      </c>
      <c r="AC11" s="769" t="e">
        <f t="shared" si="5"/>
        <v>#N/A</v>
      </c>
    </row>
    <row r="12" spans="1:29" s="117" customFormat="1" ht="15">
      <c r="A12" s="430"/>
      <c r="B12" s="2572">
        <v>111</v>
      </c>
      <c r="C12" s="431"/>
      <c r="D12" s="432">
        <v>100</v>
      </c>
      <c r="E12" s="433"/>
      <c r="F12" s="136">
        <f>SUMIF(64:64,E12,65:65)-SUMIF(64:64,C12,65:65)+100</f>
        <v>100</v>
      </c>
      <c r="G12" s="2664"/>
      <c r="H12" s="136">
        <f>SUMIF(64:64,G12,65:65)-SUMIF(64:64,C12,65:65)+100</f>
        <v>100</v>
      </c>
      <c r="I12" s="468"/>
      <c r="J12" s="136">
        <f>SUMIF(64:64,I12,65:65)-SUMIF(64:64,C12,65:65)+100</f>
        <v>100</v>
      </c>
      <c r="K12" s="612"/>
      <c r="L12" s="1115"/>
      <c r="M12" s="1116"/>
      <c r="N12" s="1116"/>
      <c r="O12" s="1117"/>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
      <c r="A13" s="427"/>
      <c r="B13" s="2572">
        <v>111</v>
      </c>
      <c r="C13" s="433"/>
      <c r="D13" s="434">
        <v>100</v>
      </c>
      <c r="E13" s="433"/>
      <c r="F13" s="136">
        <f>SUMIF(66:66,E13,67:67)-SUMIF(66:66,C13,67:67)+100</f>
        <v>100</v>
      </c>
      <c r="G13" s="2664"/>
      <c r="H13" s="434">
        <f>SUMIF(66:66,G13,67:67)-SUMIF(66:66,C13,67:67)+100</f>
        <v>100</v>
      </c>
      <c r="I13" s="468"/>
      <c r="J13" s="434">
        <f>SUMIF(66:66,I13,67:67)-SUMIF(66:66,C13,67:67)+100</f>
        <v>100</v>
      </c>
      <c r="K13" s="612"/>
      <c r="L13" s="1123"/>
      <c r="M13" s="1114"/>
      <c r="N13" s="1114"/>
      <c r="O13" s="1122"/>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5.75" thickBot="1">
      <c r="A14" s="435"/>
      <c r="B14" s="2574">
        <v>111</v>
      </c>
      <c r="C14" s="436"/>
      <c r="D14" s="437">
        <v>100</v>
      </c>
      <c r="E14" s="436"/>
      <c r="F14" s="437">
        <f>SUMIF(68:68,E14,69:69)-SUMIF(68:68,C14,69:69)+100</f>
        <v>100</v>
      </c>
      <c r="G14" s="2664"/>
      <c r="H14" s="437">
        <f>SUMIF(68:68,G14,69:69)-SUMIF(68:68,C14,69:69)+100</f>
        <v>100</v>
      </c>
      <c r="I14" s="468"/>
      <c r="J14" s="437">
        <f>SUMIF(68:68,I14,69:69)-SUMIF(68:68,C14,69:69)+100</f>
        <v>100</v>
      </c>
      <c r="K14" s="612"/>
      <c r="L14" s="1123"/>
      <c r="M14" s="1114"/>
      <c r="N14" s="1114"/>
      <c r="O14" s="1122"/>
      <c r="P14" s="3664"/>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769">
        <f t="shared" si="5"/>
        <v>1</v>
      </c>
    </row>
    <row r="15" spans="1:29" ht="57">
      <c r="A15" s="439" t="s">
        <v>2547</v>
      </c>
      <c r="B15" s="69" t="s">
        <v>2691</v>
      </c>
      <c r="C15" s="266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71" t="s">
        <v>2548</v>
      </c>
      <c r="Q15" s="1790" t="str">
        <f t="shared" si="6"/>
        <v>产业集聚程度</v>
      </c>
      <c r="R15" s="770" t="s">
        <v>17</v>
      </c>
      <c r="S15" s="771">
        <f t="shared" si="0"/>
        <v>100</v>
      </c>
      <c r="T15" s="770" t="s">
        <v>17</v>
      </c>
      <c r="U15" s="771">
        <f t="shared" si="1"/>
        <v>100</v>
      </c>
      <c r="V15" s="770" t="s">
        <v>17</v>
      </c>
      <c r="W15" s="771">
        <f t="shared" si="2"/>
        <v>100</v>
      </c>
      <c r="X15" s="1793"/>
      <c r="Y15" s="3671"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72"/>
      <c r="Q16" s="1790"/>
      <c r="R16" s="770"/>
      <c r="S16" s="771"/>
      <c r="T16" s="770"/>
      <c r="U16" s="771"/>
      <c r="V16" s="770"/>
      <c r="W16" s="771"/>
      <c r="X16" s="1793"/>
      <c r="Y16" s="3672"/>
      <c r="Z16" s="1794"/>
      <c r="AA16" s="1791">
        <v>1</v>
      </c>
      <c r="AB16" s="1791">
        <v>1</v>
      </c>
      <c r="AC16" s="1791">
        <v>1</v>
      </c>
    </row>
    <row r="17" spans="1:29" ht="85.5">
      <c r="A17" s="427"/>
      <c r="B17" s="450" t="s">
        <v>2085</v>
      </c>
      <c r="C17" s="257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72"/>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1791">
        <f t="shared" si="5"/>
        <v>1</v>
      </c>
    </row>
    <row r="18" spans="1:29" ht="15">
      <c r="A18" s="427"/>
      <c r="B18" s="455"/>
      <c r="C18" s="2580"/>
      <c r="D18" s="449"/>
      <c r="E18" s="2582"/>
      <c r="F18" s="452"/>
      <c r="G18" s="2581"/>
      <c r="H18" s="447"/>
      <c r="I18" s="2582"/>
      <c r="J18" s="447"/>
      <c r="K18" s="614"/>
      <c r="L18" s="1123"/>
      <c r="M18" s="1114"/>
      <c r="N18" s="1114"/>
      <c r="O18" s="1122"/>
      <c r="P18" s="3672"/>
      <c r="Q18" s="1790"/>
      <c r="R18" s="770"/>
      <c r="S18" s="771"/>
      <c r="T18" s="770"/>
      <c r="U18" s="771"/>
      <c r="V18" s="770"/>
      <c r="W18" s="771"/>
      <c r="X18" s="1793"/>
      <c r="Y18" s="3672"/>
      <c r="Z18" s="1794"/>
      <c r="AA18" s="1791">
        <v>1</v>
      </c>
      <c r="AB18" s="1791">
        <v>1</v>
      </c>
      <c r="AC18" s="1791">
        <v>1</v>
      </c>
    </row>
    <row r="19" spans="1:29" ht="42.75">
      <c r="A19" s="427"/>
      <c r="B19" s="450" t="s">
        <v>2676</v>
      </c>
      <c r="C19" s="257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72"/>
      <c r="Q19" s="1790" t="str">
        <f>B19</f>
        <v>公共配套设施</v>
      </c>
      <c r="R19" s="770" t="s">
        <v>17</v>
      </c>
      <c r="S19" s="771">
        <f>F19</f>
        <v>100</v>
      </c>
      <c r="T19" s="770" t="s">
        <v>17</v>
      </c>
      <c r="U19" s="771">
        <f>H19</f>
        <v>100</v>
      </c>
      <c r="V19" s="770" t="s">
        <v>17</v>
      </c>
      <c r="W19" s="771">
        <f>J19</f>
        <v>100</v>
      </c>
      <c r="X19" s="1793"/>
      <c r="Y19" s="3672"/>
      <c r="Z19" s="1794" t="str">
        <f>Q19</f>
        <v>公共配套设施</v>
      </c>
      <c r="AA19" s="1791">
        <f t="shared" si="3"/>
        <v>1</v>
      </c>
      <c r="AB19" s="1791">
        <f t="shared" si="4"/>
        <v>1</v>
      </c>
      <c r="AC19" s="1791">
        <f t="shared" si="5"/>
        <v>1</v>
      </c>
    </row>
    <row r="20" spans="1:29" ht="15">
      <c r="A20" s="427"/>
      <c r="B20" s="455"/>
      <c r="C20" s="446"/>
      <c r="D20" s="447"/>
      <c r="E20" s="2577"/>
      <c r="F20" s="448"/>
      <c r="G20" s="2576"/>
      <c r="H20" s="447"/>
      <c r="I20" s="2577"/>
      <c r="J20" s="447"/>
      <c r="K20" s="614"/>
      <c r="L20" s="1123"/>
      <c r="M20" s="1114"/>
      <c r="N20" s="1114"/>
      <c r="O20" s="1122"/>
      <c r="P20" s="3672"/>
      <c r="Q20" s="1790"/>
      <c r="R20" s="770"/>
      <c r="S20" s="771"/>
      <c r="T20" s="770"/>
      <c r="U20" s="771"/>
      <c r="V20" s="770"/>
      <c r="W20" s="771"/>
      <c r="X20" s="1793"/>
      <c r="Y20" s="3672"/>
      <c r="Z20" s="1794"/>
      <c r="AA20" s="1791">
        <v>1</v>
      </c>
      <c r="AB20" s="1791">
        <v>1</v>
      </c>
      <c r="AC20" s="1791">
        <v>1</v>
      </c>
    </row>
    <row r="21" spans="1:29" ht="28.5">
      <c r="A21" s="427"/>
      <c r="B21" s="1366" t="s">
        <v>2677</v>
      </c>
      <c r="C21" s="257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72"/>
      <c r="Q21" s="1790" t="str">
        <f>B21</f>
        <v>基础设施水平</v>
      </c>
      <c r="R21" s="770" t="s">
        <v>17</v>
      </c>
      <c r="S21" s="771">
        <f>F21</f>
        <v>100</v>
      </c>
      <c r="T21" s="770" t="s">
        <v>17</v>
      </c>
      <c r="U21" s="771">
        <f>H21</f>
        <v>100</v>
      </c>
      <c r="V21" s="770" t="s">
        <v>17</v>
      </c>
      <c r="W21" s="771">
        <f>J21</f>
        <v>100</v>
      </c>
      <c r="X21" s="1793"/>
      <c r="Y21" s="3672"/>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8"/>
      <c r="G22" s="446"/>
      <c r="H22" s="447"/>
      <c r="I22" s="446"/>
      <c r="J22" s="447"/>
      <c r="K22" s="1365"/>
      <c r="L22" s="1123"/>
      <c r="M22" s="1114"/>
      <c r="N22" s="1114"/>
      <c r="O22" s="1122"/>
      <c r="P22" s="3672"/>
      <c r="Q22" s="1790"/>
      <c r="R22" s="770"/>
      <c r="S22" s="771"/>
      <c r="T22" s="770"/>
      <c r="U22" s="771"/>
      <c r="V22" s="770"/>
      <c r="W22" s="771"/>
      <c r="X22" s="1793"/>
      <c r="Y22" s="3672"/>
      <c r="Z22" s="1794"/>
      <c r="AA22" s="1791">
        <v>1</v>
      </c>
      <c r="AB22" s="1791">
        <v>1</v>
      </c>
      <c r="AC22" s="1791">
        <v>1</v>
      </c>
    </row>
    <row r="23" spans="1:29" ht="71.25">
      <c r="A23" s="427"/>
      <c r="B23" s="450" t="s">
        <v>2678</v>
      </c>
      <c r="C23" s="257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72"/>
      <c r="Q23" s="1790" t="str">
        <f>B23</f>
        <v>环境质量</v>
      </c>
      <c r="R23" s="770" t="s">
        <v>17</v>
      </c>
      <c r="S23" s="771">
        <f>F23</f>
        <v>100</v>
      </c>
      <c r="T23" s="770" t="s">
        <v>17</v>
      </c>
      <c r="U23" s="771">
        <f>H23</f>
        <v>100</v>
      </c>
      <c r="V23" s="770" t="s">
        <v>17</v>
      </c>
      <c r="W23" s="771">
        <f>J23</f>
        <v>100</v>
      </c>
      <c r="X23" s="1793"/>
      <c r="Y23" s="3672"/>
      <c r="Z23" s="1794" t="str">
        <f>Q23</f>
        <v>环境质量</v>
      </c>
      <c r="AA23" s="1791">
        <f t="shared" si="3"/>
        <v>1</v>
      </c>
      <c r="AB23" s="1791">
        <f t="shared" si="4"/>
        <v>1</v>
      </c>
      <c r="AC23" s="1791">
        <f t="shared" si="5"/>
        <v>1</v>
      </c>
    </row>
    <row r="24" spans="1:29" ht="15">
      <c r="A24" s="427"/>
      <c r="B24" s="1366"/>
      <c r="C24" s="446"/>
      <c r="D24" s="447"/>
      <c r="E24" s="2577"/>
      <c r="F24" s="448"/>
      <c r="G24" s="2576"/>
      <c r="H24" s="447"/>
      <c r="I24" s="2577"/>
      <c r="J24" s="447"/>
      <c r="K24" s="614"/>
      <c r="L24" s="1123"/>
      <c r="M24" s="1114"/>
      <c r="N24" s="1114"/>
      <c r="O24" s="1122"/>
      <c r="P24" s="3672"/>
      <c r="Q24" s="1790"/>
      <c r="R24" s="770"/>
      <c r="S24" s="771"/>
      <c r="T24" s="770"/>
      <c r="U24" s="771"/>
      <c r="V24" s="770"/>
      <c r="W24" s="771"/>
      <c r="X24" s="1793"/>
      <c r="Y24" s="3672"/>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72"/>
      <c r="Q25" s="1790">
        <f>B25</f>
        <v>111</v>
      </c>
      <c r="R25" s="770" t="s">
        <v>17</v>
      </c>
      <c r="S25" s="771">
        <f>F25</f>
        <v>100</v>
      </c>
      <c r="T25" s="770" t="s">
        <v>17</v>
      </c>
      <c r="U25" s="771">
        <f>H25</f>
        <v>100</v>
      </c>
      <c r="V25" s="770" t="s">
        <v>17</v>
      </c>
      <c r="W25" s="771">
        <f>J25</f>
        <v>100</v>
      </c>
      <c r="X25" s="1793"/>
      <c r="Y25" s="3672"/>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72"/>
      <c r="Q26" s="1790">
        <f t="shared" ref="Q26:Q40" si="11">B26</f>
        <v>111</v>
      </c>
      <c r="R26" s="770" t="s">
        <v>17</v>
      </c>
      <c r="S26" s="771">
        <f>F26</f>
        <v>100</v>
      </c>
      <c r="T26" s="770" t="s">
        <v>17</v>
      </c>
      <c r="U26" s="771">
        <f>H26</f>
        <v>100</v>
      </c>
      <c r="V26" s="770" t="s">
        <v>17</v>
      </c>
      <c r="W26" s="771">
        <f>J26</f>
        <v>100</v>
      </c>
      <c r="X26" s="1793"/>
      <c r="Y26" s="3672"/>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72"/>
      <c r="Q27" s="1775">
        <f t="shared" si="11"/>
        <v>111</v>
      </c>
      <c r="R27" s="766" t="s">
        <v>17</v>
      </c>
      <c r="S27" s="767">
        <f>F27</f>
        <v>100</v>
      </c>
      <c r="T27" s="766" t="s">
        <v>17</v>
      </c>
      <c r="U27" s="767">
        <f>H27</f>
        <v>100</v>
      </c>
      <c r="V27" s="766" t="s">
        <v>17</v>
      </c>
      <c r="W27" s="767">
        <f>J27</f>
        <v>100</v>
      </c>
      <c r="X27" s="768"/>
      <c r="Y27" s="3672"/>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72"/>
      <c r="Q28" s="1790">
        <f t="shared" si="11"/>
        <v>111</v>
      </c>
      <c r="R28" s="770" t="s">
        <v>17</v>
      </c>
      <c r="S28" s="771">
        <f t="shared" ref="S28:S40" si="12">F28</f>
        <v>100</v>
      </c>
      <c r="T28" s="770" t="s">
        <v>17</v>
      </c>
      <c r="U28" s="771">
        <f t="shared" ref="U28:U40" si="13">H28</f>
        <v>100</v>
      </c>
      <c r="V28" s="770" t="s">
        <v>17</v>
      </c>
      <c r="W28" s="771">
        <f t="shared" ref="W28:W40" si="14">J28</f>
        <v>100</v>
      </c>
      <c r="X28" s="1793"/>
      <c r="Y28" s="3672"/>
      <c r="Z28" s="1794">
        <f t="shared" ref="Z28:Z40" si="15">Q28</f>
        <v>111</v>
      </c>
      <c r="AA28" s="1791">
        <f t="shared" si="3"/>
        <v>1</v>
      </c>
      <c r="AB28" s="1791">
        <f t="shared" si="4"/>
        <v>1</v>
      </c>
      <c r="AC28" s="1791">
        <f t="shared" si="5"/>
        <v>1</v>
      </c>
    </row>
    <row r="29" spans="1:29" ht="28.5">
      <c r="A29" s="465" t="s">
        <v>2551</v>
      </c>
      <c r="B29" s="71" t="s">
        <v>2681</v>
      </c>
      <c r="C29" s="2651"/>
      <c r="D29" s="466">
        <v>100</v>
      </c>
      <c r="E29" s="2651"/>
      <c r="F29" s="460">
        <f>SUMIF(88:88,E29,89:89)-SUMIF(88:88,C29,89:89)+100</f>
        <v>100</v>
      </c>
      <c r="G29" s="2651"/>
      <c r="H29" s="434">
        <f>SUMIF(88:88,G29,89:89)-SUMIF(88:88,C29,89:89)+100</f>
        <v>100</v>
      </c>
      <c r="I29" s="2651"/>
      <c r="J29" s="466">
        <f>SUMIF(88:88,I29,89:89)-SUMIF(88:88,C29,89:89)+100</f>
        <v>100</v>
      </c>
      <c r="K29" s="611"/>
      <c r="L29" s="1123"/>
      <c r="M29" s="1114"/>
      <c r="N29" s="1114"/>
      <c r="O29" s="1122"/>
      <c r="P29" s="3741" t="s">
        <v>2553</v>
      </c>
      <c r="Q29" s="1790" t="str">
        <f t="shared" si="11"/>
        <v>建筑类型</v>
      </c>
      <c r="R29" s="770" t="s">
        <v>17</v>
      </c>
      <c r="S29" s="771">
        <f t="shared" si="12"/>
        <v>100</v>
      </c>
      <c r="T29" s="770" t="s">
        <v>17</v>
      </c>
      <c r="U29" s="771">
        <f t="shared" si="13"/>
        <v>100</v>
      </c>
      <c r="V29" s="770" t="s">
        <v>17</v>
      </c>
      <c r="W29" s="771">
        <f t="shared" si="14"/>
        <v>100</v>
      </c>
      <c r="X29" s="1793"/>
      <c r="Y29" s="3676"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76"/>
      <c r="Q30" s="772" t="str">
        <f t="shared" si="11"/>
        <v>项目建筑规模</v>
      </c>
      <c r="R30" s="773" t="s">
        <v>17</v>
      </c>
      <c r="S30" s="774" t="e">
        <f t="shared" si="12"/>
        <v>#N/A</v>
      </c>
      <c r="T30" s="773" t="s">
        <v>17</v>
      </c>
      <c r="U30" s="774" t="e">
        <f t="shared" si="13"/>
        <v>#N/A</v>
      </c>
      <c r="V30" s="773" t="s">
        <v>17</v>
      </c>
      <c r="W30" s="774" t="e">
        <f t="shared" si="14"/>
        <v>#N/A</v>
      </c>
      <c r="X30" s="775"/>
      <c r="Y30" s="3676"/>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76"/>
      <c r="Q31" s="1790" t="str">
        <f t="shared" si="11"/>
        <v>建筑结构</v>
      </c>
      <c r="R31" s="770" t="s">
        <v>17</v>
      </c>
      <c r="S31" s="771">
        <f t="shared" si="12"/>
        <v>100</v>
      </c>
      <c r="T31" s="770" t="s">
        <v>17</v>
      </c>
      <c r="U31" s="771">
        <f t="shared" si="13"/>
        <v>100</v>
      </c>
      <c r="V31" s="770" t="s">
        <v>17</v>
      </c>
      <c r="W31" s="771">
        <f t="shared" si="14"/>
        <v>100</v>
      </c>
      <c r="X31" s="1793"/>
      <c r="Y31" s="3676"/>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76"/>
      <c r="Q32" s="1790" t="str">
        <f t="shared" si="11"/>
        <v>公共部分装修</v>
      </c>
      <c r="R32" s="770" t="s">
        <v>17</v>
      </c>
      <c r="S32" s="771">
        <f t="shared" si="12"/>
        <v>100</v>
      </c>
      <c r="T32" s="770" t="s">
        <v>17</v>
      </c>
      <c r="U32" s="771">
        <f t="shared" si="13"/>
        <v>100</v>
      </c>
      <c r="V32" s="770" t="s">
        <v>17</v>
      </c>
      <c r="W32" s="771">
        <f t="shared" si="14"/>
        <v>100</v>
      </c>
      <c r="X32" s="1793"/>
      <c r="Y32" s="3676"/>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76"/>
      <c r="Q33" s="1790" t="str">
        <f t="shared" si="11"/>
        <v>成新度</v>
      </c>
      <c r="R33" s="770" t="s">
        <v>17</v>
      </c>
      <c r="S33" s="771" t="e">
        <f t="shared" si="12"/>
        <v>#N/A</v>
      </c>
      <c r="T33" s="770" t="s">
        <v>17</v>
      </c>
      <c r="U33" s="771" t="e">
        <f t="shared" si="13"/>
        <v>#N/A</v>
      </c>
      <c r="V33" s="770" t="s">
        <v>17</v>
      </c>
      <c r="W33" s="771" t="e">
        <f t="shared" si="14"/>
        <v>#N/A</v>
      </c>
      <c r="X33" s="1793"/>
      <c r="Y33" s="3676"/>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76"/>
      <c r="Q34" s="1775" t="str">
        <f t="shared" si="11"/>
        <v>物业管理</v>
      </c>
      <c r="R34" s="766" t="s">
        <v>17</v>
      </c>
      <c r="S34" s="767">
        <f t="shared" si="12"/>
        <v>100</v>
      </c>
      <c r="T34" s="766" t="s">
        <v>17</v>
      </c>
      <c r="U34" s="767">
        <f t="shared" si="13"/>
        <v>100</v>
      </c>
      <c r="V34" s="766" t="s">
        <v>17</v>
      </c>
      <c r="W34" s="767">
        <f t="shared" si="14"/>
        <v>100</v>
      </c>
      <c r="X34" s="768"/>
      <c r="Y34" s="3676"/>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76" t="s">
        <v>2553</v>
      </c>
      <c r="Q35" s="1790" t="str">
        <f t="shared" si="11"/>
        <v>市政基础设施</v>
      </c>
      <c r="R35" s="770" t="s">
        <v>17</v>
      </c>
      <c r="S35" s="771">
        <f t="shared" si="12"/>
        <v>100</v>
      </c>
      <c r="T35" s="770" t="s">
        <v>17</v>
      </c>
      <c r="U35" s="771">
        <f t="shared" si="13"/>
        <v>100</v>
      </c>
      <c r="V35" s="770" t="s">
        <v>17</v>
      </c>
      <c r="W35" s="771">
        <f t="shared" si="14"/>
        <v>100</v>
      </c>
      <c r="X35" s="1793"/>
      <c r="Y35" s="3676"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76"/>
      <c r="Q36" s="1790" t="str">
        <f t="shared" si="11"/>
        <v>内部装修</v>
      </c>
      <c r="R36" s="770" t="s">
        <v>17</v>
      </c>
      <c r="S36" s="771">
        <f t="shared" si="12"/>
        <v>100</v>
      </c>
      <c r="T36" s="770" t="s">
        <v>17</v>
      </c>
      <c r="U36" s="771">
        <f t="shared" si="13"/>
        <v>100</v>
      </c>
      <c r="V36" s="770" t="s">
        <v>17</v>
      </c>
      <c r="W36" s="771">
        <f t="shared" si="14"/>
        <v>100</v>
      </c>
      <c r="X36" s="1793"/>
      <c r="Y36" s="3676"/>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76"/>
      <c r="Q37" s="1790" t="str">
        <f t="shared" si="11"/>
        <v>内部装修状况</v>
      </c>
      <c r="R37" s="770" t="s">
        <v>17</v>
      </c>
      <c r="S37" s="771">
        <f t="shared" si="12"/>
        <v>100</v>
      </c>
      <c r="T37" s="770" t="s">
        <v>17</v>
      </c>
      <c r="U37" s="771">
        <f t="shared" si="13"/>
        <v>100</v>
      </c>
      <c r="V37" s="770" t="s">
        <v>17</v>
      </c>
      <c r="W37" s="771">
        <f t="shared" si="14"/>
        <v>100</v>
      </c>
      <c r="X37" s="1793"/>
      <c r="Y37" s="3676"/>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76"/>
      <c r="Q38" s="772">
        <f t="shared" si="11"/>
        <v>111</v>
      </c>
      <c r="R38" s="773" t="s">
        <v>17</v>
      </c>
      <c r="S38" s="774">
        <f t="shared" si="12"/>
        <v>100</v>
      </c>
      <c r="T38" s="773" t="s">
        <v>17</v>
      </c>
      <c r="U38" s="774">
        <f t="shared" si="13"/>
        <v>100</v>
      </c>
      <c r="V38" s="773" t="s">
        <v>17</v>
      </c>
      <c r="W38" s="774">
        <f t="shared" si="14"/>
        <v>100</v>
      </c>
      <c r="X38" s="775"/>
      <c r="Y38" s="3676"/>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76"/>
      <c r="Q39" s="1790">
        <f t="shared" si="11"/>
        <v>111</v>
      </c>
      <c r="R39" s="770" t="s">
        <v>17</v>
      </c>
      <c r="S39" s="771">
        <f t="shared" si="12"/>
        <v>100</v>
      </c>
      <c r="T39" s="770" t="s">
        <v>17</v>
      </c>
      <c r="U39" s="771">
        <f t="shared" si="13"/>
        <v>100</v>
      </c>
      <c r="V39" s="770" t="s">
        <v>17</v>
      </c>
      <c r="W39" s="771">
        <f t="shared" si="14"/>
        <v>100</v>
      </c>
      <c r="X39" s="1793"/>
      <c r="Y39" s="3676"/>
      <c r="Z39" s="1794">
        <f t="shared" si="15"/>
        <v>111</v>
      </c>
      <c r="AA39" s="1791">
        <f t="shared" si="3"/>
        <v>1</v>
      </c>
      <c r="AB39" s="1791">
        <f t="shared" si="4"/>
        <v>1</v>
      </c>
      <c r="AC39" s="1791">
        <f t="shared" si="5"/>
        <v>1</v>
      </c>
    </row>
    <row r="40" spans="1:29" ht="15.75" thickBot="1">
      <c r="A40" s="477"/>
      <c r="B40" s="257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77"/>
      <c r="Q40" s="1790">
        <f t="shared" si="11"/>
        <v>111</v>
      </c>
      <c r="R40" s="770" t="s">
        <v>17</v>
      </c>
      <c r="S40" s="771">
        <f t="shared" si="12"/>
        <v>100</v>
      </c>
      <c r="T40" s="770" t="s">
        <v>17</v>
      </c>
      <c r="U40" s="771">
        <f t="shared" si="13"/>
        <v>100</v>
      </c>
      <c r="V40" s="770" t="s">
        <v>17</v>
      </c>
      <c r="W40" s="771">
        <f t="shared" si="14"/>
        <v>100</v>
      </c>
      <c r="X40" s="1793"/>
      <c r="Y40" s="3677"/>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664" t="str">
        <f>A41</f>
        <v>成交单价（元/平方米）</v>
      </c>
      <c r="Q41" s="3664"/>
      <c r="R41" s="3665">
        <f>E41</f>
        <v>0</v>
      </c>
      <c r="S41" s="3665"/>
      <c r="T41" s="3665">
        <f>G41</f>
        <v>0</v>
      </c>
      <c r="U41" s="3665"/>
      <c r="V41" s="3665">
        <f>I41</f>
        <v>0</v>
      </c>
      <c r="W41" s="3665"/>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666" t="str">
        <f>A43</f>
        <v>估价对象XX用房的比较价值（楼面单价，元/平方米）</v>
      </c>
      <c r="Q43" s="3667"/>
      <c r="R43" s="3668" t="e">
        <f>IF(F1="售价",ROUND(AVERAGE(R42:V42),0),ROUND(AVERAGE(R42:V42),1))</f>
        <v>#DIV/0!</v>
      </c>
      <c r="S43" s="3668"/>
      <c r="T43" s="3668"/>
      <c r="U43" s="3668"/>
      <c r="V43" s="3668"/>
      <c r="W43" s="3668"/>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8"/>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8"/>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3" t="s">
        <v>2514</v>
      </c>
      <c r="B1" s="2534"/>
      <c r="C1" s="2534"/>
      <c r="D1" s="2534"/>
      <c r="E1" s="2535"/>
    </row>
    <row r="2" spans="1:6" ht="15.75">
      <c r="A2" s="2536" t="s">
        <v>2315</v>
      </c>
      <c r="B2" s="2537">
        <f ca="1">SUMIF(B6:B13,"&lt;&gt;#ref!",B6:B13)</f>
        <v>0</v>
      </c>
      <c r="C2" s="2538" t="s">
        <v>2507</v>
      </c>
      <c r="D2" s="2539" t="s">
        <v>2508</v>
      </c>
      <c r="E2" s="2540">
        <f>SUM(E6:E13)</f>
        <v>0</v>
      </c>
    </row>
    <row r="3" spans="1:6" ht="15.75">
      <c r="A3" s="2536" t="s">
        <v>1383</v>
      </c>
      <c r="B3" s="2537" t="e">
        <f ca="1">ROUND(B2*10000/E2,0)</f>
        <v>#DIV/0!</v>
      </c>
      <c r="C3" s="2538" t="s">
        <v>2515</v>
      </c>
      <c r="D3" s="2541"/>
      <c r="E3" s="2542"/>
    </row>
    <row r="4" spans="1:6" ht="15.75">
      <c r="A4" s="2543"/>
      <c r="B4" s="2541"/>
      <c r="C4" s="2541"/>
      <c r="D4" s="2541"/>
      <c r="E4" s="2542"/>
    </row>
    <row r="5" spans="1:6" ht="15">
      <c r="A5" s="2544" t="s">
        <v>2509</v>
      </c>
      <c r="B5" s="3719" t="s">
        <v>2510</v>
      </c>
      <c r="C5" s="3719"/>
      <c r="D5" s="2545"/>
      <c r="E5" s="2546" t="s">
        <v>2511</v>
      </c>
      <c r="F5" s="2547" t="s">
        <v>2512</v>
      </c>
    </row>
    <row r="6" spans="1:6">
      <c r="A6" s="2548" t="str">
        <f>'数据-取费表'!AN6</f>
        <v>收益法</v>
      </c>
      <c r="B6" s="2547">
        <f>IF(F6="是",'数据-取费表'!AO6,0)</f>
        <v>0</v>
      </c>
      <c r="C6" s="2538" t="s">
        <v>2507</v>
      </c>
      <c r="D6" s="2541"/>
      <c r="E6" s="2549">
        <f>IF(OR(A6=0,F6="否"),0,'数据-取费表'!K6+'数据-取费表'!S6)</f>
        <v>0</v>
      </c>
      <c r="F6" s="2550" t="s">
        <v>3095</v>
      </c>
    </row>
    <row r="7" spans="1:6">
      <c r="A7" s="2548">
        <f>'数据-取费表'!AN7</f>
        <v>0</v>
      </c>
      <c r="B7" s="2547">
        <f>IF(F7="是",'数据-取费表'!AO7,0)</f>
        <v>0</v>
      </c>
      <c r="C7" s="2538" t="s">
        <v>2507</v>
      </c>
      <c r="D7" s="2541"/>
      <c r="E7" s="2549">
        <f>IF(OR(A7=0,F7="否"),0,'数据-取费表'!K7+'数据-取费表'!S7)</f>
        <v>0</v>
      </c>
      <c r="F7" s="2550" t="s">
        <v>3095</v>
      </c>
    </row>
    <row r="8" spans="1:6">
      <c r="A8" s="2548">
        <f>'数据-取费表'!AN8</f>
        <v>0</v>
      </c>
      <c r="B8" s="2547" t="e">
        <f ca="1">IF(F8="是",'数据-取费表'!AO8,0)</f>
        <v>#REF!</v>
      </c>
      <c r="C8" s="2538" t="s">
        <v>2507</v>
      </c>
      <c r="D8" s="2541"/>
      <c r="E8" s="2549">
        <f>IF(OR(A8=0,F8="否"),0,'数据-取费表'!K8+'数据-取费表'!S8)</f>
        <v>0</v>
      </c>
      <c r="F8" s="2550" t="s">
        <v>2513</v>
      </c>
    </row>
    <row r="9" spans="1:6">
      <c r="A9" s="2548">
        <f>'数据-取费表'!AN9</f>
        <v>0</v>
      </c>
      <c r="B9" s="2547" t="e">
        <f ca="1">IF(F9="是",'数据-取费表'!AO9,0)</f>
        <v>#REF!</v>
      </c>
      <c r="C9" s="2538" t="s">
        <v>2507</v>
      </c>
      <c r="D9" s="2541"/>
      <c r="E9" s="2549">
        <f>IF(OR(A9=0,F9="否"),0,'数据-取费表'!K9+'数据-取费表'!S9)</f>
        <v>0</v>
      </c>
      <c r="F9" s="2550" t="s">
        <v>2513</v>
      </c>
    </row>
    <row r="10" spans="1:6">
      <c r="A10" s="2548">
        <f>'数据-取费表'!AN10</f>
        <v>0</v>
      </c>
      <c r="B10" s="2547">
        <f>IF(F10="是",'数据-取费表'!AO10,0)</f>
        <v>0</v>
      </c>
      <c r="C10" s="2538" t="s">
        <v>2507</v>
      </c>
      <c r="D10" s="2541"/>
      <c r="E10" s="2549">
        <f>IF(OR(A10=0,F10="否"),0,'数据-取费表'!K10+'数据-取费表'!S10)</f>
        <v>0</v>
      </c>
      <c r="F10" s="2550" t="s">
        <v>3095</v>
      </c>
    </row>
    <row r="11" spans="1:6">
      <c r="A11" s="2548">
        <f>'数据-取费表'!AN11</f>
        <v>0</v>
      </c>
      <c r="B11" s="2547">
        <f>IF(F11="是",'数据-取费表'!AO11,0)</f>
        <v>0</v>
      </c>
      <c r="C11" s="2538" t="s">
        <v>2507</v>
      </c>
      <c r="D11" s="2541"/>
      <c r="E11" s="2549">
        <f>IF(OR(A11=0,F11="否"),0,'数据-取费表'!K11+'数据-取费表'!S11)</f>
        <v>0</v>
      </c>
      <c r="F11" s="2550" t="s">
        <v>3095</v>
      </c>
    </row>
    <row r="12" spans="1:6">
      <c r="A12" s="2548">
        <f>'数据-取费表'!AN12</f>
        <v>0</v>
      </c>
      <c r="B12" s="2547">
        <f>IF(F12="是",'数据-取费表'!AO12,0)</f>
        <v>0</v>
      </c>
      <c r="C12" s="2538" t="s">
        <v>2507</v>
      </c>
      <c r="D12" s="2541"/>
      <c r="E12" s="2549">
        <f>IF(OR(A12=0,F12="否"),0,'数据-取费表'!K12+'数据-取费表'!S12)</f>
        <v>0</v>
      </c>
      <c r="F12" s="2550" t="s">
        <v>3095</v>
      </c>
    </row>
    <row r="13" spans="1:6" ht="15" thickBot="1">
      <c r="A13" s="2551">
        <f>'数据-取费表'!AN13</f>
        <v>0</v>
      </c>
      <c r="B13" s="2547">
        <f>IF(F13="是",'数据-取费表'!AO13,0)</f>
        <v>0</v>
      </c>
      <c r="C13" s="2552" t="s">
        <v>2507</v>
      </c>
      <c r="D13" s="2553"/>
      <c r="E13" s="2549">
        <f>IF(OR(A13=0,F13="否"),0,'数据-取费表'!K13+'数据-取费表'!S13)</f>
        <v>0</v>
      </c>
      <c r="F13" s="2550"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8"/>
      <c r="C2" s="3428"/>
      <c r="D2" s="3428"/>
      <c r="E2" s="3428"/>
    </row>
    <row r="3" spans="1:5" ht="18">
      <c r="A3" s="3429" t="str">
        <f>IF(项目基本情况!B9="房地产市场价值","估价结果一览表（市场价值不需“结果表-1”）","估价结果一览表")</f>
        <v>估价结果一览表</v>
      </c>
      <c r="B3" s="3429"/>
      <c r="C3" s="3429"/>
      <c r="D3" s="3429"/>
      <c r="E3" s="3429"/>
    </row>
    <row r="4" spans="1:5" ht="19.5" thickBot="1">
      <c r="A4" s="1940"/>
      <c r="B4" s="3427" t="s">
        <v>1618</v>
      </c>
      <c r="C4" s="3427"/>
      <c r="D4" s="3427"/>
      <c r="E4" s="1940"/>
    </row>
    <row r="5" spans="1:5" ht="16.5" thickTop="1">
      <c r="A5" s="1938"/>
      <c r="B5" s="3425" t="s">
        <v>1610</v>
      </c>
      <c r="C5" s="1941" t="s">
        <v>1611</v>
      </c>
      <c r="D5" s="1030">
        <f ca="1">结果表!H101</f>
        <v>41072</v>
      </c>
      <c r="E5" s="1938"/>
    </row>
    <row r="6" spans="1:5" ht="15.75">
      <c r="A6" s="1938"/>
      <c r="B6" s="3425"/>
      <c r="C6" s="1941" t="s">
        <v>1612</v>
      </c>
      <c r="D6" s="1030" t="str">
        <f ca="1">NUMBERSTRING(INT(D5*10000),2)&amp;"元整"</f>
        <v>肆亿壹仟零柒拾贰万元整</v>
      </c>
      <c r="E6" s="1938"/>
    </row>
    <row r="7" spans="1:5" ht="15.75">
      <c r="A7" s="1938"/>
      <c r="B7" s="3430"/>
      <c r="C7" s="1942" t="s">
        <v>1613</v>
      </c>
      <c r="D7" s="1031">
        <f ca="1">结果表!H102</f>
        <v>16868</v>
      </c>
      <c r="E7" s="1938"/>
    </row>
    <row r="8" spans="1:5" ht="15.75">
      <c r="A8" s="1938"/>
      <c r="B8" s="3431" t="str">
        <f>结果表!E103</f>
        <v>2.估价师知悉的法定优先受偿款</v>
      </c>
      <c r="C8" s="1943" t="s">
        <v>1614</v>
      </c>
      <c r="D8" s="1031">
        <f>结果表!H103</f>
        <v>0</v>
      </c>
      <c r="E8" s="1938"/>
    </row>
    <row r="9" spans="1:5" ht="15.75">
      <c r="A9" s="1938"/>
      <c r="B9" s="3433"/>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24" t="str">
        <f>结果表!E107</f>
        <v>3.房地产抵押价值</v>
      </c>
      <c r="C13" s="1946" t="s">
        <v>1611</v>
      </c>
      <c r="D13" s="1033">
        <f ca="1">结果表!H107</f>
        <v>41072</v>
      </c>
      <c r="E13" s="1938"/>
    </row>
    <row r="14" spans="1:5" ht="15.75">
      <c r="A14" s="1938"/>
      <c r="B14" s="3425"/>
      <c r="C14" s="1941" t="s">
        <v>1612</v>
      </c>
      <c r="D14" s="1030" t="str">
        <f ca="1">NUMBERSTRING(INT(D13*10000),2)&amp;"元整"</f>
        <v>肆亿壹仟零柒拾贰万元整</v>
      </c>
      <c r="E14" s="1938"/>
    </row>
    <row r="15" spans="1:5" ht="15">
      <c r="A15" s="1938"/>
      <c r="B15" s="3430"/>
      <c r="C15" s="1942" t="s">
        <v>1622</v>
      </c>
      <c r="D15" s="1042">
        <f ca="1">结果表!H108</f>
        <v>16868</v>
      </c>
      <c r="E15" s="1938"/>
    </row>
    <row r="16" spans="1:5" ht="15">
      <c r="A16" s="1938"/>
      <c r="B16" s="3431" t="str">
        <f>结果表!E109</f>
        <v>——</v>
      </c>
      <c r="C16" s="1946" t="s">
        <v>1623</v>
      </c>
      <c r="D16" s="1947" t="str">
        <f>结果表!H109</f>
        <v>——</v>
      </c>
      <c r="E16" s="1938"/>
    </row>
    <row r="17" spans="1:5" ht="15.75">
      <c r="A17" s="1938"/>
      <c r="B17" s="3432"/>
      <c r="C17" s="1941" t="s">
        <v>1624</v>
      </c>
      <c r="D17" s="1030" t="e">
        <f>NUMBERSTRING(INT(D16*10000),2)&amp;"元整"</f>
        <v>#VALUE!</v>
      </c>
      <c r="E17" s="1938"/>
    </row>
    <row r="18" spans="1:5" ht="15">
      <c r="A18" s="1938"/>
      <c r="B18" s="3433"/>
      <c r="C18" s="1942" t="s">
        <v>1613</v>
      </c>
      <c r="D18" s="1042" t="str">
        <f>结果表!H110</f>
        <v>——</v>
      </c>
      <c r="E18" s="1938"/>
    </row>
    <row r="19" spans="1:5" ht="15.75">
      <c r="A19" s="1938"/>
      <c r="B19" s="3424" t="str">
        <f>结果表!E111</f>
        <v>——</v>
      </c>
      <c r="C19" s="1946" t="s">
        <v>1611</v>
      </c>
      <c r="D19" s="1031" t="str">
        <f>结果表!H111</f>
        <v>——</v>
      </c>
      <c r="E19" s="1938"/>
    </row>
    <row r="20" spans="1:5" ht="15.75">
      <c r="A20" s="1938"/>
      <c r="B20" s="3425"/>
      <c r="C20" s="1941" t="s">
        <v>1624</v>
      </c>
      <c r="D20" s="1030" t="e">
        <f>NUMBERSTRING(INT(D19*10000),2)&amp;"元整"</f>
        <v>#VALUE!</v>
      </c>
      <c r="E20" s="1938"/>
    </row>
    <row r="21" spans="1:5" ht="15.75" thickBot="1">
      <c r="A21" s="1938"/>
      <c r="B21" s="3426"/>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48</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2.75">
      <c r="A3" s="3561" t="s">
        <v>2107</v>
      </c>
      <c r="B3" s="3562"/>
      <c r="C3" s="3562"/>
      <c r="D3" s="3562"/>
      <c r="E3" s="3562"/>
      <c r="F3" s="3562"/>
      <c r="G3" s="3562"/>
      <c r="H3" s="3562"/>
      <c r="I3" s="3562"/>
    </row>
    <row r="4" spans="1:12" ht="14.25">
      <c r="A4" s="2395" t="s">
        <v>2108</v>
      </c>
      <c r="B4" s="2396" t="s">
        <v>2109</v>
      </c>
      <c r="C4" s="2397" t="s">
        <v>3617</v>
      </c>
      <c r="D4" s="2397" t="s">
        <v>3614</v>
      </c>
      <c r="E4" s="3554" t="s">
        <v>2110</v>
      </c>
      <c r="F4" s="3555"/>
      <c r="G4" s="3555"/>
      <c r="H4" s="3555"/>
      <c r="I4" s="3563"/>
      <c r="K4" s="2398" t="str">
        <f>IF(ISNUMBER(FIND("比较法",结果表车!C4)),"比较法",IF(ISNUMBER(FIND("成本法",结果表车!C4)),"成本法",IF(ISNUMBER(FIND("假设开发法",结果表车!C4)),"假设开发法",IF(ISNUMBER(FIND("收益法",结果表车!C4)),"收益法","基准地价系数修正法"))))</f>
        <v>比较法</v>
      </c>
      <c r="L4" s="239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37" t="s">
        <v>2111</v>
      </c>
      <c r="B5" s="3466">
        <v>25</v>
      </c>
      <c r="C5" s="3540"/>
      <c r="D5" s="3560"/>
      <c r="E5" s="140" t="s">
        <v>2112</v>
      </c>
      <c r="F5" s="2399"/>
      <c r="G5" s="2399"/>
      <c r="H5" s="2399"/>
      <c r="I5" s="1811"/>
    </row>
    <row r="6" spans="1:12" ht="12.75">
      <c r="A6" s="3537"/>
      <c r="B6" s="3466"/>
      <c r="C6" s="3541"/>
      <c r="D6" s="3560"/>
      <c r="E6" s="140" t="s">
        <v>2113</v>
      </c>
      <c r="F6" s="2399"/>
      <c r="G6" s="2399"/>
      <c r="H6" s="2399"/>
      <c r="I6" s="1811"/>
    </row>
    <row r="7" spans="1:12" ht="12.75">
      <c r="A7" s="3537"/>
      <c r="B7" s="3466"/>
      <c r="C7" s="3542"/>
      <c r="D7" s="3560"/>
      <c r="E7" s="140" t="s">
        <v>2114</v>
      </c>
      <c r="F7" s="2399"/>
      <c r="G7" s="2399"/>
      <c r="H7" s="2399"/>
      <c r="I7" s="1811"/>
    </row>
    <row r="8" spans="1:12" ht="12.75">
      <c r="A8" s="3537" t="s">
        <v>2115</v>
      </c>
      <c r="B8" s="3466">
        <v>15</v>
      </c>
      <c r="C8" s="3540"/>
      <c r="D8" s="3560"/>
      <c r="E8" s="140" t="s">
        <v>2116</v>
      </c>
      <c r="F8" s="2399"/>
      <c r="G8" s="2399"/>
      <c r="H8" s="2399"/>
      <c r="I8" s="1811"/>
    </row>
    <row r="9" spans="1:12" ht="12.75">
      <c r="A9" s="3537"/>
      <c r="B9" s="3466"/>
      <c r="C9" s="3542"/>
      <c r="D9" s="3560"/>
      <c r="E9" s="140" t="s">
        <v>2117</v>
      </c>
      <c r="F9" s="2399"/>
      <c r="G9" s="2399"/>
      <c r="H9" s="2399"/>
      <c r="I9" s="1811"/>
    </row>
    <row r="10" spans="1:12" ht="12.75">
      <c r="A10" s="3537" t="s">
        <v>2118</v>
      </c>
      <c r="B10" s="3466">
        <v>15</v>
      </c>
      <c r="C10" s="3540"/>
      <c r="D10" s="3560"/>
      <c r="E10" s="140" t="s">
        <v>2119</v>
      </c>
      <c r="F10" s="2399"/>
      <c r="G10" s="2399"/>
      <c r="H10" s="2399"/>
      <c r="I10" s="1811"/>
    </row>
    <row r="11" spans="1:12" ht="12.75">
      <c r="A11" s="3537"/>
      <c r="B11" s="3466"/>
      <c r="C11" s="3542"/>
      <c r="D11" s="3560"/>
      <c r="E11" s="140" t="s">
        <v>2120</v>
      </c>
      <c r="F11" s="2399"/>
      <c r="G11" s="2399"/>
      <c r="H11" s="2399"/>
      <c r="I11" s="1811"/>
    </row>
    <row r="12" spans="1:12" ht="12.75">
      <c r="A12" s="3537" t="s">
        <v>2121</v>
      </c>
      <c r="B12" s="3466">
        <v>15</v>
      </c>
      <c r="C12" s="3540"/>
      <c r="D12" s="3560"/>
      <c r="E12" s="140" t="s">
        <v>2122</v>
      </c>
      <c r="F12" s="2399"/>
      <c r="G12" s="2399"/>
      <c r="H12" s="2399"/>
      <c r="I12" s="1811"/>
    </row>
    <row r="13" spans="1:12" ht="12.75">
      <c r="A13" s="3537"/>
      <c r="B13" s="3466"/>
      <c r="C13" s="3542"/>
      <c r="D13" s="3560"/>
      <c r="E13" s="140" t="s">
        <v>2123</v>
      </c>
      <c r="F13" s="2399"/>
      <c r="G13" s="2399"/>
      <c r="H13" s="2399"/>
      <c r="I13" s="1811"/>
    </row>
    <row r="14" spans="1:12" ht="12.75">
      <c r="A14" s="3537" t="s">
        <v>2124</v>
      </c>
      <c r="B14" s="3466">
        <v>30</v>
      </c>
      <c r="C14" s="3540">
        <v>5</v>
      </c>
      <c r="D14" s="3560">
        <v>5</v>
      </c>
      <c r="E14" s="140" t="s">
        <v>2125</v>
      </c>
      <c r="F14" s="2399"/>
      <c r="G14" s="2399"/>
      <c r="H14" s="2399"/>
      <c r="I14" s="1811"/>
    </row>
    <row r="15" spans="1:12" ht="12.75">
      <c r="A15" s="3537"/>
      <c r="B15" s="3466"/>
      <c r="C15" s="3541"/>
      <c r="D15" s="3560"/>
      <c r="E15" s="140" t="s">
        <v>2126</v>
      </c>
      <c r="F15" s="2399"/>
      <c r="G15" s="2399"/>
      <c r="H15" s="2399"/>
      <c r="I15" s="1811"/>
    </row>
    <row r="16" spans="1:12" ht="12.75">
      <c r="A16" s="3537"/>
      <c r="B16" s="3466"/>
      <c r="C16" s="3542"/>
      <c r="D16" s="3560"/>
      <c r="E16" s="140" t="s">
        <v>2127</v>
      </c>
      <c r="F16" s="2399"/>
      <c r="G16" s="2399"/>
      <c r="H16" s="2399"/>
      <c r="I16" s="1811"/>
    </row>
    <row r="17" spans="1:35" ht="15">
      <c r="A17" s="2400" t="s">
        <v>2128</v>
      </c>
      <c r="B17" s="64"/>
      <c r="C17" s="141">
        <f>SUM(C5:C16)</f>
        <v>5</v>
      </c>
      <c r="D17" s="141">
        <f>SUM(D5:D16)</f>
        <v>5</v>
      </c>
      <c r="E17" s="138"/>
      <c r="F17" s="138"/>
      <c r="G17" s="138"/>
      <c r="H17" s="138"/>
      <c r="I17" s="138"/>
      <c r="K17" s="2398"/>
      <c r="L17" s="2401" t="s">
        <v>2129</v>
      </c>
      <c r="M17" s="2401" t="s">
        <v>2130</v>
      </c>
    </row>
    <row r="18" spans="1:35" ht="15.75" thickBot="1">
      <c r="A18" s="2402" t="s">
        <v>2131</v>
      </c>
      <c r="B18" s="2403"/>
      <c r="C18" s="142">
        <f>ROUND(C17/SUM(C17:D17),2)</f>
        <v>0.5</v>
      </c>
      <c r="D18" s="142">
        <f>1-C18</f>
        <v>0.5</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5">
      <c r="A19" s="2404" t="s">
        <v>2133</v>
      </c>
      <c r="B19" s="2405" t="s">
        <v>2134</v>
      </c>
      <c r="C19" s="143">
        <f ca="1">SUMIF(INDIRECT("'"&amp;C4&amp;"'"&amp;"!A:A"),结果表车!B19,INDIRECT("'"&amp;C4&amp;"'"&amp;"!B:B"))</f>
        <v>0</v>
      </c>
      <c r="D19" s="144" t="e">
        <f ca="1">SUMIF(INDIRECT("'"&amp;D4&amp;"'"&amp;"!A:A"),结果表车!B19,INDIRECT("'"&amp;D4&amp;"'"&amp;"!B:B"))</f>
        <v>#N/A</v>
      </c>
      <c r="E19" s="2404" t="s">
        <v>2135</v>
      </c>
      <c r="F19" s="2405" t="s">
        <v>2134</v>
      </c>
      <c r="G19" s="145" t="e">
        <f ca="1">ROUND(C19*$C$18+D19*$D$18,0)</f>
        <v>#N/A</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5">
      <c r="A20" s="2407"/>
      <c r="B20" s="1229" t="s">
        <v>2138</v>
      </c>
      <c r="C20" s="146">
        <f ca="1">SUMIF(INDIRECT("'"&amp;C4&amp;"'"&amp;"!A:A"),结果表车!B20,INDIRECT("'"&amp;C4&amp;"'"&amp;"!B:B"))</f>
        <v>10093</v>
      </c>
      <c r="D20" s="147">
        <f ca="1">SUMIF(INDIRECT("'"&amp;D4&amp;"'"&amp;"!A:A"),结果表车!B20,INDIRECT("'"&amp;D4&amp;"'"&amp;"!B:B"))</f>
        <v>0</v>
      </c>
      <c r="E20" s="2407"/>
      <c r="F20" s="1229" t="s">
        <v>2138</v>
      </c>
      <c r="G20" s="148">
        <f ca="1">ROUND(C20*$C$18+D20*$D$18,0)</f>
        <v>5047</v>
      </c>
      <c r="H20" s="970" t="s">
        <v>2139</v>
      </c>
      <c r="I20" s="138"/>
    </row>
    <row r="21" spans="1:35" ht="15" customHeight="1" thickBot="1">
      <c r="A21" s="990"/>
      <c r="B21" s="2408" t="s">
        <v>2140</v>
      </c>
      <c r="C21" s="784" t="e">
        <f ca="1">ROUND(C19*10000/L19,0)</f>
        <v>#DIV/0!</v>
      </c>
      <c r="D21" s="785" t="e">
        <f ca="1">ROUND(D19*10000/L19,0)</f>
        <v>#N/A</v>
      </c>
      <c r="E21" s="990"/>
      <c r="F21" s="2408" t="s">
        <v>2140</v>
      </c>
      <c r="G21" s="149" t="e">
        <f ca="1">ROUND(G19*10000/L19,0)</f>
        <v>#N/A</v>
      </c>
      <c r="H21" s="2409" t="s">
        <v>2139</v>
      </c>
      <c r="I21" s="138"/>
    </row>
    <row r="22" spans="1:35" ht="15" thickBot="1">
      <c r="A22" s="2254" t="s">
        <v>2141</v>
      </c>
      <c r="B22" s="2410"/>
      <c r="C22" s="2411"/>
      <c r="D22" s="786" t="e">
        <f ca="1">IF(C19&lt;D19,D19/C19-1,C19/D19-1)</f>
        <v>#N/A</v>
      </c>
      <c r="E22" s="138"/>
      <c r="F22" s="138"/>
      <c r="G22" s="138"/>
      <c r="H22" s="138"/>
      <c r="I22" s="138"/>
    </row>
    <row r="23" spans="1:35" ht="13.5" thickBot="1">
      <c r="A23" s="2388"/>
      <c r="B23" s="2388"/>
      <c r="C23" s="2388"/>
      <c r="D23" s="2388"/>
      <c r="E23" s="138"/>
      <c r="F23" s="138"/>
      <c r="G23" s="138"/>
      <c r="H23" s="138"/>
      <c r="I23" s="138"/>
    </row>
    <row r="24" spans="1:35" ht="14.25">
      <c r="A24" s="3531" t="s">
        <v>2142</v>
      </c>
      <c r="B24" s="2405" t="s">
        <v>2134</v>
      </c>
      <c r="C24" s="145">
        <f>IF(B30=0,0,D30)</f>
        <v>0</v>
      </c>
      <c r="D24" s="2412"/>
      <c r="E24" s="138"/>
      <c r="F24" s="138"/>
      <c r="G24" s="138"/>
      <c r="H24" s="138"/>
      <c r="I24" s="138"/>
    </row>
    <row r="25" spans="1:35" ht="14.25">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t="e">
        <f ca="1">IF(D32="总价",G19-C24,G20-C25)</f>
        <v>#N/A</v>
      </c>
      <c r="D32" s="2419" t="s">
        <v>2149</v>
      </c>
      <c r="E32" s="138"/>
      <c r="F32" s="138"/>
      <c r="G32" s="138"/>
      <c r="H32" s="138"/>
      <c r="I32" s="138"/>
    </row>
    <row r="33" spans="1:15" ht="15">
      <c r="A33" s="947" t="s">
        <v>2150</v>
      </c>
      <c r="B33" s="2420"/>
      <c r="C33" s="2421" t="s">
        <v>3636</v>
      </c>
      <c r="D33" s="2422" t="s">
        <v>3614</v>
      </c>
      <c r="E33" s="2423" t="s">
        <v>2151</v>
      </c>
      <c r="F33" s="3002" t="str">
        <f>IF(D32="楼面单价","取值（单价）","取值（总价）")</f>
        <v>取值（总价）</v>
      </c>
      <c r="G33" s="138"/>
      <c r="H33" s="138"/>
      <c r="I33" s="138"/>
    </row>
    <row r="34" spans="1:15" ht="15">
      <c r="A34" s="2425"/>
      <c r="B34" s="2426"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7" t="s">
        <v>2153</v>
      </c>
      <c r="F34" s="1716"/>
      <c r="G34" s="138"/>
      <c r="H34" s="138"/>
      <c r="I34" s="138"/>
    </row>
    <row r="35" spans="1:15" ht="15.75" thickBot="1">
      <c r="A35" s="2428"/>
      <c r="B35" s="2429"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0" t="s">
        <v>2155</v>
      </c>
      <c r="F35" s="163"/>
      <c r="G35" s="138"/>
      <c r="H35" s="138"/>
      <c r="I35" s="138"/>
    </row>
    <row r="36" spans="1:15" ht="15.75" thickBot="1">
      <c r="A36" s="3549" t="s">
        <v>2156</v>
      </c>
      <c r="B36" s="2431" t="s">
        <v>2157</v>
      </c>
      <c r="C36" s="154"/>
      <c r="D36" s="2432"/>
      <c r="E36" s="2433"/>
      <c r="F36" s="2434"/>
      <c r="G36" s="138"/>
      <c r="H36" s="138"/>
      <c r="I36" s="138"/>
    </row>
    <row r="37" spans="1:15" ht="15.75" thickBot="1">
      <c r="A37" s="3550"/>
      <c r="B37" s="2240" t="s">
        <v>2158</v>
      </c>
      <c r="C37" s="156"/>
      <c r="D37" s="1373"/>
      <c r="E37" s="1373"/>
      <c r="F37" s="2434"/>
      <c r="G37" s="138"/>
      <c r="H37" s="138"/>
      <c r="I37" s="138"/>
    </row>
    <row r="38" spans="1:15" ht="15.75" thickBot="1">
      <c r="A38" s="3551"/>
      <c r="B38" s="2435" t="s">
        <v>2159</v>
      </c>
      <c r="C38" s="723"/>
      <c r="D38" s="2436" t="s">
        <v>2160</v>
      </c>
      <c r="E38" s="1373"/>
      <c r="F38" s="2434"/>
      <c r="G38" s="138"/>
      <c r="H38" s="138"/>
      <c r="I38" s="138"/>
    </row>
    <row r="39" spans="1:15" ht="15">
      <c r="A39" s="2407" t="s">
        <v>2161</v>
      </c>
      <c r="B39" s="2437" t="s">
        <v>2144</v>
      </c>
      <c r="C39" s="2438" t="s">
        <v>2145</v>
      </c>
      <c r="D39" s="2438" t="s">
        <v>2164</v>
      </c>
      <c r="E39" s="2439" t="s">
        <v>2146</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t="e">
        <f ca="1">ROUND(H101*F45,0)</f>
        <v>#N/A</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3011">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3011">
        <v>2</v>
      </c>
      <c r="K47" s="3588" t="s">
        <v>2181</v>
      </c>
      <c r="L47" s="3588"/>
      <c r="M47" s="3609">
        <f>'数据-取费表'!B2</f>
        <v>43840</v>
      </c>
      <c r="N47" s="3609"/>
      <c r="O47" s="3609"/>
    </row>
    <row r="48" spans="1:15" ht="25.5">
      <c r="A48" s="3556" t="s">
        <v>2182</v>
      </c>
      <c r="B48" s="3539"/>
      <c r="C48" s="3539"/>
      <c r="D48" s="140">
        <f>IF(H48="情况1",0,IF(H48="情况2",D52,IF(H48="情况3",D53,IF(H48="情况4",D54))))</f>
        <v>0</v>
      </c>
      <c r="E48" s="3020" t="str">
        <f>IF(H48="情况4","(销售额-原购置价)×税（费）率","销售额×税（费）率")</f>
        <v>销售额×税（费）率</v>
      </c>
      <c r="F48" s="175" t="str">
        <f>IF(H48="情况1","免征",'数据-取费表'!B41)</f>
        <v>免征</v>
      </c>
      <c r="G48" s="2451" t="s">
        <v>2183</v>
      </c>
      <c r="H48" s="2452" t="s">
        <v>2184</v>
      </c>
      <c r="I48" s="2450"/>
      <c r="J48" s="3011">
        <v>3</v>
      </c>
      <c r="K48" s="3588" t="s">
        <v>2185</v>
      </c>
      <c r="L48" s="3588"/>
      <c r="M48" s="3610" t="e">
        <f ca="1">H101</f>
        <v>#N/A</v>
      </c>
      <c r="N48" s="3610"/>
      <c r="O48" s="3610"/>
    </row>
    <row r="49" spans="1:35" ht="25.5" customHeight="1">
      <c r="A49" s="176" t="s">
        <v>2186</v>
      </c>
      <c r="B49" s="3524" t="s">
        <v>2187</v>
      </c>
      <c r="C49" s="3524"/>
      <c r="D49" s="177">
        <v>0</v>
      </c>
      <c r="E49" s="23" t="s">
        <v>2188</v>
      </c>
      <c r="F49" s="28" t="s">
        <v>34</v>
      </c>
      <c r="G49" s="3594"/>
      <c r="H49" s="138"/>
      <c r="I49" s="2453"/>
      <c r="J49" s="3011">
        <v>4</v>
      </c>
      <c r="K49" s="3588" t="str">
        <f>IF(项目基本情况!E8="房地产抵押价值","房地产抵押价值","抵押担保权已注销时的房地产抵押价值")</f>
        <v>房地产抵押价值</v>
      </c>
      <c r="L49" s="3588"/>
      <c r="M49" s="3610" t="e">
        <f ca="1">IF(项目基本情况!E8="房地产抵押价值",H107,H109)</f>
        <v>#N/A</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3004" t="s">
        <v>2192</v>
      </c>
      <c r="K51" s="3588" t="s">
        <v>2193</v>
      </c>
      <c r="L51" s="3588"/>
      <c r="M51" s="3004" t="s">
        <v>2194</v>
      </c>
      <c r="N51" s="3004" t="s">
        <v>2195</v>
      </c>
      <c r="O51" s="3004" t="s">
        <v>2196</v>
      </c>
    </row>
    <row r="52" spans="1:35" ht="24" customHeight="1">
      <c r="A52" s="183" t="s">
        <v>2197</v>
      </c>
      <c r="B52" s="3524" t="s">
        <v>2198</v>
      </c>
      <c r="C52" s="3524"/>
      <c r="D52" s="182" t="e">
        <f ca="1">ROUND(D45*'数据-取费表'!B41/(1+'数据-取费表'!C42),0)</f>
        <v>#N/A</v>
      </c>
      <c r="E52" s="11" t="s">
        <v>2199</v>
      </c>
      <c r="F52" s="184">
        <f>'数据-取费表'!B41</f>
        <v>5.6000000000000001E-2</v>
      </c>
      <c r="G52" s="2455"/>
      <c r="H52" s="138"/>
      <c r="I52" s="2453"/>
      <c r="J52" s="3011">
        <v>1</v>
      </c>
      <c r="K52" s="3589" t="s">
        <v>2200</v>
      </c>
      <c r="L52" s="3589"/>
      <c r="M52" s="1731">
        <f>D48</f>
        <v>0</v>
      </c>
      <c r="N52" s="3011" t="str">
        <f>E48</f>
        <v>销售额×税（费）率</v>
      </c>
      <c r="O52" s="1732" t="str">
        <f>F48</f>
        <v>免征</v>
      </c>
    </row>
    <row r="53" spans="1:35" ht="12" customHeight="1">
      <c r="A53" s="183" t="s">
        <v>2201</v>
      </c>
      <c r="B53" s="3547" t="s">
        <v>2202</v>
      </c>
      <c r="C53" s="3548"/>
      <c r="D53" s="182" t="e">
        <f ca="1">ROUND(D45*'数据-取费表'!B41/(1+'数据-取费表'!C42),0)</f>
        <v>#N/A</v>
      </c>
      <c r="E53" s="11" t="s">
        <v>2199</v>
      </c>
      <c r="F53" s="184">
        <f>'数据-取费表'!B41</f>
        <v>5.6000000000000001E-2</v>
      </c>
      <c r="G53" s="2455"/>
      <c r="H53" s="138"/>
      <c r="I53" s="2453"/>
      <c r="J53" s="3011">
        <v>2</v>
      </c>
      <c r="K53" s="3589" t="s">
        <v>2203</v>
      </c>
      <c r="L53" s="3589"/>
      <c r="M53" s="1731" t="e">
        <f t="shared" ref="M53:O54" ca="1" si="0">D55</f>
        <v>#N/A</v>
      </c>
      <c r="N53" s="3011" t="str">
        <f t="shared" si="0"/>
        <v>销售额×税（费）率</v>
      </c>
      <c r="O53" s="1732">
        <f t="shared" si="0"/>
        <v>5.0000000000000001E-4</v>
      </c>
    </row>
    <row r="54" spans="1:35" ht="12" customHeight="1">
      <c r="A54" s="183" t="s">
        <v>2204</v>
      </c>
      <c r="B54" s="3547" t="s">
        <v>2205</v>
      </c>
      <c r="C54" s="3548"/>
      <c r="D54" s="182" t="e">
        <f ca="1">C68</f>
        <v>#N/A</v>
      </c>
      <c r="E54" s="30" t="s">
        <v>2206</v>
      </c>
      <c r="F54" s="184">
        <f>'数据-取费表'!B41</f>
        <v>5.6000000000000001E-2</v>
      </c>
      <c r="G54" s="2455"/>
      <c r="H54" s="2456"/>
      <c r="I54" s="2453"/>
      <c r="J54" s="3011">
        <v>3</v>
      </c>
      <c r="K54" s="3589" t="s">
        <v>2207</v>
      </c>
      <c r="L54" s="3589"/>
      <c r="M54" s="1731" t="e">
        <f t="shared" ca="1" si="0"/>
        <v>#N/A</v>
      </c>
      <c r="N54" s="3011" t="str">
        <f t="shared" si="0"/>
        <v>增值额×税（费）率</v>
      </c>
      <c r="O54" s="1733" t="str">
        <f t="shared" si="0"/>
        <v>——</v>
      </c>
    </row>
    <row r="55" spans="1:35" ht="24" customHeight="1">
      <c r="A55" s="3538" t="s">
        <v>2208</v>
      </c>
      <c r="B55" s="3539"/>
      <c r="C55" s="3539"/>
      <c r="D55" s="185" t="e">
        <f ca="1">IF(H55="个人住宅",0,ROUND(D45*I55,0))</f>
        <v>#N/A</v>
      </c>
      <c r="E55" s="11" t="s">
        <v>2209</v>
      </c>
      <c r="F55" s="184">
        <f>IF(H55="正常",I55,"免征")</f>
        <v>5.0000000000000001E-4</v>
      </c>
      <c r="G55" s="2455"/>
      <c r="H55" s="2452" t="s">
        <v>2210</v>
      </c>
      <c r="I55" s="186">
        <f>'数据-取费表'!B49</f>
        <v>5.0000000000000001E-4</v>
      </c>
      <c r="J55" s="3011" t="str">
        <f>IF(H59="非个人房产","",4)</f>
        <v/>
      </c>
      <c r="K55" s="3589" t="str">
        <f>IF(H59="非个人房产","——","个人所得税")</f>
        <v>——</v>
      </c>
      <c r="L55" s="3589"/>
      <c r="M55" s="1734" t="str">
        <f>D59</f>
        <v>——</v>
      </c>
      <c r="N55" s="3012" t="str">
        <f>E59</f>
        <v>——</v>
      </c>
      <c r="O55" s="1735" t="str">
        <f>F59</f>
        <v>——</v>
      </c>
    </row>
    <row r="56" spans="1:35" ht="24.75">
      <c r="A56" s="3538" t="s">
        <v>2211</v>
      </c>
      <c r="B56" s="3539"/>
      <c r="C56" s="3539"/>
      <c r="D56" s="185" t="e">
        <f ca="1">IF(H56="个人住宅",D57,D58)</f>
        <v>#N/A</v>
      </c>
      <c r="E56" s="11" t="s">
        <v>2212</v>
      </c>
      <c r="F56" s="184" t="str">
        <f>IF(H56="正常",F58,"免征")</f>
        <v>——</v>
      </c>
      <c r="G56" s="2457" t="s">
        <v>2213</v>
      </c>
      <c r="H56" s="2458" t="s">
        <v>2210</v>
      </c>
      <c r="I56" s="2459"/>
      <c r="J56" s="3011"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2.75">
      <c r="A57" s="183" t="s">
        <v>2186</v>
      </c>
      <c r="B57" s="3554" t="s">
        <v>2214</v>
      </c>
      <c r="C57" s="3563"/>
      <c r="D57" s="187">
        <v>0</v>
      </c>
      <c r="E57" s="23" t="s">
        <v>2188</v>
      </c>
      <c r="F57" s="155"/>
      <c r="G57" s="2455"/>
      <c r="H57" s="2459"/>
      <c r="I57" s="2459"/>
      <c r="J57" s="3589">
        <f>IF(AND(J55="",J56=""),4,IF(项目基本情况!K6="上海银行",结果表车!J56+1,结果表车!J55+1))</f>
        <v>4</v>
      </c>
      <c r="K57" s="3589" t="s">
        <v>2215</v>
      </c>
      <c r="L57" s="2460" t="s">
        <v>2216</v>
      </c>
      <c r="M57" s="1736"/>
      <c r="N57" s="1737">
        <f ca="1">SUMIF(M52:M56,"&lt;9e307")</f>
        <v>0</v>
      </c>
      <c r="O57" s="2461"/>
      <c r="P57" s="1730" t="e">
        <f ca="1">N57/M49</f>
        <v>#N/A</v>
      </c>
    </row>
    <row r="58" spans="1:35" ht="24.75">
      <c r="A58" s="183" t="s">
        <v>2197</v>
      </c>
      <c r="B58" s="3554" t="s">
        <v>2217</v>
      </c>
      <c r="C58" s="3555"/>
      <c r="D58" s="185" t="e">
        <f ca="1">IF(H58="转让取得",C81,C97)</f>
        <v>#N/A</v>
      </c>
      <c r="E58" s="11" t="s">
        <v>2212</v>
      </c>
      <c r="F58" s="24" t="s">
        <v>34</v>
      </c>
      <c r="G58" s="2455"/>
      <c r="H58" s="2458" t="s">
        <v>2218</v>
      </c>
      <c r="I58" s="2459"/>
      <c r="J58" s="3589"/>
      <c r="K58" s="3589"/>
      <c r="L58" s="2460" t="s">
        <v>2219</v>
      </c>
      <c r="M58" s="1738"/>
      <c r="N58" s="2462" t="str">
        <f ca="1">NUMBERSTRING(INT(N57*10000),2)&amp;"元整"</f>
        <v>零元整</v>
      </c>
      <c r="O58" s="2463"/>
    </row>
    <row r="59" spans="1:35" ht="24.75"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3011" t="s">
        <v>2216</v>
      </c>
      <c r="M59" s="1739"/>
      <c r="N59" s="1740" t="e">
        <f ca="1">M49-N57</f>
        <v>#N/A</v>
      </c>
      <c r="O59" s="2465"/>
    </row>
    <row r="60" spans="1:35" ht="12" customHeight="1">
      <c r="A60" s="2466"/>
      <c r="B60" s="2388"/>
      <c r="C60" s="2388"/>
      <c r="D60" s="2388"/>
      <c r="E60" s="2140"/>
      <c r="F60" s="2459"/>
      <c r="G60" s="2459"/>
      <c r="H60" s="2467"/>
      <c r="I60" s="138"/>
      <c r="J60" s="3591"/>
      <c r="K60" s="3589"/>
      <c r="L60" s="2460" t="s">
        <v>2219</v>
      </c>
      <c r="M60" s="1738"/>
      <c r="N60" s="2462" t="e">
        <f ca="1">NUMBERSTRING(INT(N59*10000),2)&amp;"元整"</f>
        <v>#N/A</v>
      </c>
      <c r="O60" s="2463"/>
    </row>
    <row r="61" spans="1:35" ht="13.5" thickBot="1">
      <c r="A61" s="3536" t="s">
        <v>2223</v>
      </c>
      <c r="B61" s="3536"/>
      <c r="C61" s="3536"/>
      <c r="D61" s="3536"/>
      <c r="E61" s="3536"/>
      <c r="F61" s="2459"/>
      <c r="G61" s="2459"/>
      <c r="H61" s="2467"/>
      <c r="I61" s="138"/>
      <c r="J61" s="3011">
        <f>J59+1</f>
        <v>6</v>
      </c>
      <c r="K61" s="3589" t="s">
        <v>2224</v>
      </c>
      <c r="L61" s="3589"/>
      <c r="M61" s="1741"/>
      <c r="N61" s="1742" t="e">
        <f ca="1">ROUND(N59*10000/'数据-汇总表'!E3,0)</f>
        <v>#N/A</v>
      </c>
      <c r="O61" s="2468"/>
    </row>
    <row r="62" spans="1:35" ht="12.75">
      <c r="A62" s="3552" t="s">
        <v>2225</v>
      </c>
      <c r="B62" s="3553"/>
      <c r="C62" s="3016"/>
      <c r="D62" s="3016" t="s">
        <v>2226</v>
      </c>
      <c r="E62" s="192" t="s">
        <v>2227</v>
      </c>
      <c r="F62" s="2459"/>
      <c r="G62" s="2459"/>
      <c r="H62" s="2467"/>
      <c r="I62" s="138"/>
    </row>
    <row r="63" spans="1:35" ht="12.75">
      <c r="A63" s="203" t="s">
        <v>775</v>
      </c>
      <c r="B63" s="193" t="s">
        <v>2228</v>
      </c>
      <c r="C63" s="194" t="e">
        <f ca="1">ROUND((C64+C65)/(1+'数据-取费表'!C42),0)</f>
        <v>#N/A</v>
      </c>
      <c r="D63" s="195"/>
      <c r="E63" s="196"/>
      <c r="F63" s="2459"/>
      <c r="G63" s="2459"/>
      <c r="H63" s="2467"/>
      <c r="I63" s="138"/>
      <c r="J63" s="3614" t="s">
        <v>2229</v>
      </c>
      <c r="K63" s="3007" t="s">
        <v>2230</v>
      </c>
      <c r="L63" s="1729" t="e">
        <f ca="1">IF(M49&gt;10000,M49*0.5%,IF(AND(M49&gt;1000,M49&lt;=10000),M49*1%,IF(AND(M49&gt;100,M49&lt;=1000),M49*3%,IF(AND(M49&gt;10,M49&lt;=100),M49*5%,M49*8%))))</f>
        <v>#N/A</v>
      </c>
      <c r="M63" s="24" t="e">
        <f ca="1">ROUND(L63,1)</f>
        <v>#N/A</v>
      </c>
      <c r="Z63" s="2393"/>
      <c r="AI63" s="2394"/>
    </row>
    <row r="64" spans="1:35" ht="14.25" customHeight="1">
      <c r="A64" s="197" t="s">
        <v>770</v>
      </c>
      <c r="B64" s="198" t="s">
        <v>2231</v>
      </c>
      <c r="C64" s="199" t="e">
        <f ca="1">D45</f>
        <v>#N/A</v>
      </c>
      <c r="D64" s="200" t="s">
        <v>32</v>
      </c>
      <c r="E64" s="201"/>
      <c r="F64" s="2459"/>
      <c r="G64" s="2459"/>
      <c r="H64" s="2467"/>
      <c r="I64" s="138"/>
      <c r="J64" s="3614"/>
      <c r="K64" s="3007"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3"/>
      <c r="AI64" s="2394"/>
    </row>
    <row r="65" spans="1:35" ht="14.25" customHeight="1">
      <c r="A65" s="197" t="s">
        <v>771</v>
      </c>
      <c r="B65" s="198" t="s">
        <v>2234</v>
      </c>
      <c r="C65" s="202"/>
      <c r="D65" s="200"/>
      <c r="E65" s="201"/>
      <c r="F65" s="2459"/>
      <c r="G65" s="2459"/>
      <c r="H65" s="2467"/>
      <c r="I65" s="138"/>
      <c r="J65" s="3614"/>
      <c r="K65" s="3007" t="s">
        <v>2235</v>
      </c>
      <c r="L65" s="1729" t="e">
        <f ca="1">IF(M49&gt;1000,M49*0.1%,IF(AND(M49&gt;500,M49&lt;=1000),M49*0.5%,IF(AND(M49&gt;50,M49&lt;=500),M49*1%,IF(AND(M49&gt;1,M49&lt;=50),M49*1.5%))))</f>
        <v>#N/A</v>
      </c>
      <c r="M65" s="24" t="e">
        <f t="shared" ca="1" si="1"/>
        <v>#N/A</v>
      </c>
      <c r="N65" s="138" t="s">
        <v>2233</v>
      </c>
      <c r="Z65" s="2393"/>
      <c r="AI65" s="2394"/>
    </row>
    <row r="66" spans="1:35" ht="14.25" customHeight="1">
      <c r="A66" s="203" t="s">
        <v>772</v>
      </c>
      <c r="B66" s="204" t="s">
        <v>2236</v>
      </c>
      <c r="C66" s="205"/>
      <c r="D66" s="206" t="s">
        <v>32</v>
      </c>
      <c r="E66" s="1753" t="s">
        <v>1360</v>
      </c>
      <c r="F66" s="2459"/>
      <c r="G66" s="2459"/>
      <c r="H66" s="2467"/>
      <c r="I66" s="138"/>
      <c r="J66" s="3614"/>
      <c r="K66" s="3007" t="s">
        <v>2237</v>
      </c>
      <c r="L66" s="1729" t="e">
        <f ca="1">M49*0.5%</f>
        <v>#N/A</v>
      </c>
      <c r="M66" s="24" t="e">
        <f ca="1">IF(L66&gt;0.5,0.5,ROUND(L66,0))</f>
        <v>#N/A</v>
      </c>
      <c r="N66" s="138" t="s">
        <v>2238</v>
      </c>
      <c r="Z66" s="2393"/>
      <c r="AI66" s="2394"/>
    </row>
    <row r="67" spans="1:35" ht="14.25" customHeight="1">
      <c r="A67" s="203" t="s">
        <v>773</v>
      </c>
      <c r="B67" s="204" t="s">
        <v>2239</v>
      </c>
      <c r="C67" s="207" t="e">
        <f ca="1">C63-C66</f>
        <v>#N/A</v>
      </c>
      <c r="D67" s="200" t="s">
        <v>32</v>
      </c>
      <c r="E67" s="201"/>
      <c r="F67" s="2459"/>
      <c r="G67" s="2459"/>
      <c r="H67" s="2467"/>
      <c r="I67" s="138"/>
      <c r="J67" s="3614"/>
      <c r="K67" s="3007"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3"/>
      <c r="AI67" s="2394"/>
    </row>
    <row r="68" spans="1:35" ht="14.25" customHeight="1" thickBot="1">
      <c r="A68" s="208" t="s">
        <v>774</v>
      </c>
      <c r="B68" s="209" t="s">
        <v>2241</v>
      </c>
      <c r="C68" s="210" t="e">
        <f ca="1">IF(C67&lt;=0,0,ROUND(C67*D68,0))</f>
        <v>#N/A</v>
      </c>
      <c r="D68" s="211">
        <f>'数据-取费表'!B41</f>
        <v>5.6000000000000001E-2</v>
      </c>
      <c r="E68" s="212"/>
      <c r="F68" s="2459"/>
      <c r="G68" s="2459"/>
      <c r="H68" s="2467"/>
      <c r="I68" s="138"/>
      <c r="J68" s="3614"/>
      <c r="K68" s="3007" t="s">
        <v>2242</v>
      </c>
      <c r="L68" s="1729" t="e">
        <f ca="1">IF(M49&gt;10000,M49*0.5%,IF(AND(M49&gt;5000,M49&lt;=10000),M49*1%,IF(AND(M49&gt;1000,M49&lt;=5000),M49*2%,IF(AND(M49&gt;200,M49&lt;=1000),M49*3%,M49*5%))))</f>
        <v>#N/A</v>
      </c>
      <c r="M68" s="24" t="e">
        <f ca="1">ROUND(L68,1)</f>
        <v>#N/A</v>
      </c>
      <c r="Z68" s="2393"/>
      <c r="AI68" s="2394"/>
    </row>
    <row r="69" spans="1:35" s="2416" customFormat="1" ht="16.5" customHeight="1">
      <c r="A69" s="2470"/>
      <c r="B69" s="2471"/>
      <c r="C69" s="2472"/>
      <c r="D69" s="2473"/>
      <c r="E69" s="2474"/>
      <c r="F69" s="2140"/>
      <c r="G69" s="2140"/>
      <c r="H69" s="2139"/>
      <c r="I69" s="2388"/>
      <c r="J69" s="3614"/>
      <c r="K69" s="3007" t="s">
        <v>2243</v>
      </c>
      <c r="L69" s="2475"/>
      <c r="M69" s="24" t="e">
        <f ca="1">ROUND(SUM(M63:M68),0)</f>
        <v>#N/A</v>
      </c>
      <c r="N69" s="1730" t="e">
        <f ca="1">M69/M49</f>
        <v>#N/A</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52" t="s">
        <v>2225</v>
      </c>
      <c r="B71" s="3553"/>
      <c r="C71" s="3016"/>
      <c r="D71" s="3016"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t="e">
        <f ca="1">ROUND(D45/(1+'数据-取费表'!C42),0)</f>
        <v>#N/A</v>
      </c>
      <c r="D72" s="200" t="s">
        <v>32</v>
      </c>
      <c r="E72" s="3018"/>
      <c r="F72" s="3017"/>
      <c r="G72" s="3017"/>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t="e">
        <f ca="1">C74+C78</f>
        <v>#N/A</v>
      </c>
      <c r="D73" s="200" t="s">
        <v>32</v>
      </c>
      <c r="E73" s="3018"/>
      <c r="F73" s="3017"/>
      <c r="G73" s="3017"/>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3018"/>
      <c r="F74" s="3017"/>
      <c r="G74" s="3017"/>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3008" t="s">
        <v>2255</v>
      </c>
      <c r="F77" s="224"/>
      <c r="G77" s="2483" t="s">
        <v>2256</v>
      </c>
      <c r="H77" s="3019"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#N/A</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773</v>
      </c>
      <c r="B79" s="204" t="s">
        <v>2259</v>
      </c>
      <c r="C79" s="207" t="e">
        <f ca="1">C72-C73</f>
        <v>#N/A</v>
      </c>
      <c r="D79" s="200" t="s">
        <v>32</v>
      </c>
      <c r="E79" s="3018"/>
      <c r="F79" s="3017"/>
      <c r="G79" s="3017"/>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#N/A</v>
      </c>
      <c r="D80" s="200" t="s">
        <v>32</v>
      </c>
      <c r="E80" s="3008" t="e">
        <f ca="1">IF(C80&gt;=200%,"增值额超过扣除项目金额200%",IF(C80&gt;=100%,"增值额超过扣除项目金额100%，未超过200%",IF(C80&gt;=50%,"增值额超过扣除项目金额50%，未超过100%",IF(C80&lt;50%,"增值额未超过扣除项目金额50%"))))</f>
        <v>#N/A</v>
      </c>
      <c r="F80" s="3017"/>
      <c r="G80" s="3017"/>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52" t="s">
        <v>2225</v>
      </c>
      <c r="B84" s="3553"/>
      <c r="C84" s="3016"/>
      <c r="D84" s="3016"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t="e">
        <f ca="1">ROUND(D45/(1+'数据-取费表'!C42),0)</f>
        <v>#N/A</v>
      </c>
      <c r="D85" s="200" t="s">
        <v>32</v>
      </c>
      <c r="E85" s="3018"/>
      <c r="F85" s="3017"/>
      <c r="G85" s="3017"/>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t="e">
        <f ca="1">IF(H88="仅含出让金",C87+C90+C91+C92+C93+C94,C87+C91+C92+C93+C94)</f>
        <v>#N/A</v>
      </c>
      <c r="D86" s="235"/>
      <c r="E86" s="3018"/>
      <c r="F86" s="3017"/>
      <c r="G86" s="3017"/>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0</v>
      </c>
      <c r="D87" s="226"/>
      <c r="E87" s="3013"/>
      <c r="F87" s="3014"/>
      <c r="G87" s="3014"/>
      <c r="H87" s="3015"/>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c r="D88" s="226"/>
      <c r="E88" s="237" t="s">
        <v>2265</v>
      </c>
      <c r="F88" s="3014"/>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0</v>
      </c>
      <c r="D89" s="226">
        <f>'数据-取费表'!B48+'数据-取费表'!B49</f>
        <v>3.0499999999999999E-2</v>
      </c>
      <c r="E89" s="237" t="s">
        <v>2267</v>
      </c>
      <c r="F89" s="3014"/>
      <c r="G89" s="3014"/>
      <c r="H89" s="3015"/>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3014"/>
      <c r="G90" s="3014"/>
      <c r="H90" s="3015"/>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33" t="s">
        <v>2271</v>
      </c>
      <c r="F91" s="3534"/>
      <c r="G91" s="3534"/>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#N/A</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773</v>
      </c>
      <c r="B95" s="204" t="s">
        <v>2259</v>
      </c>
      <c r="C95" s="207" t="e">
        <f ca="1">ROUND(C85-C86,0)</f>
        <v>#N/A</v>
      </c>
      <c r="D95" s="200" t="s">
        <v>32</v>
      </c>
      <c r="E95" s="3018"/>
      <c r="F95" s="3017"/>
      <c r="G95" s="3017"/>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#N/A</v>
      </c>
      <c r="D96" s="200" t="s">
        <v>32</v>
      </c>
      <c r="E96" s="3008" t="e">
        <f ca="1">IF(C96&gt;=200%,"增值额超过扣除项目金额200%",IF(C96&gt;=100%,"增值额超过扣除项目金额100%，未超过200%",IF(C96&gt;=50%,"增值额超过扣除项目金额50%，未超过100%",IF(C96&lt;50%,"增值额未超过扣除项目金额50%"))))</f>
        <v>#N/A</v>
      </c>
      <c r="F96" s="3017"/>
      <c r="G96" s="3017"/>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比较法-车位</v>
      </c>
      <c r="D101" s="733" t="str">
        <f>D4</f>
        <v>收益法车库</v>
      </c>
      <c r="E101" s="3611" t="s">
        <v>2284</v>
      </c>
      <c r="F101" s="3565"/>
      <c r="G101" s="2490" t="s">
        <v>2285</v>
      </c>
      <c r="H101" s="1035" t="e">
        <f ca="1">H118</f>
        <v>#N/A</v>
      </c>
      <c r="I101" s="138"/>
    </row>
    <row r="102" spans="1:35" ht="18.75" customHeight="1">
      <c r="A102" s="3567" t="s">
        <v>2286</v>
      </c>
      <c r="B102" s="2490" t="s">
        <v>2285</v>
      </c>
      <c r="C102" s="732">
        <f ca="1">C19</f>
        <v>0</v>
      </c>
      <c r="D102" s="733" t="e">
        <f ca="1">D19</f>
        <v>#N/A</v>
      </c>
      <c r="E102" s="3611"/>
      <c r="F102" s="3565"/>
      <c r="G102" s="2490" t="s">
        <v>2287</v>
      </c>
      <c r="H102" s="371" t="e">
        <f ca="1">I118</f>
        <v>#N/A</v>
      </c>
      <c r="I102" s="138"/>
    </row>
    <row r="103" spans="1:35" ht="42.75" customHeight="1">
      <c r="A103" s="3567"/>
      <c r="B103" s="2490" t="s">
        <v>2287</v>
      </c>
      <c r="C103" s="734">
        <f ca="1">C20</f>
        <v>10093</v>
      </c>
      <c r="D103" s="735">
        <f ca="1">D20</f>
        <v>0</v>
      </c>
      <c r="E103" s="3606" t="s">
        <v>2288</v>
      </c>
      <c r="F103" s="3607"/>
      <c r="G103" s="2491" t="s">
        <v>2289</v>
      </c>
      <c r="H103" s="1035">
        <f>IF(D36="正常操作",H104+H105+H106,H105+H106)</f>
        <v>0</v>
      </c>
      <c r="I103" s="138"/>
    </row>
    <row r="104" spans="1:35" ht="18.75" customHeight="1">
      <c r="A104" s="3567" t="s">
        <v>2290</v>
      </c>
      <c r="B104" s="2492" t="s">
        <v>2285</v>
      </c>
      <c r="C104" s="736" t="e">
        <f ca="1">H118</f>
        <v>#N/A</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t="e">
        <f ca="1">I118</f>
        <v>#N/A</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t="e">
        <f ca="1">IF(E107="——","——",H101-H103)</f>
        <v>#N/A</v>
      </c>
      <c r="I107" s="138"/>
    </row>
    <row r="108" spans="1:35" ht="18.75" customHeight="1">
      <c r="A108" s="138"/>
      <c r="B108" s="138"/>
      <c r="C108" s="138"/>
      <c r="D108" s="138"/>
      <c r="E108" s="3564"/>
      <c r="F108" s="3565"/>
      <c r="G108" s="2490" t="s">
        <v>2287</v>
      </c>
      <c r="H108" s="371" t="e">
        <f ca="1">ROUND(H107*10000/'数据-汇总表'!E3,0)</f>
        <v>#N/A</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2300</v>
      </c>
      <c r="G116" s="3578"/>
      <c r="H116" s="3466" t="s">
        <v>2301</v>
      </c>
      <c r="I116" s="3466"/>
    </row>
    <row r="117" spans="1:11" ht="18.75" customHeight="1">
      <c r="A117" s="3466"/>
      <c r="B117" s="3571"/>
      <c r="C117" s="3571"/>
      <c r="D117" s="3003" t="s">
        <v>2302</v>
      </c>
      <c r="E117" s="3003" t="s">
        <v>2303</v>
      </c>
      <c r="F117" s="3003" t="s">
        <v>2302</v>
      </c>
      <c r="G117" s="3003" t="s">
        <v>2304</v>
      </c>
      <c r="H117" s="3003" t="s">
        <v>2302</v>
      </c>
      <c r="I117" s="3003" t="s">
        <v>2304</v>
      </c>
    </row>
    <row r="118" spans="1:11" ht="24.75" customHeight="1">
      <c r="A118" s="2496" t="str">
        <f>项目基本情况!S2</f>
        <v>山东省聊城万达欢乐小镇（万达广场）二层房地产</v>
      </c>
      <c r="B118" s="3003">
        <f>M18</f>
        <v>0</v>
      </c>
      <c r="C118" s="3003">
        <f>M19</f>
        <v>0</v>
      </c>
      <c r="D118" s="3003" t="e">
        <f ca="1">ROUND(IF(D32="总价",C34,E118*B118/10000),0)</f>
        <v>#N/A</v>
      </c>
      <c r="E118" s="3003" t="e">
        <f ca="1">ROUND(IF(C33="自定义",IF(D32="楼面单价",C34,D118*10000/B118),I118-G118),0)</f>
        <v>#N/A</v>
      </c>
      <c r="F118" s="3003" t="e">
        <f ca="1">ROUND(IF(D32="总价",C35,G118*B118/10000),0)</f>
        <v>#N/A</v>
      </c>
      <c r="G118" s="3003" t="e">
        <f ca="1">ROUND(IF(D32="楼面单价",C35,F118*10000/B118),0)</f>
        <v>#N/A</v>
      </c>
      <c r="H118" s="3003" t="e">
        <f ca="1">ROUND(IF(D32="总价",C32,I118*B118/10000),0)</f>
        <v>#N/A</v>
      </c>
      <c r="I118" s="3003" t="e">
        <f ca="1">ROUND(IF(D32="楼面单价",C32,H118*10000/B118),0)</f>
        <v>#N/A</v>
      </c>
    </row>
    <row r="119" spans="1:11" ht="18.75" customHeight="1">
      <c r="A119" s="3466" t="s">
        <v>2305</v>
      </c>
      <c r="B119" s="3466"/>
      <c r="C119" s="3466"/>
      <c r="D119" s="3575" t="e">
        <f ca="1">NUMBERSTRING(INT(D118*10000),2)&amp;"元整"</f>
        <v>#N/A</v>
      </c>
      <c r="E119" s="3577"/>
      <c r="F119" s="3575" t="e">
        <f ca="1">NUMBERSTRING(INT(F118*10000),2)&amp;"元整"</f>
        <v>#N/A</v>
      </c>
      <c r="G119" s="3577"/>
      <c r="H119" s="3575" t="e">
        <f ca="1">NUMBERSTRING(INT(H118*10000),2)&amp;"元整"</f>
        <v>#N/A</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t="e">
        <f ca="1">H107</f>
        <v>#N/A</v>
      </c>
      <c r="E122" s="3604"/>
      <c r="F122" s="3604"/>
      <c r="G122" s="3604"/>
      <c r="H122" s="3604"/>
      <c r="I122" s="3605"/>
    </row>
    <row r="123" spans="1:11" ht="18.75" customHeight="1">
      <c r="A123" s="3466" t="s">
        <v>2305</v>
      </c>
      <c r="B123" s="3466"/>
      <c r="C123" s="3466"/>
      <c r="D123" s="3575" t="e">
        <f ca="1">NUMBERSTRING(INT(D122*10000),2)&amp;"元整"</f>
        <v>#N/A</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3397</v>
      </c>
      <c r="C1" s="1600" t="s">
        <v>2518</v>
      </c>
      <c r="D1" s="1601" t="s">
        <v>48</v>
      </c>
      <c r="E1" s="1602"/>
      <c r="F1" s="2556"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8" t="s">
        <v>70</v>
      </c>
      <c r="D2" s="1107" t="e">
        <f ca="1">SUMIF(INDIRECT("'"&amp;F2&amp;"'"&amp;"!A:A"),"承租人权益价值",INDIRECT("'"&amp;F2&amp;"'"&amp;"!c:c"))</f>
        <v>#REF!</v>
      </c>
      <c r="E2" s="2559" t="s">
        <v>2316</v>
      </c>
      <c r="F2" s="2560" t="s">
        <v>3618</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10093</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ht="15">
      <c r="A5" s="403"/>
      <c r="B5" s="404"/>
      <c r="C5" s="3742" t="s">
        <v>3621</v>
      </c>
      <c r="D5" s="3738"/>
      <c r="E5" s="3743" t="s">
        <v>3620</v>
      </c>
      <c r="F5" s="3740"/>
      <c r="G5" s="3742" t="s">
        <v>3623</v>
      </c>
      <c r="H5" s="3738"/>
      <c r="I5" s="3742" t="s">
        <v>3624</v>
      </c>
      <c r="J5" s="3738"/>
      <c r="K5" s="609"/>
      <c r="L5" s="1113"/>
      <c r="M5" s="1114"/>
      <c r="N5" s="1114"/>
      <c r="O5" s="1114"/>
      <c r="P5" s="3689"/>
      <c r="Q5" s="3690"/>
      <c r="R5" s="3695"/>
      <c r="S5" s="3696"/>
      <c r="T5" s="3695"/>
      <c r="U5" s="3696"/>
      <c r="V5" s="3678"/>
      <c r="W5" s="3678"/>
      <c r="X5" s="1793"/>
      <c r="Y5" s="3695"/>
      <c r="Z5" s="3696"/>
      <c r="AA5" s="3681"/>
      <c r="AB5" s="3681"/>
      <c r="AC5" s="3681"/>
    </row>
    <row r="6" spans="1:29" ht="15.7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75" thickBot="1">
      <c r="A7" s="407" t="s">
        <v>2536</v>
      </c>
      <c r="B7" s="408"/>
      <c r="C7" s="409">
        <f>'数据-取费表'!B2</f>
        <v>43840</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703" t="s">
        <v>2537</v>
      </c>
      <c r="Q7" s="3705"/>
      <c r="R7" s="766" t="s">
        <v>17</v>
      </c>
      <c r="S7" s="767">
        <f t="shared" ref="S7:S14" si="0">F7</f>
        <v>99.8</v>
      </c>
      <c r="T7" s="766" t="s">
        <v>17</v>
      </c>
      <c r="U7" s="767">
        <f t="shared" ref="U7:U14" si="1">H7</f>
        <v>99.6</v>
      </c>
      <c r="V7" s="766" t="s">
        <v>17</v>
      </c>
      <c r="W7" s="767">
        <f t="shared" ref="W7:W14" si="2">J7</f>
        <v>99.8</v>
      </c>
      <c r="X7" s="768"/>
      <c r="Y7" s="3703" t="s">
        <v>2537</v>
      </c>
      <c r="Z7" s="3704"/>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703" t="s">
        <v>2540</v>
      </c>
      <c r="Q8" s="3704"/>
      <c r="R8" s="766" t="s">
        <v>17</v>
      </c>
      <c r="S8" s="767">
        <f t="shared" si="0"/>
        <v>100</v>
      </c>
      <c r="T8" s="766" t="s">
        <v>17</v>
      </c>
      <c r="U8" s="767">
        <f t="shared" si="1"/>
        <v>100</v>
      </c>
      <c r="V8" s="766" t="s">
        <v>17</v>
      </c>
      <c r="W8" s="767">
        <f t="shared" si="2"/>
        <v>100</v>
      </c>
      <c r="X8" s="768"/>
      <c r="Y8" s="3703" t="s">
        <v>2540</v>
      </c>
      <c r="Z8" s="3704"/>
      <c r="AA8" s="769">
        <f t="shared" ref="AA8:AA36" si="3">D8/F8</f>
        <v>1</v>
      </c>
      <c r="AB8" s="769">
        <f t="shared" ref="AB8:AB36" si="4">D8/H8</f>
        <v>1</v>
      </c>
      <c r="AC8" s="769">
        <f t="shared" ref="AC8:AC36" si="5">D8/J8</f>
        <v>1</v>
      </c>
    </row>
    <row r="9" spans="1:29" s="117" customFormat="1">
      <c r="A9" s="68" t="s">
        <v>2541</v>
      </c>
      <c r="B9" s="639" t="s">
        <v>2542</v>
      </c>
      <c r="C9" s="2964" t="s">
        <v>3622</v>
      </c>
      <c r="D9" s="135">
        <v>100</v>
      </c>
      <c r="E9" s="418" t="s">
        <v>3397</v>
      </c>
      <c r="F9" s="135">
        <f>SUMIF(53:53,E9,54:54)-SUMIF(53:53,C9,54:54)+100</f>
        <v>100</v>
      </c>
      <c r="G9" s="418" t="s">
        <v>3397</v>
      </c>
      <c r="H9" s="135">
        <f>SUMIF(53:53,G9,54:54)-SUMIF(53:53,C9,54:54)+100</f>
        <v>100</v>
      </c>
      <c r="I9" s="418" t="s">
        <v>3397</v>
      </c>
      <c r="J9" s="135">
        <f>SUMIF(53:53,I9,54:54)-SUMIF(53:53,C9,54:54)+100</f>
        <v>100</v>
      </c>
      <c r="K9" s="610"/>
      <c r="L9" s="1115"/>
      <c r="M9" s="1116"/>
      <c r="N9" s="1116"/>
      <c r="O9" s="1116"/>
      <c r="P9" s="3664" t="s">
        <v>2543</v>
      </c>
      <c r="Q9" s="1775" t="str">
        <f t="shared" ref="Q9:Q14" si="6">B9</f>
        <v>用途</v>
      </c>
      <c r="R9" s="766" t="s">
        <v>17</v>
      </c>
      <c r="S9" s="767">
        <f t="shared" si="0"/>
        <v>100</v>
      </c>
      <c r="T9" s="766" t="s">
        <v>17</v>
      </c>
      <c r="U9" s="767">
        <f t="shared" si="1"/>
        <v>100</v>
      </c>
      <c r="V9" s="766" t="s">
        <v>17</v>
      </c>
      <c r="W9" s="767">
        <f t="shared" si="2"/>
        <v>100</v>
      </c>
      <c r="X9" s="768"/>
      <c r="Y9" s="3466" t="s">
        <v>2544</v>
      </c>
      <c r="Z9" s="55" t="str">
        <f t="shared" ref="Z9:Z14" si="7">Q9</f>
        <v>用途</v>
      </c>
      <c r="AA9" s="769">
        <f t="shared" si="3"/>
        <v>1</v>
      </c>
      <c r="AB9" s="769">
        <f t="shared" si="4"/>
        <v>1</v>
      </c>
      <c r="AC9" s="769">
        <f t="shared" si="5"/>
        <v>1</v>
      </c>
    </row>
    <row r="10" spans="1:29" s="426" customFormat="1" ht="27">
      <c r="A10" s="640"/>
      <c r="B10" s="641" t="s">
        <v>2545</v>
      </c>
      <c r="C10" s="422" t="s">
        <v>3625</v>
      </c>
      <c r="D10" s="136">
        <v>100</v>
      </c>
      <c r="E10" s="422" t="s">
        <v>3626</v>
      </c>
      <c r="F10" s="136">
        <f>SUMIF(55:55,E10,56:56)-SUMIF(55:55,C10,56:56)+100</f>
        <v>101</v>
      </c>
      <c r="G10" s="422" t="s">
        <v>3626</v>
      </c>
      <c r="H10" s="136">
        <f>SUMIF(55:55,G10,56:56)-SUMIF(55:55,C10,56:56)+100</f>
        <v>101</v>
      </c>
      <c r="I10" s="422" t="s">
        <v>3626</v>
      </c>
      <c r="J10" s="136">
        <f>SUMIF(55:55,I10,56:56)-SUMIF(55:55,C10,56:56)+100</f>
        <v>101</v>
      </c>
      <c r="K10" s="611">
        <v>1</v>
      </c>
      <c r="L10" s="1118"/>
      <c r="M10" s="1119"/>
      <c r="N10" s="1119"/>
      <c r="O10" s="1119"/>
      <c r="P10" s="3664"/>
      <c r="Q10" s="1775" t="str">
        <f t="shared" si="6"/>
        <v>土地使用年限（年）</v>
      </c>
      <c r="R10" s="766" t="s">
        <v>17</v>
      </c>
      <c r="S10" s="767">
        <f t="shared" si="0"/>
        <v>101</v>
      </c>
      <c r="T10" s="766" t="s">
        <v>17</v>
      </c>
      <c r="U10" s="767">
        <f t="shared" si="1"/>
        <v>101</v>
      </c>
      <c r="V10" s="766" t="s">
        <v>17</v>
      </c>
      <c r="W10" s="767">
        <f t="shared" si="2"/>
        <v>101</v>
      </c>
      <c r="X10" s="768"/>
      <c r="Y10" s="3466"/>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64"/>
      <c r="Q11" s="1775">
        <f t="shared" si="6"/>
        <v>111</v>
      </c>
      <c r="R11" s="766" t="s">
        <v>17</v>
      </c>
      <c r="S11" s="767">
        <f t="shared" si="0"/>
        <v>100</v>
      </c>
      <c r="T11" s="766" t="s">
        <v>17</v>
      </c>
      <c r="U11" s="767">
        <f t="shared" si="1"/>
        <v>100</v>
      </c>
      <c r="V11" s="766" t="s">
        <v>17</v>
      </c>
      <c r="W11" s="767">
        <f t="shared" si="2"/>
        <v>100</v>
      </c>
      <c r="X11" s="768"/>
      <c r="Y11" s="3466"/>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14">
      <c r="A14" s="400" t="s">
        <v>2547</v>
      </c>
      <c r="B14" s="628" t="s">
        <v>2697</v>
      </c>
      <c r="C14" s="2665"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71" t="s">
        <v>2548</v>
      </c>
      <c r="Q14" s="1790" t="str">
        <f t="shared" si="6"/>
        <v>交通便捷度</v>
      </c>
      <c r="R14" s="770" t="s">
        <v>17</v>
      </c>
      <c r="S14" s="771">
        <f t="shared" si="0"/>
        <v>98</v>
      </c>
      <c r="T14" s="770" t="s">
        <v>17</v>
      </c>
      <c r="U14" s="771">
        <f t="shared" si="1"/>
        <v>100</v>
      </c>
      <c r="V14" s="770" t="s">
        <v>17</v>
      </c>
      <c r="W14" s="771">
        <f t="shared" si="2"/>
        <v>98</v>
      </c>
      <c r="X14" s="1793"/>
      <c r="Y14" s="3671"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672"/>
      <c r="Q15" s="1790"/>
      <c r="R15" s="770"/>
      <c r="S15" s="771"/>
      <c r="T15" s="770"/>
      <c r="U15" s="771"/>
      <c r="V15" s="770"/>
      <c r="W15" s="771"/>
      <c r="X15" s="1793"/>
      <c r="Y15" s="3672"/>
      <c r="Z15" s="1794"/>
      <c r="AA15" s="1791">
        <v>1</v>
      </c>
      <c r="AB15" s="1791">
        <v>1</v>
      </c>
      <c r="AC15" s="1791">
        <v>1</v>
      </c>
    </row>
    <row r="16" spans="1:29" ht="42.75">
      <c r="A16" s="403"/>
      <c r="B16" s="630" t="s">
        <v>2676</v>
      </c>
      <c r="C16" s="2579"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72"/>
      <c r="Q16" s="1790" t="str">
        <f>B16</f>
        <v>公共配套设施</v>
      </c>
      <c r="R16" s="770" t="s">
        <v>17</v>
      </c>
      <c r="S16" s="771">
        <f>F16</f>
        <v>98</v>
      </c>
      <c r="T16" s="770" t="s">
        <v>17</v>
      </c>
      <c r="U16" s="771">
        <f>H16</f>
        <v>100</v>
      </c>
      <c r="V16" s="770" t="s">
        <v>17</v>
      </c>
      <c r="W16" s="771">
        <f>J16</f>
        <v>98</v>
      </c>
      <c r="X16" s="1793"/>
      <c r="Y16" s="3672"/>
      <c r="Z16" s="1794" t="str">
        <f>Q16</f>
        <v>公共配套设施</v>
      </c>
      <c r="AA16" s="1791">
        <f t="shared" si="3"/>
        <v>1.0204081632653061</v>
      </c>
      <c r="AB16" s="1791">
        <f t="shared" si="4"/>
        <v>1</v>
      </c>
      <c r="AC16" s="1791">
        <f t="shared" si="5"/>
        <v>1.0204081632653061</v>
      </c>
    </row>
    <row r="17" spans="1:29" ht="15">
      <c r="A17" s="403"/>
      <c r="B17" s="631"/>
      <c r="C17" s="2580" t="s">
        <v>3058</v>
      </c>
      <c r="D17" s="447"/>
      <c r="E17" s="446" t="s">
        <v>3059</v>
      </c>
      <c r="F17" s="448"/>
      <c r="G17" s="2580" t="s">
        <v>3058</v>
      </c>
      <c r="H17" s="447"/>
      <c r="I17" s="446" t="s">
        <v>3059</v>
      </c>
      <c r="J17" s="447"/>
      <c r="K17" s="614"/>
      <c r="L17" s="1123"/>
      <c r="M17" s="1114"/>
      <c r="N17" s="1114"/>
      <c r="O17" s="1114"/>
      <c r="P17" s="3672"/>
      <c r="Q17" s="1790"/>
      <c r="R17" s="770"/>
      <c r="S17" s="771"/>
      <c r="T17" s="770"/>
      <c r="U17" s="771"/>
      <c r="V17" s="770"/>
      <c r="W17" s="771"/>
      <c r="X17" s="1793"/>
      <c r="Y17" s="3672"/>
      <c r="Z17" s="1794"/>
      <c r="AA17" s="1791">
        <v>1</v>
      </c>
      <c r="AB17" s="1791">
        <v>1</v>
      </c>
      <c r="AC17" s="1791">
        <v>1</v>
      </c>
    </row>
    <row r="18" spans="1:29" ht="42.75">
      <c r="A18" s="403"/>
      <c r="B18" s="632" t="s">
        <v>2677</v>
      </c>
      <c r="C18" s="2579"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72"/>
      <c r="Q18" s="1790" t="str">
        <f>B18</f>
        <v>基础设施水平</v>
      </c>
      <c r="R18" s="770" t="s">
        <v>17</v>
      </c>
      <c r="S18" s="771">
        <f>F18</f>
        <v>100</v>
      </c>
      <c r="T18" s="770" t="s">
        <v>17</v>
      </c>
      <c r="U18" s="771">
        <f>H18</f>
        <v>100</v>
      </c>
      <c r="V18" s="770" t="s">
        <v>17</v>
      </c>
      <c r="W18" s="771">
        <f>J18</f>
        <v>100</v>
      </c>
      <c r="X18" s="1793"/>
      <c r="Y18" s="3672"/>
      <c r="Z18" s="1794" t="str">
        <f>Q18</f>
        <v>基础设施水平</v>
      </c>
      <c r="AA18" s="1791">
        <f t="shared" ref="AA18" si="8">D18/F18</f>
        <v>1</v>
      </c>
      <c r="AB18" s="1791">
        <f t="shared" ref="AB18" si="9">D18/H18</f>
        <v>1</v>
      </c>
      <c r="AC18" s="1791">
        <f t="shared" ref="AC18" si="10">D18/J18</f>
        <v>1</v>
      </c>
    </row>
    <row r="19" spans="1:29" ht="15">
      <c r="A19" s="403"/>
      <c r="B19" s="632"/>
      <c r="C19" s="2580" t="s">
        <v>3097</v>
      </c>
      <c r="D19" s="449"/>
      <c r="E19" s="2580" t="s">
        <v>3097</v>
      </c>
      <c r="F19" s="452"/>
      <c r="G19" s="2580" t="s">
        <v>3097</v>
      </c>
      <c r="H19" s="447"/>
      <c r="I19" s="2580" t="s">
        <v>3097</v>
      </c>
      <c r="J19" s="447"/>
      <c r="K19" s="1365"/>
      <c r="L19" s="1123"/>
      <c r="M19" s="1114"/>
      <c r="N19" s="1114"/>
      <c r="O19" s="1114"/>
      <c r="P19" s="3672"/>
      <c r="Q19" s="1790"/>
      <c r="R19" s="770"/>
      <c r="S19" s="771"/>
      <c r="T19" s="770"/>
      <c r="U19" s="771"/>
      <c r="V19" s="770"/>
      <c r="W19" s="771"/>
      <c r="X19" s="1793"/>
      <c r="Y19" s="3672"/>
      <c r="Z19" s="1794"/>
      <c r="AA19" s="1791">
        <v>1</v>
      </c>
      <c r="AB19" s="1791">
        <v>1</v>
      </c>
      <c r="AC19" s="1791">
        <v>1</v>
      </c>
    </row>
    <row r="20" spans="1:29" ht="85.5">
      <c r="A20" s="403"/>
      <c r="B20" s="630" t="s">
        <v>2698</v>
      </c>
      <c r="C20" s="2579"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72"/>
      <c r="Q20" s="1790" t="str">
        <f>B20</f>
        <v>自然及人文环境</v>
      </c>
      <c r="R20" s="770" t="s">
        <v>17</v>
      </c>
      <c r="S20" s="771">
        <f>F20</f>
        <v>98</v>
      </c>
      <c r="T20" s="770" t="s">
        <v>17</v>
      </c>
      <c r="U20" s="771">
        <f>H20</f>
        <v>100</v>
      </c>
      <c r="V20" s="770" t="s">
        <v>17</v>
      </c>
      <c r="W20" s="771">
        <f>J20</f>
        <v>98</v>
      </c>
      <c r="X20" s="1793"/>
      <c r="Y20" s="3672"/>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672"/>
      <c r="Q21" s="1790"/>
      <c r="R21" s="770"/>
      <c r="S21" s="771"/>
      <c r="T21" s="770"/>
      <c r="U21" s="771"/>
      <c r="V21" s="770"/>
      <c r="W21" s="771"/>
      <c r="X21" s="1793"/>
      <c r="Y21" s="3672"/>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72"/>
      <c r="Q22" s="1790" t="str">
        <f>B22</f>
        <v>楼层</v>
      </c>
      <c r="R22" s="770" t="s">
        <v>17</v>
      </c>
      <c r="S22" s="771">
        <f>F22</f>
        <v>100</v>
      </c>
      <c r="T22" s="770" t="s">
        <v>17</v>
      </c>
      <c r="U22" s="771">
        <f>H22</f>
        <v>100</v>
      </c>
      <c r="V22" s="770" t="s">
        <v>17</v>
      </c>
      <c r="W22" s="771">
        <f>J22</f>
        <v>100</v>
      </c>
      <c r="X22" s="1793"/>
      <c r="Y22" s="3672"/>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72"/>
      <c r="Q23" s="1790">
        <f>B23</f>
        <v>111</v>
      </c>
      <c r="R23" s="770" t="s">
        <v>17</v>
      </c>
      <c r="S23" s="771">
        <f>F23</f>
        <v>100</v>
      </c>
      <c r="T23" s="770" t="s">
        <v>17</v>
      </c>
      <c r="U23" s="771">
        <f>H23</f>
        <v>100</v>
      </c>
      <c r="V23" s="770" t="s">
        <v>17</v>
      </c>
      <c r="W23" s="771">
        <f>J23</f>
        <v>100</v>
      </c>
      <c r="X23" s="1793"/>
      <c r="Y23" s="3672"/>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72"/>
      <c r="Q24" s="1790">
        <f t="shared" ref="Q24:Q36" si="11">B24</f>
        <v>111</v>
      </c>
      <c r="R24" s="770" t="s">
        <v>17</v>
      </c>
      <c r="S24" s="771">
        <f>F24</f>
        <v>100</v>
      </c>
      <c r="T24" s="770" t="s">
        <v>17</v>
      </c>
      <c r="U24" s="771">
        <f>H24</f>
        <v>100</v>
      </c>
      <c r="V24" s="770" t="s">
        <v>17</v>
      </c>
      <c r="W24" s="771">
        <f>J24</f>
        <v>100</v>
      </c>
      <c r="X24" s="1793"/>
      <c r="Y24" s="3672"/>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72"/>
      <c r="Q25" s="1775">
        <f t="shared" si="11"/>
        <v>111</v>
      </c>
      <c r="R25" s="766" t="s">
        <v>17</v>
      </c>
      <c r="S25" s="767">
        <f>F25</f>
        <v>100</v>
      </c>
      <c r="T25" s="766" t="s">
        <v>17</v>
      </c>
      <c r="U25" s="767">
        <f>H25</f>
        <v>100</v>
      </c>
      <c r="V25" s="766" t="s">
        <v>17</v>
      </c>
      <c r="W25" s="767">
        <f>J25</f>
        <v>100</v>
      </c>
      <c r="X25" s="768"/>
      <c r="Y25" s="3672"/>
      <c r="Z25" s="55">
        <f>Q25</f>
        <v>111</v>
      </c>
      <c r="AA25" s="1791">
        <f>D25/F25</f>
        <v>1</v>
      </c>
      <c r="AB25" s="1791">
        <f>D25/H25</f>
        <v>1</v>
      </c>
      <c r="AC25" s="1791">
        <f>D25/J25</f>
        <v>1</v>
      </c>
    </row>
    <row r="26" spans="1:29" ht="28.5">
      <c r="A26" s="651" t="s">
        <v>2551</v>
      </c>
      <c r="B26" s="70" t="s">
        <v>2700</v>
      </c>
      <c r="C26" s="2666" t="str">
        <f>B1</f>
        <v>车库</v>
      </c>
      <c r="D26" s="447">
        <v>100</v>
      </c>
      <c r="E26" s="446" t="s">
        <v>3397</v>
      </c>
      <c r="F26" s="448">
        <f>SUMIF(79:79,E26,80:80)-SUMIF(79:79,C26,80:80)+100</f>
        <v>100</v>
      </c>
      <c r="G26" s="446" t="s">
        <v>3397</v>
      </c>
      <c r="H26" s="447">
        <f>SUMIF(79:79,G26,80:80)-SUMIF(79:79,C26,80:80)+100</f>
        <v>100</v>
      </c>
      <c r="I26" s="446" t="s">
        <v>3397</v>
      </c>
      <c r="J26" s="447">
        <f>SUMIF(79:79,I26,80:80)-SUMIF(79:79,C26,80:80)+100</f>
        <v>100</v>
      </c>
      <c r="K26" s="611">
        <v>2</v>
      </c>
      <c r="L26" s="1123"/>
      <c r="M26" s="1114"/>
      <c r="N26" s="1114"/>
      <c r="O26" s="1114"/>
      <c r="P26" s="3741"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76"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76"/>
      <c r="Q27" s="772" t="str">
        <f t="shared" si="11"/>
        <v>项目停车位配比</v>
      </c>
      <c r="R27" s="773" t="s">
        <v>17</v>
      </c>
      <c r="S27" s="774">
        <f t="shared" si="12"/>
        <v>100</v>
      </c>
      <c r="T27" s="773" t="s">
        <v>17</v>
      </c>
      <c r="U27" s="774">
        <f t="shared" si="13"/>
        <v>100</v>
      </c>
      <c r="V27" s="773" t="s">
        <v>17</v>
      </c>
      <c r="W27" s="774">
        <f t="shared" si="14"/>
        <v>100</v>
      </c>
      <c r="X27" s="775"/>
      <c r="Y27" s="3676"/>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676"/>
      <c r="Q28" s="1790" t="str">
        <f t="shared" si="11"/>
        <v>公共部分装修</v>
      </c>
      <c r="R28" s="770" t="s">
        <v>17</v>
      </c>
      <c r="S28" s="771">
        <f t="shared" si="12"/>
        <v>100</v>
      </c>
      <c r="T28" s="770" t="s">
        <v>17</v>
      </c>
      <c r="U28" s="771">
        <f t="shared" si="13"/>
        <v>100</v>
      </c>
      <c r="V28" s="770" t="s">
        <v>17</v>
      </c>
      <c r="W28" s="771">
        <f t="shared" si="14"/>
        <v>100</v>
      </c>
      <c r="X28" s="1793"/>
      <c r="Y28" s="3676"/>
      <c r="Z28" s="1794" t="str">
        <f t="shared" si="15"/>
        <v>公共部分装修</v>
      </c>
      <c r="AA28" s="1791">
        <f t="shared" si="3"/>
        <v>1</v>
      </c>
      <c r="AB28" s="1791">
        <f t="shared" si="4"/>
        <v>1</v>
      </c>
      <c r="AC28" s="1791">
        <f t="shared" si="5"/>
        <v>1</v>
      </c>
    </row>
    <row r="29" spans="1:29" ht="15">
      <c r="A29" s="655"/>
      <c r="B29" s="653" t="s">
        <v>2703</v>
      </c>
      <c r="C29" s="468">
        <f>'数据-取费表'!Y6</f>
        <v>0.98</v>
      </c>
      <c r="D29" s="434">
        <v>100</v>
      </c>
      <c r="E29" s="473">
        <v>0.9</v>
      </c>
      <c r="F29" s="460">
        <f>LOOKUP(E29,86:86,87:87)-LOOKUP(C29,86:86,87:87)+100</f>
        <v>100</v>
      </c>
      <c r="G29" s="473">
        <v>0.9</v>
      </c>
      <c r="H29" s="460">
        <f>LOOKUP(G29,86:86,87:87)-LOOKUP(C29,86:86,87:87)+100</f>
        <v>100</v>
      </c>
      <c r="I29" s="473">
        <v>0.9</v>
      </c>
      <c r="J29" s="434">
        <f>LOOKUP(I29,86:86,87:87)-LOOKUP(C29,86:86,87:87)+100</f>
        <v>100</v>
      </c>
      <c r="K29" s="611">
        <v>1</v>
      </c>
      <c r="L29" s="1123"/>
      <c r="M29" s="1114"/>
      <c r="N29" s="1114"/>
      <c r="O29" s="1114"/>
      <c r="P29" s="3676"/>
      <c r="Q29" s="1790" t="str">
        <f t="shared" si="11"/>
        <v>成新率</v>
      </c>
      <c r="R29" s="770" t="s">
        <v>17</v>
      </c>
      <c r="S29" s="771">
        <f t="shared" si="12"/>
        <v>100</v>
      </c>
      <c r="T29" s="770" t="s">
        <v>17</v>
      </c>
      <c r="U29" s="771">
        <f t="shared" si="13"/>
        <v>100</v>
      </c>
      <c r="V29" s="770" t="s">
        <v>17</v>
      </c>
      <c r="W29" s="771">
        <f t="shared" si="14"/>
        <v>100</v>
      </c>
      <c r="X29" s="1793"/>
      <c r="Y29" s="3676"/>
      <c r="Z29" s="1794" t="str">
        <f t="shared" si="15"/>
        <v>成新率</v>
      </c>
      <c r="AA29" s="1791">
        <f t="shared" si="3"/>
        <v>1</v>
      </c>
      <c r="AB29" s="1791">
        <f t="shared" si="4"/>
        <v>1</v>
      </c>
      <c r="AC29" s="1791">
        <f t="shared" si="5"/>
        <v>1</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676"/>
      <c r="Q30" s="1790" t="str">
        <f t="shared" si="11"/>
        <v>物业等级</v>
      </c>
      <c r="R30" s="770" t="s">
        <v>17</v>
      </c>
      <c r="S30" s="771">
        <f t="shared" si="12"/>
        <v>100</v>
      </c>
      <c r="T30" s="770" t="s">
        <v>17</v>
      </c>
      <c r="U30" s="771">
        <f t="shared" si="13"/>
        <v>100</v>
      </c>
      <c r="V30" s="770" t="s">
        <v>17</v>
      </c>
      <c r="W30" s="771">
        <f t="shared" si="14"/>
        <v>100</v>
      </c>
      <c r="X30" s="1793"/>
      <c r="Y30" s="3676"/>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76"/>
      <c r="Q31" s="1775" t="str">
        <f t="shared" si="11"/>
        <v>停车位面积</v>
      </c>
      <c r="R31" s="766" t="s">
        <v>17</v>
      </c>
      <c r="S31" s="767">
        <f t="shared" si="12"/>
        <v>100</v>
      </c>
      <c r="T31" s="766" t="s">
        <v>17</v>
      </c>
      <c r="U31" s="767">
        <f t="shared" si="13"/>
        <v>100</v>
      </c>
      <c r="V31" s="766" t="s">
        <v>17</v>
      </c>
      <c r="W31" s="767">
        <f t="shared" si="14"/>
        <v>100</v>
      </c>
      <c r="X31" s="768"/>
      <c r="Y31" s="3676"/>
      <c r="Z31" s="55" t="str">
        <f t="shared" si="15"/>
        <v>停车位面积</v>
      </c>
      <c r="AA31" s="769">
        <f t="shared" si="3"/>
        <v>1</v>
      </c>
      <c r="AB31" s="769">
        <f t="shared" si="4"/>
        <v>1</v>
      </c>
      <c r="AC31" s="769">
        <f t="shared" si="5"/>
        <v>1</v>
      </c>
    </row>
    <row r="32" spans="1:29" ht="15">
      <c r="A32" s="655"/>
      <c r="B32" s="653" t="s">
        <v>2706</v>
      </c>
      <c r="C32" s="459" t="s">
        <v>3629</v>
      </c>
      <c r="D32" s="434">
        <v>100</v>
      </c>
      <c r="E32" s="459" t="s">
        <v>3629</v>
      </c>
      <c r="F32" s="460">
        <f>SUMIF(93:93,E32,94:94)-SUMIF(93:93,C32,94:94)+100</f>
        <v>100</v>
      </c>
      <c r="G32" s="459" t="s">
        <v>3629</v>
      </c>
      <c r="H32" s="434">
        <f>SUMIF(93:93,G32,94:94)-SUMIF(93:93,C32,94:94)+100</f>
        <v>100</v>
      </c>
      <c r="I32" s="459" t="s">
        <v>3629</v>
      </c>
      <c r="J32" s="434">
        <f>SUMIF(93:93,I32,94:94)-SUMIF(93:93,C32,94:94)+100</f>
        <v>100</v>
      </c>
      <c r="K32" s="611">
        <v>2</v>
      </c>
      <c r="L32" s="1123"/>
      <c r="M32" s="1114"/>
      <c r="N32" s="1114"/>
      <c r="O32" s="1114"/>
      <c r="P32" s="3676" t="s">
        <v>2553</v>
      </c>
      <c r="Q32" s="1790" t="str">
        <f t="shared" si="11"/>
        <v>车位类型</v>
      </c>
      <c r="R32" s="770" t="s">
        <v>17</v>
      </c>
      <c r="S32" s="771">
        <f t="shared" si="12"/>
        <v>100</v>
      </c>
      <c r="T32" s="770" t="s">
        <v>17</v>
      </c>
      <c r="U32" s="771">
        <f t="shared" si="13"/>
        <v>100</v>
      </c>
      <c r="V32" s="770" t="s">
        <v>17</v>
      </c>
      <c r="W32" s="771">
        <f t="shared" si="14"/>
        <v>100</v>
      </c>
      <c r="X32" s="1793"/>
      <c r="Y32" s="3676"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76"/>
      <c r="Q33" s="1790" t="str">
        <f t="shared" si="11"/>
        <v>是否直接入户</v>
      </c>
      <c r="R33" s="770" t="s">
        <v>17</v>
      </c>
      <c r="S33" s="771">
        <f t="shared" si="12"/>
        <v>100</v>
      </c>
      <c r="T33" s="770" t="s">
        <v>17</v>
      </c>
      <c r="U33" s="771">
        <f t="shared" si="13"/>
        <v>100</v>
      </c>
      <c r="V33" s="770" t="s">
        <v>17</v>
      </c>
      <c r="W33" s="771">
        <f t="shared" si="14"/>
        <v>100</v>
      </c>
      <c r="X33" s="1793"/>
      <c r="Y33" s="3676"/>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76"/>
      <c r="Q34" s="1790">
        <f t="shared" si="11"/>
        <v>111</v>
      </c>
      <c r="R34" s="770" t="s">
        <v>17</v>
      </c>
      <c r="S34" s="771">
        <f t="shared" si="12"/>
        <v>100</v>
      </c>
      <c r="T34" s="770" t="s">
        <v>17</v>
      </c>
      <c r="U34" s="771">
        <f t="shared" si="13"/>
        <v>100</v>
      </c>
      <c r="V34" s="770" t="s">
        <v>17</v>
      </c>
      <c r="W34" s="771">
        <f t="shared" si="14"/>
        <v>100</v>
      </c>
      <c r="X34" s="1793"/>
      <c r="Y34" s="3676"/>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76"/>
      <c r="Q35" s="772">
        <f t="shared" si="11"/>
        <v>111</v>
      </c>
      <c r="R35" s="773" t="s">
        <v>17</v>
      </c>
      <c r="S35" s="774">
        <f t="shared" si="12"/>
        <v>100</v>
      </c>
      <c r="T35" s="773" t="s">
        <v>17</v>
      </c>
      <c r="U35" s="774">
        <f t="shared" si="13"/>
        <v>100</v>
      </c>
      <c r="V35" s="773" t="s">
        <v>17</v>
      </c>
      <c r="W35" s="774">
        <f t="shared" si="14"/>
        <v>100</v>
      </c>
      <c r="X35" s="775"/>
      <c r="Y35" s="3676"/>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76"/>
      <c r="Q36" s="1790">
        <f t="shared" si="11"/>
        <v>111</v>
      </c>
      <c r="R36" s="770" t="s">
        <v>17</v>
      </c>
      <c r="S36" s="771">
        <f t="shared" si="12"/>
        <v>100</v>
      </c>
      <c r="T36" s="770" t="s">
        <v>17</v>
      </c>
      <c r="U36" s="771">
        <f t="shared" si="13"/>
        <v>100</v>
      </c>
      <c r="V36" s="770" t="s">
        <v>17</v>
      </c>
      <c r="W36" s="771">
        <f t="shared" si="14"/>
        <v>100</v>
      </c>
      <c r="X36" s="1793"/>
      <c r="Y36" s="3676"/>
      <c r="Z36" s="1794">
        <f t="shared" si="15"/>
        <v>111</v>
      </c>
      <c r="AA36" s="1791">
        <f t="shared" si="3"/>
        <v>1</v>
      </c>
      <c r="AB36" s="1791">
        <f t="shared" si="4"/>
        <v>1</v>
      </c>
      <c r="AC36" s="1791">
        <f t="shared" si="5"/>
        <v>1</v>
      </c>
    </row>
    <row r="37" spans="1:29" ht="15">
      <c r="A37" s="478" t="s">
        <v>2708</v>
      </c>
      <c r="B37" s="2667" t="s">
        <v>3619</v>
      </c>
      <c r="C37" s="1388" t="s">
        <v>1</v>
      </c>
      <c r="D37" s="1389"/>
      <c r="E37" s="1390">
        <v>9367</v>
      </c>
      <c r="F37" s="1391"/>
      <c r="G37" s="1392">
        <v>9384</v>
      </c>
      <c r="H37" s="1393"/>
      <c r="I37" s="1390">
        <v>10510</v>
      </c>
      <c r="J37" s="1393"/>
      <c r="K37" s="618"/>
      <c r="L37" s="1126"/>
      <c r="M37" s="1127"/>
      <c r="N37" s="1114"/>
      <c r="O37" s="1127"/>
      <c r="P37" s="3664" t="str">
        <f>A37</f>
        <v>成交单价</v>
      </c>
      <c r="Q37" s="3664"/>
      <c r="R37" s="3665">
        <f>E37</f>
        <v>9367</v>
      </c>
      <c r="S37" s="3665"/>
      <c r="T37" s="3665">
        <f>G37</f>
        <v>9384</v>
      </c>
      <c r="U37" s="3665"/>
      <c r="V37" s="3665">
        <f>I37</f>
        <v>10510</v>
      </c>
      <c r="W37" s="3665"/>
      <c r="X37" s="755"/>
      <c r="Y37" s="777"/>
      <c r="Z37" s="755"/>
      <c r="AA37" s="755"/>
      <c r="AB37" s="755"/>
      <c r="AC37" s="755"/>
    </row>
    <row r="38" spans="1:29" ht="15.75" thickBot="1">
      <c r="A38" s="485" t="s">
        <v>2709</v>
      </c>
      <c r="B38" s="486" t="str">
        <f>B37</f>
        <v>元/平方米</v>
      </c>
      <c r="C38" s="1394">
        <f>R39</f>
        <v>10093</v>
      </c>
      <c r="D38" s="1395"/>
      <c r="E38" s="1396">
        <f>R38</f>
        <v>9873</v>
      </c>
      <c r="F38" s="1396"/>
      <c r="G38" s="1394">
        <f>T38</f>
        <v>9328</v>
      </c>
      <c r="H38" s="1395"/>
      <c r="I38" s="1396">
        <f>V38</f>
        <v>11078</v>
      </c>
      <c r="J38" s="1395"/>
      <c r="K38" s="619"/>
      <c r="L38" s="1126"/>
      <c r="M38" s="1127"/>
      <c r="N38" s="1127"/>
      <c r="O38" s="1127"/>
      <c r="P38" s="3664" t="str">
        <f>A38</f>
        <v>比较价值（元/平方米）</v>
      </c>
      <c r="Q38" s="3664"/>
      <c r="R38" s="3665">
        <f>IF(F1="售价",ROUND(PRODUCT(R37,AA7:AA36),0),ROUND(PRODUCT(R37,AA7:AA36),1))</f>
        <v>9873</v>
      </c>
      <c r="S38" s="3665"/>
      <c r="T38" s="3665">
        <f>IF(F1="售价",ROUND(PRODUCT(T37,AB7:AB36),0),ROUND(PRODUCT(T37,AB7:AB36),1))</f>
        <v>9328</v>
      </c>
      <c r="U38" s="3665"/>
      <c r="V38" s="3665">
        <f>IF(F1="售价",ROUND(PRODUCT(V37,AC7:AC36),0),ROUND(PRODUCT(V37,AC7:AC36),1))</f>
        <v>11078</v>
      </c>
      <c r="W38" s="3665"/>
      <c r="X38" s="755"/>
      <c r="Y38" s="755"/>
      <c r="Z38" s="755"/>
      <c r="AA38" s="755"/>
      <c r="AB38" s="755"/>
      <c r="AC38" s="755"/>
    </row>
    <row r="39" spans="1:29" ht="15.75" thickBot="1">
      <c r="A39" s="491" t="s">
        <v>2710</v>
      </c>
      <c r="B39" s="492"/>
      <c r="C39" s="1398">
        <f>R39</f>
        <v>10093</v>
      </c>
      <c r="D39" s="1398"/>
      <c r="E39" s="1398"/>
      <c r="F39" s="1398"/>
      <c r="G39" s="1398"/>
      <c r="H39" s="1398"/>
      <c r="I39" s="1398"/>
      <c r="J39" s="1398"/>
      <c r="K39" s="620"/>
      <c r="L39" s="1126"/>
      <c r="M39" s="1127"/>
      <c r="N39" s="1127"/>
      <c r="O39" s="1127"/>
      <c r="P39" s="3666" t="str">
        <f>A39</f>
        <v>估价对象XX用房的比较价值（楼面单价，元/平方米）</v>
      </c>
      <c r="Q39" s="3667"/>
      <c r="R39" s="3668">
        <f>IF(F1="售价",ROUND(AVERAGE(R38:V38),0),ROUND(AVERAGE(R38:V38),1))</f>
        <v>10093</v>
      </c>
      <c r="S39" s="3668"/>
      <c r="T39" s="3668"/>
      <c r="U39" s="3668"/>
      <c r="V39" s="3668"/>
      <c r="W39" s="3668"/>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5.4019429913526151E-2</v>
      </c>
      <c r="F42" s="499" t="str">
        <f>IF(OR(E42&gt;=0.3,E42&lt;=-0.3),"超过30%","")</f>
        <v/>
      </c>
      <c r="G42" s="498">
        <f>IF(G37&lt;G38,G38/G37-1,G37/G38-1)</f>
        <v>6.0034305317324677E-3</v>
      </c>
      <c r="H42" s="499" t="str">
        <f>IF(OR(G42&gt;=0.3,G42&lt;=-0.3),"超过30%","")</f>
        <v/>
      </c>
      <c r="I42" s="498">
        <f>IF(I37&lt;I38,I38/I37-1,I37/I38-1)</f>
        <v>5.404376784015219E-2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5.8426243567752945E-2</v>
      </c>
      <c r="F43" s="499" t="str">
        <f>IF(OR(E43&gt;=0.2,E43&lt;=-0.2),"超过20%","")</f>
        <v/>
      </c>
      <c r="G43" s="498">
        <f>IF(G38&lt;I38,I38/G38-1,G38/I38-1)</f>
        <v>0.18760720411663812</v>
      </c>
      <c r="H43" s="499" t="str">
        <f>IF(OR(G43&gt;=0.2,G43&lt;=-0.2),"超过20%","")</f>
        <v/>
      </c>
      <c r="I43" s="498">
        <f>IF(I38&lt;E38,E38/I38-1,I38/E38-1)</f>
        <v>0.12205003545021786</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5" t="s">
        <v>3627</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8" t="s">
        <v>3124</v>
      </c>
      <c r="D83" s="2968" t="s">
        <v>3081</v>
      </c>
      <c r="E83" s="2968" t="s">
        <v>3082</v>
      </c>
      <c r="F83" s="2971"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7" t="s">
        <v>3628</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5" t="s">
        <v>3630</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6"/>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8"/>
      <c r="D2" s="1107" t="e">
        <f ca="1">SUMIF(INDIRECT("'"&amp;F2&amp;"'"&amp;"!A:A"),"承租人权益价值",INDIRECT("'"&amp;F2&amp;"'"&amp;"!c:c"))</f>
        <v>#REF!</v>
      </c>
      <c r="E2" s="2559" t="s">
        <v>2316</v>
      </c>
      <c r="F2" s="2560"/>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ht="15">
      <c r="A5" s="403"/>
      <c r="B5" s="404"/>
      <c r="C5" s="3737" t="s">
        <v>2530</v>
      </c>
      <c r="D5" s="3738"/>
      <c r="E5" s="3739" t="s">
        <v>2531</v>
      </c>
      <c r="F5" s="3740"/>
      <c r="G5" s="3737" t="s">
        <v>2532</v>
      </c>
      <c r="H5" s="3738"/>
      <c r="I5" s="3737" t="s">
        <v>2533</v>
      </c>
      <c r="J5" s="3738"/>
      <c r="K5" s="609"/>
      <c r="L5" s="1113"/>
      <c r="M5" s="1114"/>
      <c r="N5" s="1114"/>
      <c r="O5" s="1114"/>
      <c r="P5" s="3689"/>
      <c r="Q5" s="3690"/>
      <c r="R5" s="3695"/>
      <c r="S5" s="3696"/>
      <c r="T5" s="3695"/>
      <c r="U5" s="3696"/>
      <c r="V5" s="3678"/>
      <c r="W5" s="3678"/>
      <c r="X5" s="1793"/>
      <c r="Y5" s="3695"/>
      <c r="Z5" s="3696"/>
      <c r="AA5" s="3681"/>
      <c r="AB5" s="3681"/>
      <c r="AC5" s="3681"/>
    </row>
    <row r="6" spans="1:29" ht="15.75" thickBot="1">
      <c r="A6" s="405"/>
      <c r="B6" s="406"/>
      <c r="C6" s="3699" t="s">
        <v>2534</v>
      </c>
      <c r="D6" s="3700"/>
      <c r="E6" s="3706" t="s">
        <v>2534</v>
      </c>
      <c r="F6" s="3707"/>
      <c r="G6" s="3699" t="s">
        <v>2534</v>
      </c>
      <c r="H6" s="3700"/>
      <c r="I6" s="3699" t="s">
        <v>2534</v>
      </c>
      <c r="J6" s="3700"/>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75" thickBot="1">
      <c r="A7" s="407" t="s">
        <v>2536</v>
      </c>
      <c r="B7" s="408"/>
      <c r="C7" s="409">
        <f>'数据-取费表'!B2</f>
        <v>43840</v>
      </c>
      <c r="D7" s="410">
        <v>100</v>
      </c>
      <c r="E7" s="411"/>
      <c r="F7" s="412">
        <f>SUMIF(46:46,YEAR(E7)&amp;"-"&amp;MONTH(E7),47:47)</f>
        <v>0</v>
      </c>
      <c r="G7" s="2668"/>
      <c r="H7" s="410">
        <f>SUMIF(46:46,YEAR(G7)&amp;"-"&amp;MONTH(G7),47:47)</f>
        <v>0</v>
      </c>
      <c r="I7" s="411"/>
      <c r="J7" s="410">
        <f>SUMIF(46:46,YEAR(I7)&amp;"-"&amp;MONTH(I7),47:47)</f>
        <v>0</v>
      </c>
      <c r="K7" s="610"/>
      <c r="L7" s="1115"/>
      <c r="M7" s="1116"/>
      <c r="N7" s="1116"/>
      <c r="O7" s="1116"/>
      <c r="P7" s="3703" t="s">
        <v>2537</v>
      </c>
      <c r="Q7" s="3705"/>
      <c r="R7" s="766" t="s">
        <v>17</v>
      </c>
      <c r="S7" s="767">
        <f t="shared" ref="S7:S14" si="0">F7</f>
        <v>0</v>
      </c>
      <c r="T7" s="766" t="s">
        <v>17</v>
      </c>
      <c r="U7" s="767">
        <f t="shared" ref="U7:U14" si="1">H7</f>
        <v>0</v>
      </c>
      <c r="V7" s="766" t="s">
        <v>17</v>
      </c>
      <c r="W7" s="767">
        <f t="shared" ref="W7:W14" si="2">J7</f>
        <v>0</v>
      </c>
      <c r="X7" s="768"/>
      <c r="Y7" s="3703" t="s">
        <v>2537</v>
      </c>
      <c r="Z7" s="3704"/>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03" t="s">
        <v>2540</v>
      </c>
      <c r="Q8" s="3704"/>
      <c r="R8" s="766" t="s">
        <v>17</v>
      </c>
      <c r="S8" s="767">
        <f t="shared" si="0"/>
        <v>0</v>
      </c>
      <c r="T8" s="766" t="s">
        <v>17</v>
      </c>
      <c r="U8" s="767">
        <f t="shared" si="1"/>
        <v>0</v>
      </c>
      <c r="V8" s="766" t="s">
        <v>17</v>
      </c>
      <c r="W8" s="767">
        <f t="shared" si="2"/>
        <v>0</v>
      </c>
      <c r="X8" s="768"/>
      <c r="Y8" s="3703" t="s">
        <v>2540</v>
      </c>
      <c r="Z8" s="3704"/>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64" t="s">
        <v>2543</v>
      </c>
      <c r="Q9" s="1775" t="str">
        <f t="shared" ref="Q9:Q14" si="6">B9</f>
        <v>用途</v>
      </c>
      <c r="R9" s="766" t="s">
        <v>17</v>
      </c>
      <c r="S9" s="767">
        <f t="shared" si="0"/>
        <v>100</v>
      </c>
      <c r="T9" s="766" t="s">
        <v>17</v>
      </c>
      <c r="U9" s="767">
        <f t="shared" si="1"/>
        <v>100</v>
      </c>
      <c r="V9" s="766" t="s">
        <v>17</v>
      </c>
      <c r="W9" s="767">
        <f t="shared" si="2"/>
        <v>100</v>
      </c>
      <c r="X9" s="768"/>
      <c r="Y9" s="3466"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64"/>
      <c r="Q10" s="1775" t="str">
        <f t="shared" si="6"/>
        <v>土地使用年限（年）</v>
      </c>
      <c r="R10" s="766" t="s">
        <v>17</v>
      </c>
      <c r="S10" s="767">
        <f t="shared" si="0"/>
        <v>100</v>
      </c>
      <c r="T10" s="766" t="s">
        <v>17</v>
      </c>
      <c r="U10" s="767">
        <f t="shared" si="1"/>
        <v>100</v>
      </c>
      <c r="V10" s="766" t="s">
        <v>17</v>
      </c>
      <c r="W10" s="767">
        <f t="shared" si="2"/>
        <v>100</v>
      </c>
      <c r="X10" s="768"/>
      <c r="Y10" s="3466"/>
      <c r="Z10" s="55" t="str">
        <f t="shared" si="7"/>
        <v>土地使用年限（年）</v>
      </c>
      <c r="AA10" s="769">
        <f t="shared" si="3"/>
        <v>1</v>
      </c>
      <c r="AB10" s="769">
        <f t="shared" si="4"/>
        <v>1</v>
      </c>
      <c r="AC10" s="769">
        <f t="shared" si="5"/>
        <v>1</v>
      </c>
    </row>
    <row r="11" spans="1:29" ht="15">
      <c r="A11" s="427"/>
      <c r="B11" s="2572">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64"/>
      <c r="Q11" s="1775">
        <f t="shared" si="6"/>
        <v>111</v>
      </c>
      <c r="R11" s="766" t="s">
        <v>17</v>
      </c>
      <c r="S11" s="767">
        <f t="shared" si="0"/>
        <v>100</v>
      </c>
      <c r="T11" s="766" t="s">
        <v>17</v>
      </c>
      <c r="U11" s="767">
        <f t="shared" si="1"/>
        <v>100</v>
      </c>
      <c r="V11" s="766" t="s">
        <v>17</v>
      </c>
      <c r="W11" s="767">
        <f t="shared" si="2"/>
        <v>100</v>
      </c>
      <c r="X11" s="768"/>
      <c r="Y11" s="3466"/>
      <c r="Z11" s="55">
        <f t="shared" si="7"/>
        <v>111</v>
      </c>
      <c r="AA11" s="769">
        <f t="shared" si="3"/>
        <v>1</v>
      </c>
      <c r="AB11" s="769">
        <f t="shared" si="4"/>
        <v>1</v>
      </c>
      <c r="AC11" s="769">
        <f t="shared" si="5"/>
        <v>1</v>
      </c>
    </row>
    <row r="12" spans="1:29" s="117" customFormat="1" ht="15">
      <c r="A12" s="430"/>
      <c r="B12" s="2572">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75" thickBot="1">
      <c r="A13" s="427"/>
      <c r="B13" s="2572">
        <v>111</v>
      </c>
      <c r="C13" s="433"/>
      <c r="D13" s="434">
        <v>100</v>
      </c>
      <c r="E13" s="468"/>
      <c r="F13" s="424">
        <f>SUMIF(59:59,E13,60:60)-SUMIF(59:59,C13,60:60)+100</f>
        <v>100</v>
      </c>
      <c r="G13" s="2669"/>
      <c r="H13" s="437">
        <f>SUMIF(59:59,G13,60:60)-SUMIF(59:59,C13,60:60)+100</f>
        <v>100</v>
      </c>
      <c r="I13" s="468"/>
      <c r="J13" s="434">
        <f>SUMIF(59:59,I13,60:60)-SUMIF(59:59,C13,60:60)+100</f>
        <v>100</v>
      </c>
      <c r="K13" s="612"/>
      <c r="L13" s="1123"/>
      <c r="M13" s="1114"/>
      <c r="N13" s="1114"/>
      <c r="O13" s="1122"/>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14">
      <c r="A14" s="439" t="s">
        <v>2547</v>
      </c>
      <c r="B14" s="69" t="s">
        <v>2697</v>
      </c>
      <c r="C14" s="2665"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71" t="s">
        <v>2548</v>
      </c>
      <c r="Q14" s="1790" t="str">
        <f t="shared" si="6"/>
        <v>交通便捷度</v>
      </c>
      <c r="R14" s="770" t="s">
        <v>17</v>
      </c>
      <c r="S14" s="771">
        <f t="shared" si="0"/>
        <v>100</v>
      </c>
      <c r="T14" s="770" t="s">
        <v>17</v>
      </c>
      <c r="U14" s="771">
        <f t="shared" si="1"/>
        <v>100</v>
      </c>
      <c r="V14" s="770" t="s">
        <v>17</v>
      </c>
      <c r="W14" s="771">
        <f t="shared" si="2"/>
        <v>100</v>
      </c>
      <c r="X14" s="1793"/>
      <c r="Y14" s="3671"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72"/>
      <c r="Q15" s="1790"/>
      <c r="R15" s="770"/>
      <c r="S15" s="771"/>
      <c r="T15" s="770"/>
      <c r="U15" s="771"/>
      <c r="V15" s="770"/>
      <c r="W15" s="771"/>
      <c r="X15" s="1793"/>
      <c r="Y15" s="3672"/>
      <c r="Z15" s="1794"/>
      <c r="AA15" s="1791">
        <v>1</v>
      </c>
      <c r="AB15" s="1791">
        <v>1</v>
      </c>
      <c r="AC15" s="1791">
        <v>1</v>
      </c>
    </row>
    <row r="16" spans="1:29" ht="42.75">
      <c r="A16" s="427"/>
      <c r="B16" s="450" t="s">
        <v>2676</v>
      </c>
      <c r="C16" s="2579"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72"/>
      <c r="Q16" s="1790" t="str">
        <f>B16</f>
        <v>公共配套设施</v>
      </c>
      <c r="R16" s="770" t="s">
        <v>17</v>
      </c>
      <c r="S16" s="771">
        <f>F16</f>
        <v>100</v>
      </c>
      <c r="T16" s="770" t="s">
        <v>17</v>
      </c>
      <c r="U16" s="771">
        <f>H16</f>
        <v>100</v>
      </c>
      <c r="V16" s="770" t="s">
        <v>17</v>
      </c>
      <c r="W16" s="771">
        <f>J16</f>
        <v>100</v>
      </c>
      <c r="X16" s="1793"/>
      <c r="Y16" s="3672"/>
      <c r="Z16" s="1794" t="str">
        <f>Q16</f>
        <v>公共配套设施</v>
      </c>
      <c r="AA16" s="1791">
        <f t="shared" si="3"/>
        <v>1</v>
      </c>
      <c r="AB16" s="1791">
        <f t="shared" si="4"/>
        <v>1</v>
      </c>
      <c r="AC16" s="1791">
        <f t="shared" si="5"/>
        <v>1</v>
      </c>
    </row>
    <row r="17" spans="1:29" ht="15">
      <c r="A17" s="427"/>
      <c r="B17" s="455"/>
      <c r="C17" s="2580"/>
      <c r="D17" s="447"/>
      <c r="E17" s="446"/>
      <c r="F17" s="448"/>
      <c r="G17" s="446"/>
      <c r="H17" s="447"/>
      <c r="I17" s="446"/>
      <c r="J17" s="447"/>
      <c r="K17" s="614"/>
      <c r="L17" s="1123"/>
      <c r="M17" s="1114"/>
      <c r="N17" s="1114"/>
      <c r="O17" s="1122"/>
      <c r="P17" s="3672"/>
      <c r="Q17" s="1790"/>
      <c r="R17" s="770"/>
      <c r="S17" s="771"/>
      <c r="T17" s="770"/>
      <c r="U17" s="771"/>
      <c r="V17" s="770"/>
      <c r="W17" s="771"/>
      <c r="X17" s="1793"/>
      <c r="Y17" s="3672"/>
      <c r="Z17" s="1794"/>
      <c r="AA17" s="1791">
        <v>1</v>
      </c>
      <c r="AB17" s="1791">
        <v>1</v>
      </c>
      <c r="AC17" s="1791">
        <v>1</v>
      </c>
    </row>
    <row r="18" spans="1:29" ht="42.75">
      <c r="A18" s="427"/>
      <c r="B18" s="1366" t="s">
        <v>2677</v>
      </c>
      <c r="C18" s="2579"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72"/>
      <c r="Q18" s="1790" t="str">
        <f>B18</f>
        <v>基础设施水平</v>
      </c>
      <c r="R18" s="770" t="s">
        <v>17</v>
      </c>
      <c r="S18" s="771">
        <f>F18</f>
        <v>100</v>
      </c>
      <c r="T18" s="770" t="s">
        <v>17</v>
      </c>
      <c r="U18" s="771">
        <f>H18</f>
        <v>100</v>
      </c>
      <c r="V18" s="770" t="s">
        <v>17</v>
      </c>
      <c r="W18" s="771">
        <f>J18</f>
        <v>100</v>
      </c>
      <c r="X18" s="1793"/>
      <c r="Y18" s="3672"/>
      <c r="Z18" s="1794" t="str">
        <f>Q18</f>
        <v>基础设施水平</v>
      </c>
      <c r="AA18" s="1791">
        <f t="shared" ref="AA18" si="8">D18/F18</f>
        <v>1</v>
      </c>
      <c r="AB18" s="1791">
        <f t="shared" ref="AB18" si="9">D18/H18</f>
        <v>1</v>
      </c>
      <c r="AC18" s="1791">
        <f t="shared" ref="AC18" si="10">D18/J18</f>
        <v>1</v>
      </c>
    </row>
    <row r="19" spans="1:29" ht="15">
      <c r="A19" s="427"/>
      <c r="B19" s="1366"/>
      <c r="C19" s="2580"/>
      <c r="D19" s="449"/>
      <c r="E19" s="2580"/>
      <c r="F19" s="452"/>
      <c r="G19" s="2580"/>
      <c r="H19" s="447"/>
      <c r="I19" s="446"/>
      <c r="J19" s="447"/>
      <c r="K19" s="1365"/>
      <c r="L19" s="1123"/>
      <c r="M19" s="1114"/>
      <c r="N19" s="1114"/>
      <c r="O19" s="1122"/>
      <c r="P19" s="3672"/>
      <c r="Q19" s="1790"/>
      <c r="R19" s="770"/>
      <c r="S19" s="771"/>
      <c r="T19" s="770"/>
      <c r="U19" s="771"/>
      <c r="V19" s="770"/>
      <c r="W19" s="771"/>
      <c r="X19" s="1793"/>
      <c r="Y19" s="3672"/>
      <c r="Z19" s="1794"/>
      <c r="AA19" s="1791">
        <v>1</v>
      </c>
      <c r="AB19" s="1791">
        <v>1</v>
      </c>
      <c r="AC19" s="1791">
        <v>1</v>
      </c>
    </row>
    <row r="20" spans="1:29" ht="85.5">
      <c r="A20" s="427"/>
      <c r="B20" s="450" t="s">
        <v>2698</v>
      </c>
      <c r="C20" s="2579"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72"/>
      <c r="Q20" s="1790" t="str">
        <f>B20</f>
        <v>自然及人文环境</v>
      </c>
      <c r="R20" s="770" t="s">
        <v>17</v>
      </c>
      <c r="S20" s="771">
        <f>F20</f>
        <v>100</v>
      </c>
      <c r="T20" s="770" t="s">
        <v>17</v>
      </c>
      <c r="U20" s="771">
        <f>H20</f>
        <v>100</v>
      </c>
      <c r="V20" s="770" t="s">
        <v>17</v>
      </c>
      <c r="W20" s="771">
        <f>J20</f>
        <v>100</v>
      </c>
      <c r="X20" s="1793"/>
      <c r="Y20" s="3672"/>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72"/>
      <c r="Q21" s="1790"/>
      <c r="R21" s="770"/>
      <c r="S21" s="771"/>
      <c r="T21" s="770"/>
      <c r="U21" s="771"/>
      <c r="V21" s="770"/>
      <c r="W21" s="771"/>
      <c r="X21" s="1793"/>
      <c r="Y21" s="3672"/>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72"/>
      <c r="Q22" s="1790" t="str">
        <f>B22</f>
        <v>楼层</v>
      </c>
      <c r="R22" s="770" t="s">
        <v>17</v>
      </c>
      <c r="S22" s="771">
        <f>F22</f>
        <v>100</v>
      </c>
      <c r="T22" s="770" t="s">
        <v>17</v>
      </c>
      <c r="U22" s="771">
        <f>H22</f>
        <v>100</v>
      </c>
      <c r="V22" s="770" t="s">
        <v>17</v>
      </c>
      <c r="W22" s="771">
        <f>J22</f>
        <v>100</v>
      </c>
      <c r="X22" s="1793"/>
      <c r="Y22" s="3672"/>
      <c r="Z22" s="1794" t="str">
        <f>Q22</f>
        <v>楼层</v>
      </c>
      <c r="AA22" s="1791">
        <f t="shared" si="3"/>
        <v>1</v>
      </c>
      <c r="AB22" s="1791">
        <f t="shared" si="4"/>
        <v>1</v>
      </c>
      <c r="AC22" s="1791">
        <f t="shared" si="5"/>
        <v>1</v>
      </c>
    </row>
    <row r="23" spans="1:29" ht="15">
      <c r="A23" s="403"/>
      <c r="B23" s="2572">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72"/>
      <c r="Q23" s="1790">
        <f>B23</f>
        <v>111</v>
      </c>
      <c r="R23" s="770" t="s">
        <v>17</v>
      </c>
      <c r="S23" s="771">
        <f>F23</f>
        <v>100</v>
      </c>
      <c r="T23" s="770" t="s">
        <v>17</v>
      </c>
      <c r="U23" s="771">
        <f>H23</f>
        <v>100</v>
      </c>
      <c r="V23" s="770" t="s">
        <v>17</v>
      </c>
      <c r="W23" s="771">
        <f>J23</f>
        <v>100</v>
      </c>
      <c r="X23" s="1793"/>
      <c r="Y23" s="3672"/>
      <c r="Z23" s="1794">
        <f>Q23</f>
        <v>111</v>
      </c>
      <c r="AA23" s="1791">
        <f t="shared" si="3"/>
        <v>1</v>
      </c>
      <c r="AB23" s="1791">
        <f t="shared" si="4"/>
        <v>1</v>
      </c>
      <c r="AC23" s="1791">
        <f t="shared" si="5"/>
        <v>1</v>
      </c>
    </row>
    <row r="24" spans="1:29" ht="15">
      <c r="A24" s="427"/>
      <c r="B24" s="2572">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72"/>
      <c r="Q24" s="1790">
        <f t="shared" ref="Q24:Q34" si="11">B24</f>
        <v>111</v>
      </c>
      <c r="R24" s="770" t="s">
        <v>17</v>
      </c>
      <c r="S24" s="771">
        <f>F24</f>
        <v>100</v>
      </c>
      <c r="T24" s="770" t="s">
        <v>17</v>
      </c>
      <c r="U24" s="771">
        <f>H24</f>
        <v>100</v>
      </c>
      <c r="V24" s="770" t="s">
        <v>17</v>
      </c>
      <c r="W24" s="771">
        <f>J24</f>
        <v>100</v>
      </c>
      <c r="X24" s="1793"/>
      <c r="Y24" s="3672"/>
      <c r="Z24" s="1794">
        <f>Q24</f>
        <v>111</v>
      </c>
      <c r="AA24" s="1791">
        <f t="shared" si="3"/>
        <v>1</v>
      </c>
      <c r="AB24" s="1791">
        <f t="shared" si="4"/>
        <v>1</v>
      </c>
      <c r="AC24" s="1791">
        <f t="shared" si="5"/>
        <v>1</v>
      </c>
    </row>
    <row r="25" spans="1:29" s="117" customFormat="1" ht="15.75" thickBot="1">
      <c r="A25" s="430"/>
      <c r="B25" s="2572">
        <v>111</v>
      </c>
      <c r="C25" s="2670"/>
      <c r="D25" s="664">
        <v>100</v>
      </c>
      <c r="E25" s="2670"/>
      <c r="F25" s="665">
        <f>SUMIF(75:75,E25,76:76)-SUMIF(75:75,C25,76:76)+100</f>
        <v>100</v>
      </c>
      <c r="G25" s="2670"/>
      <c r="H25" s="664">
        <f>SUMIF(75:75,G25,76:76)-SUMIF(75:75,C25,76:76)+100</f>
        <v>100</v>
      </c>
      <c r="I25" s="2670"/>
      <c r="J25" s="664">
        <f>SUMIF(75:75,I25,76:76)-SUMIF(75:75,C25,76:76)+100</f>
        <v>100</v>
      </c>
      <c r="K25" s="612"/>
      <c r="L25" s="1115"/>
      <c r="M25" s="1116"/>
      <c r="N25" s="1116"/>
      <c r="O25" s="1117"/>
      <c r="P25" s="3672"/>
      <c r="Q25" s="1775">
        <f t="shared" si="11"/>
        <v>111</v>
      </c>
      <c r="R25" s="766" t="s">
        <v>17</v>
      </c>
      <c r="S25" s="767">
        <f>F25</f>
        <v>100</v>
      </c>
      <c r="T25" s="766" t="s">
        <v>17</v>
      </c>
      <c r="U25" s="767">
        <f>H25</f>
        <v>100</v>
      </c>
      <c r="V25" s="766" t="s">
        <v>17</v>
      </c>
      <c r="W25" s="767">
        <f>J25</f>
        <v>100</v>
      </c>
      <c r="X25" s="768"/>
      <c r="Y25" s="3672"/>
      <c r="Z25" s="55">
        <f>Q25</f>
        <v>111</v>
      </c>
      <c r="AA25" s="1791">
        <f>D25/F25</f>
        <v>1</v>
      </c>
      <c r="AB25" s="1791">
        <f>D25/H25</f>
        <v>1</v>
      </c>
      <c r="AC25" s="1791">
        <f>D25/J25</f>
        <v>1</v>
      </c>
    </row>
    <row r="26" spans="1:29" ht="28.5">
      <c r="A26" s="465" t="s">
        <v>2551</v>
      </c>
      <c r="B26" s="71" t="s">
        <v>2702</v>
      </c>
      <c r="C26" s="2651"/>
      <c r="D26" s="466">
        <v>100</v>
      </c>
      <c r="E26" s="2651"/>
      <c r="F26" s="666">
        <f>SUMIF(77:77,E26,78:78)-SUMIF(77:77,C26,78:78)+100</f>
        <v>100</v>
      </c>
      <c r="G26" s="2651"/>
      <c r="H26" s="466">
        <f>SUMIF(77:77,G26,78:78)-SUMIF(77:77,C26,78:78)+100</f>
        <v>100</v>
      </c>
      <c r="I26" s="2651"/>
      <c r="J26" s="466">
        <f>SUMIF(77:77,I26,78:78)-SUMIF(77:77,C26,78:78)+100</f>
        <v>100</v>
      </c>
      <c r="K26" s="611"/>
      <c r="L26" s="1123"/>
      <c r="M26" s="1114"/>
      <c r="N26" s="1114"/>
      <c r="O26" s="1122"/>
      <c r="P26" s="3741"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76"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76"/>
      <c r="Q27" s="772" t="str">
        <f t="shared" si="11"/>
        <v>成新率</v>
      </c>
      <c r="R27" s="773" t="s">
        <v>17</v>
      </c>
      <c r="S27" s="774" t="e">
        <f t="shared" si="12"/>
        <v>#N/A</v>
      </c>
      <c r="T27" s="773" t="s">
        <v>17</v>
      </c>
      <c r="U27" s="774" t="e">
        <f t="shared" si="13"/>
        <v>#N/A</v>
      </c>
      <c r="V27" s="773" t="s">
        <v>17</v>
      </c>
      <c r="W27" s="774" t="e">
        <f t="shared" si="14"/>
        <v>#N/A</v>
      </c>
      <c r="X27" s="775"/>
      <c r="Y27" s="3676"/>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76"/>
      <c r="Q28" s="1790" t="str">
        <f t="shared" si="11"/>
        <v>物业等级</v>
      </c>
      <c r="R28" s="770" t="s">
        <v>17</v>
      </c>
      <c r="S28" s="771">
        <f t="shared" si="12"/>
        <v>100</v>
      </c>
      <c r="T28" s="770" t="s">
        <v>17</v>
      </c>
      <c r="U28" s="771">
        <f t="shared" si="13"/>
        <v>100</v>
      </c>
      <c r="V28" s="770" t="s">
        <v>17</v>
      </c>
      <c r="W28" s="771">
        <f t="shared" si="14"/>
        <v>100</v>
      </c>
      <c r="X28" s="1793"/>
      <c r="Y28" s="3676"/>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76"/>
      <c r="Q29" s="1790" t="str">
        <f t="shared" si="11"/>
        <v>有无电梯</v>
      </c>
      <c r="R29" s="770" t="s">
        <v>17</v>
      </c>
      <c r="S29" s="771">
        <f t="shared" si="12"/>
        <v>100</v>
      </c>
      <c r="T29" s="770" t="s">
        <v>17</v>
      </c>
      <c r="U29" s="771">
        <f t="shared" si="13"/>
        <v>100</v>
      </c>
      <c r="V29" s="770" t="s">
        <v>17</v>
      </c>
      <c r="W29" s="771">
        <f t="shared" si="14"/>
        <v>100</v>
      </c>
      <c r="X29" s="1793"/>
      <c r="Y29" s="3676"/>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76"/>
      <c r="Q30" s="1790" t="str">
        <f t="shared" si="11"/>
        <v>建筑面积</v>
      </c>
      <c r="R30" s="770" t="s">
        <v>17</v>
      </c>
      <c r="S30" s="771" t="e">
        <f t="shared" si="12"/>
        <v>#N/A</v>
      </c>
      <c r="T30" s="770" t="s">
        <v>17</v>
      </c>
      <c r="U30" s="771" t="e">
        <f t="shared" si="13"/>
        <v>#N/A</v>
      </c>
      <c r="V30" s="770" t="s">
        <v>17</v>
      </c>
      <c r="W30" s="771" t="e">
        <f t="shared" si="14"/>
        <v>#N/A</v>
      </c>
      <c r="X30" s="1793"/>
      <c r="Y30" s="3676"/>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76"/>
      <c r="Q31" s="1775" t="str">
        <f t="shared" si="11"/>
        <v>是否封闭</v>
      </c>
      <c r="R31" s="766" t="s">
        <v>17</v>
      </c>
      <c r="S31" s="767">
        <f t="shared" si="12"/>
        <v>100</v>
      </c>
      <c r="T31" s="766" t="s">
        <v>17</v>
      </c>
      <c r="U31" s="767">
        <f t="shared" si="13"/>
        <v>100</v>
      </c>
      <c r="V31" s="766" t="s">
        <v>17</v>
      </c>
      <c r="W31" s="767">
        <f t="shared" si="14"/>
        <v>100</v>
      </c>
      <c r="X31" s="768"/>
      <c r="Y31" s="3676"/>
      <c r="Z31" s="55" t="str">
        <f t="shared" si="15"/>
        <v>是否封闭</v>
      </c>
      <c r="AA31" s="769">
        <f t="shared" si="3"/>
        <v>1</v>
      </c>
      <c r="AB31" s="769">
        <f t="shared" si="4"/>
        <v>1</v>
      </c>
      <c r="AC31" s="769">
        <f t="shared" si="5"/>
        <v>1</v>
      </c>
    </row>
    <row r="32" spans="1:29" ht="15">
      <c r="A32" s="471"/>
      <c r="B32" s="2572">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76" t="s">
        <v>2553</v>
      </c>
      <c r="Q32" s="1790">
        <f t="shared" si="11"/>
        <v>111</v>
      </c>
      <c r="R32" s="770" t="s">
        <v>17</v>
      </c>
      <c r="S32" s="771">
        <f t="shared" si="12"/>
        <v>100</v>
      </c>
      <c r="T32" s="770" t="s">
        <v>17</v>
      </c>
      <c r="U32" s="771">
        <f t="shared" si="13"/>
        <v>100</v>
      </c>
      <c r="V32" s="770" t="s">
        <v>17</v>
      </c>
      <c r="W32" s="771">
        <f t="shared" si="14"/>
        <v>100</v>
      </c>
      <c r="X32" s="1793"/>
      <c r="Y32" s="3676" t="s">
        <v>2553</v>
      </c>
      <c r="Z32" s="1794">
        <f t="shared" si="15"/>
        <v>111</v>
      </c>
      <c r="AA32" s="1791">
        <f t="shared" si="3"/>
        <v>1</v>
      </c>
      <c r="AB32" s="1791">
        <f t="shared" si="4"/>
        <v>1</v>
      </c>
      <c r="AC32" s="1791">
        <f t="shared" si="5"/>
        <v>1</v>
      </c>
    </row>
    <row r="33" spans="1:29" ht="15">
      <c r="A33" s="471"/>
      <c r="B33" s="2572">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76"/>
      <c r="Q33" s="1790">
        <f t="shared" si="11"/>
        <v>111</v>
      </c>
      <c r="R33" s="770" t="s">
        <v>17</v>
      </c>
      <c r="S33" s="771">
        <f t="shared" si="12"/>
        <v>100</v>
      </c>
      <c r="T33" s="770" t="s">
        <v>17</v>
      </c>
      <c r="U33" s="771">
        <f t="shared" si="13"/>
        <v>100</v>
      </c>
      <c r="V33" s="770" t="s">
        <v>17</v>
      </c>
      <c r="W33" s="771">
        <f t="shared" si="14"/>
        <v>100</v>
      </c>
      <c r="X33" s="1793"/>
      <c r="Y33" s="3676"/>
      <c r="Z33" s="1794">
        <f t="shared" si="15"/>
        <v>111</v>
      </c>
      <c r="AA33" s="1791">
        <f t="shared" si="3"/>
        <v>1</v>
      </c>
      <c r="AB33" s="1791">
        <f t="shared" si="4"/>
        <v>1</v>
      </c>
      <c r="AC33" s="1791">
        <f t="shared" si="5"/>
        <v>1</v>
      </c>
    </row>
    <row r="34" spans="1:29" ht="15.75" thickBot="1">
      <c r="A34" s="477"/>
      <c r="B34" s="2574">
        <v>111</v>
      </c>
      <c r="C34" s="436"/>
      <c r="D34" s="437">
        <v>100</v>
      </c>
      <c r="E34" s="2669"/>
      <c r="F34" s="438">
        <f>SUMIF(95:95,E34,96:96)-SUMIF(95:95,C34,96:96)+100</f>
        <v>100</v>
      </c>
      <c r="G34" s="2669"/>
      <c r="H34" s="437">
        <f>SUMIF(95:95,G34,96:96)-SUMIF(95:95,C34,96:96)+100</f>
        <v>100</v>
      </c>
      <c r="I34" s="2669"/>
      <c r="J34" s="437">
        <f>SUMIF(95:95,I34,96:96)-SUMIF(95:95,C34,96:96)+100</f>
        <v>100</v>
      </c>
      <c r="K34" s="612"/>
      <c r="L34" s="1123"/>
      <c r="M34" s="1114"/>
      <c r="N34" s="1114"/>
      <c r="O34" s="1122"/>
      <c r="P34" s="3676"/>
      <c r="Q34" s="1790">
        <f t="shared" si="11"/>
        <v>111</v>
      </c>
      <c r="R34" s="770" t="s">
        <v>17</v>
      </c>
      <c r="S34" s="771">
        <f t="shared" si="12"/>
        <v>100</v>
      </c>
      <c r="T34" s="770" t="s">
        <v>17</v>
      </c>
      <c r="U34" s="771">
        <f t="shared" si="13"/>
        <v>100</v>
      </c>
      <c r="V34" s="770" t="s">
        <v>17</v>
      </c>
      <c r="W34" s="771">
        <f t="shared" si="14"/>
        <v>100</v>
      </c>
      <c r="X34" s="1793"/>
      <c r="Y34" s="3676"/>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664" t="str">
        <f>A35</f>
        <v>成交单价（元/平方米）</v>
      </c>
      <c r="Q35" s="3664"/>
      <c r="R35" s="3665">
        <f>E35</f>
        <v>0</v>
      </c>
      <c r="S35" s="3665"/>
      <c r="T35" s="3665">
        <f>G35</f>
        <v>0</v>
      </c>
      <c r="U35" s="3665"/>
      <c r="V35" s="3665">
        <f>I35</f>
        <v>0</v>
      </c>
      <c r="W35" s="3665"/>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666" t="str">
        <f>A37</f>
        <v>估价对象XX用房的比较价值（楼面单价，元/平方米）</v>
      </c>
      <c r="Q37" s="3667"/>
      <c r="R37" s="3668" t="e">
        <f>IF(F1="售价",ROUND(AVERAGE(R36:V36),0),ROUND(AVERAGE(R36:V36),1))</f>
        <v>#DIV/0!</v>
      </c>
      <c r="S37" s="3668"/>
      <c r="T37" s="3668"/>
      <c r="U37" s="3668"/>
      <c r="V37" s="3668"/>
      <c r="W37" s="3668"/>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93" t="s">
        <v>2635</v>
      </c>
      <c r="S4" s="3694"/>
      <c r="T4" s="3693" t="s">
        <v>2636</v>
      </c>
      <c r="U4" s="3694"/>
      <c r="V4" s="3678" t="s">
        <v>2637</v>
      </c>
      <c r="W4" s="3678"/>
      <c r="X4" s="1793"/>
      <c r="Y4" s="3693" t="s">
        <v>2639</v>
      </c>
      <c r="Z4" s="3694"/>
      <c r="AA4" s="3680" t="s">
        <v>2635</v>
      </c>
      <c r="AB4" s="3681" t="s">
        <v>2636</v>
      </c>
      <c r="AC4" s="3680" t="s">
        <v>2637</v>
      </c>
    </row>
    <row r="5" spans="1:29" ht="15">
      <c r="A5" s="403"/>
      <c r="B5" s="404"/>
      <c r="C5" s="3737" t="s">
        <v>2530</v>
      </c>
      <c r="D5" s="3738"/>
      <c r="E5" s="3739" t="s">
        <v>2531</v>
      </c>
      <c r="F5" s="3740"/>
      <c r="G5" s="3737" t="s">
        <v>2532</v>
      </c>
      <c r="H5" s="3738"/>
      <c r="I5" s="3737" t="s">
        <v>2533</v>
      </c>
      <c r="J5" s="3738"/>
      <c r="K5" s="609"/>
      <c r="L5" s="1113"/>
      <c r="M5" s="1114"/>
      <c r="N5" s="1114"/>
      <c r="O5" s="1114"/>
      <c r="P5" s="3689"/>
      <c r="Q5" s="3690"/>
      <c r="R5" s="3695"/>
      <c r="S5" s="3696"/>
      <c r="T5" s="3695"/>
      <c r="U5" s="3696"/>
      <c r="V5" s="3678"/>
      <c r="W5" s="3678"/>
      <c r="X5" s="1793"/>
      <c r="Y5" s="3695"/>
      <c r="Z5" s="3696"/>
      <c r="AA5" s="3681"/>
      <c r="AB5" s="3681"/>
      <c r="AC5" s="3681"/>
    </row>
    <row r="6" spans="1:29" ht="15.75" thickBot="1">
      <c r="A6" s="405"/>
      <c r="B6" s="406"/>
      <c r="C6" s="3746" t="s">
        <v>2775</v>
      </c>
      <c r="D6" s="3747"/>
      <c r="E6" s="3748" t="s">
        <v>2775</v>
      </c>
      <c r="F6" s="3749"/>
      <c r="G6" s="3746" t="s">
        <v>2775</v>
      </c>
      <c r="H6" s="3747"/>
      <c r="I6" s="3746" t="s">
        <v>2775</v>
      </c>
      <c r="J6" s="3747"/>
      <c r="K6" s="609" t="s">
        <v>2535</v>
      </c>
      <c r="L6" s="1113"/>
      <c r="M6" s="1114"/>
      <c r="N6" s="1114"/>
      <c r="O6" s="1114"/>
      <c r="P6" s="3691"/>
      <c r="Q6" s="3692"/>
      <c r="R6" s="3695"/>
      <c r="S6" s="3696"/>
      <c r="T6" s="3697"/>
      <c r="U6" s="3698"/>
      <c r="V6" s="3678"/>
      <c r="W6" s="3678"/>
      <c r="X6" s="1793"/>
      <c r="Y6" s="3697"/>
      <c r="Z6" s="3698"/>
      <c r="AA6" s="3682"/>
      <c r="AB6" s="3682"/>
      <c r="AC6" s="3682"/>
    </row>
    <row r="7" spans="1:29" s="117" customFormat="1" ht="15.75" thickBot="1">
      <c r="A7" s="407" t="s">
        <v>2536</v>
      </c>
      <c r="B7" s="408"/>
      <c r="C7" s="409">
        <f>'数据-取费表'!B2</f>
        <v>43840</v>
      </c>
      <c r="D7" s="410">
        <v>100</v>
      </c>
      <c r="E7" s="411"/>
      <c r="F7" s="412">
        <f>SUMIF(65:65,YEAR(E7)&amp;"-"&amp;INT((MONTH(E7)+2)/3),66:66)</f>
        <v>0</v>
      </c>
      <c r="G7" s="2668"/>
      <c r="H7" s="410">
        <f>SUMIF(65:65,YEAR(G7)&amp;"-"&amp;INT((MONTH(G7)+2)/3),66:66)</f>
        <v>0</v>
      </c>
      <c r="I7" s="2668"/>
      <c r="J7" s="410">
        <f>SUMIF(65:65,YEAR(I7)&amp;"-"&amp;INT((MONTH(I7)+2)/3),66:66)</f>
        <v>0</v>
      </c>
      <c r="K7" s="610"/>
      <c r="L7" s="1115"/>
      <c r="M7" s="1116"/>
      <c r="N7" s="1116"/>
      <c r="O7" s="1116"/>
      <c r="P7" s="3703" t="s">
        <v>2537</v>
      </c>
      <c r="Q7" s="3705"/>
      <c r="R7" s="766" t="s">
        <v>17</v>
      </c>
      <c r="S7" s="767">
        <f t="shared" ref="S7:S15" si="0">F7</f>
        <v>0</v>
      </c>
      <c r="T7" s="766" t="s">
        <v>17</v>
      </c>
      <c r="U7" s="767">
        <f t="shared" ref="U7:U15" si="1">H7</f>
        <v>0</v>
      </c>
      <c r="V7" s="766" t="s">
        <v>17</v>
      </c>
      <c r="W7" s="767">
        <f t="shared" ref="W7:W15" si="2">J7</f>
        <v>0</v>
      </c>
      <c r="X7" s="768"/>
      <c r="Y7" s="3703" t="s">
        <v>2537</v>
      </c>
      <c r="Z7" s="3704"/>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03" t="s">
        <v>2540</v>
      </c>
      <c r="Q8" s="3704"/>
      <c r="R8" s="766" t="s">
        <v>17</v>
      </c>
      <c r="S8" s="767">
        <f t="shared" si="0"/>
        <v>0</v>
      </c>
      <c r="T8" s="766" t="s">
        <v>17</v>
      </c>
      <c r="U8" s="767">
        <f t="shared" si="1"/>
        <v>0</v>
      </c>
      <c r="V8" s="766" t="s">
        <v>17</v>
      </c>
      <c r="W8" s="767">
        <f t="shared" si="2"/>
        <v>0</v>
      </c>
      <c r="X8" s="768"/>
      <c r="Y8" s="3703" t="s">
        <v>2540</v>
      </c>
      <c r="Z8" s="3704"/>
      <c r="AA8" s="769" t="e">
        <f t="shared" ref="AA8:AA40" si="3">D8/F8</f>
        <v>#DIV/0!</v>
      </c>
      <c r="AB8" s="769" t="e">
        <f t="shared" ref="AB8:AB40" si="4">D8/H8</f>
        <v>#DIV/0!</v>
      </c>
      <c r="AC8" s="769" t="e">
        <f t="shared" ref="AC8:AC40" si="5">D8/J8</f>
        <v>#DIV/0!</v>
      </c>
    </row>
    <row r="9" spans="1:29" s="117" customFormat="1">
      <c r="A9" s="414" t="s">
        <v>2541</v>
      </c>
      <c r="B9" s="71" t="s">
        <v>2542</v>
      </c>
      <c r="C9" s="2671"/>
      <c r="D9" s="135">
        <v>100</v>
      </c>
      <c r="E9" s="2671"/>
      <c r="F9" s="135">
        <f>SUMIF(70:70,E9,71:71)-SUMIF(70:70,C9,71:71)+100</f>
        <v>100</v>
      </c>
      <c r="G9" s="2671"/>
      <c r="H9" s="135">
        <f>SUMIF(70:70,G9,71:71)-SUMIF(70:70,C9,71:71)+100</f>
        <v>100</v>
      </c>
      <c r="I9" s="2671"/>
      <c r="J9" s="135">
        <f>SUMIF(70:70,I9,71:71)-SUMIF(70:70,C9,71:71)+100</f>
        <v>100</v>
      </c>
      <c r="K9" s="610"/>
      <c r="L9" s="1115"/>
      <c r="M9" s="1116"/>
      <c r="N9" s="1116"/>
      <c r="O9" s="1117"/>
      <c r="P9" s="3664" t="s">
        <v>2543</v>
      </c>
      <c r="Q9" s="1775" t="str">
        <f t="shared" ref="Q9:Q15" si="6">B9</f>
        <v>用途</v>
      </c>
      <c r="R9" s="766" t="s">
        <v>17</v>
      </c>
      <c r="S9" s="767">
        <f t="shared" si="0"/>
        <v>100</v>
      </c>
      <c r="T9" s="766" t="s">
        <v>17</v>
      </c>
      <c r="U9" s="767">
        <f t="shared" si="1"/>
        <v>100</v>
      </c>
      <c r="V9" s="766" t="s">
        <v>17</v>
      </c>
      <c r="W9" s="767">
        <f t="shared" si="2"/>
        <v>100</v>
      </c>
      <c r="X9" s="768"/>
      <c r="Y9" s="3466"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102</v>
      </c>
      <c r="G10" s="431"/>
      <c r="H10" s="136">
        <f>ROUND(100/'数据-取费表'!G16,0)</f>
        <v>102</v>
      </c>
      <c r="I10" s="431"/>
      <c r="J10" s="136">
        <f>ROUND(100/'数据-取费表'!G16,0)</f>
        <v>102</v>
      </c>
      <c r="K10" s="671"/>
      <c r="L10" s="1118"/>
      <c r="M10" s="1119"/>
      <c r="N10" s="1119"/>
      <c r="O10" s="1120"/>
      <c r="P10" s="3664"/>
      <c r="Q10" s="1775" t="str">
        <f t="shared" si="6"/>
        <v>土地使用年限（年）</v>
      </c>
      <c r="R10" s="766" t="s">
        <v>17</v>
      </c>
      <c r="S10" s="767">
        <f t="shared" si="0"/>
        <v>102</v>
      </c>
      <c r="T10" s="766" t="s">
        <v>17</v>
      </c>
      <c r="U10" s="767">
        <f t="shared" si="1"/>
        <v>102</v>
      </c>
      <c r="V10" s="766" t="s">
        <v>17</v>
      </c>
      <c r="W10" s="767">
        <f t="shared" si="2"/>
        <v>102</v>
      </c>
      <c r="X10" s="768"/>
      <c r="Y10" s="3466"/>
      <c r="Z10" s="55" t="str">
        <f t="shared" si="7"/>
        <v>土地使用年限（年）</v>
      </c>
      <c r="AA10" s="769">
        <f t="shared" si="3"/>
        <v>0.98039215686274506</v>
      </c>
      <c r="AB10" s="769">
        <f t="shared" si="4"/>
        <v>0.98039215686274506</v>
      </c>
      <c r="AC10" s="769">
        <f t="shared" si="5"/>
        <v>0.98039215686274506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64"/>
      <c r="Q11" s="1775" t="str">
        <f t="shared" si="6"/>
        <v>容积率</v>
      </c>
      <c r="R11" s="766" t="s">
        <v>17</v>
      </c>
      <c r="S11" s="767" t="e">
        <f t="shared" si="0"/>
        <v>#N/A</v>
      </c>
      <c r="T11" s="766" t="s">
        <v>17</v>
      </c>
      <c r="U11" s="767" t="e">
        <f t="shared" si="1"/>
        <v>#N/A</v>
      </c>
      <c r="V11" s="766" t="s">
        <v>17</v>
      </c>
      <c r="W11" s="767" t="e">
        <f t="shared" si="2"/>
        <v>#N/A</v>
      </c>
      <c r="X11" s="768"/>
      <c r="Y11" s="3466"/>
      <c r="Z11" s="55" t="str">
        <f t="shared" si="7"/>
        <v>容积率</v>
      </c>
      <c r="AA11" s="769" t="e">
        <f t="shared" si="3"/>
        <v>#N/A</v>
      </c>
      <c r="AB11" s="769" t="e">
        <f t="shared" si="4"/>
        <v>#N/A</v>
      </c>
      <c r="AC11" s="769" t="e">
        <f t="shared" si="5"/>
        <v>#N/A</v>
      </c>
    </row>
    <row r="12" spans="1:29" s="117" customFormat="1" ht="15">
      <c r="A12" s="430"/>
      <c r="B12" s="2572">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64"/>
      <c r="Q12" s="1775">
        <f t="shared" si="6"/>
        <v>111</v>
      </c>
      <c r="R12" s="766" t="s">
        <v>17</v>
      </c>
      <c r="S12" s="767">
        <f t="shared" si="0"/>
        <v>100</v>
      </c>
      <c r="T12" s="766" t="s">
        <v>17</v>
      </c>
      <c r="U12" s="767">
        <f t="shared" si="1"/>
        <v>100</v>
      </c>
      <c r="V12" s="766" t="s">
        <v>17</v>
      </c>
      <c r="W12" s="767">
        <f t="shared" si="2"/>
        <v>100</v>
      </c>
      <c r="X12" s="768"/>
      <c r="Y12" s="3466"/>
      <c r="Z12" s="55">
        <f t="shared" si="7"/>
        <v>111</v>
      </c>
      <c r="AA12" s="769">
        <f>D12/F12</f>
        <v>1</v>
      </c>
      <c r="AB12" s="769">
        <f>D12/H12</f>
        <v>1</v>
      </c>
      <c r="AC12" s="769">
        <f>D12/J12</f>
        <v>1</v>
      </c>
    </row>
    <row r="13" spans="1:29" ht="15">
      <c r="A13" s="427"/>
      <c r="B13" s="2572">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64"/>
      <c r="Q13" s="1775">
        <f t="shared" si="6"/>
        <v>111</v>
      </c>
      <c r="R13" s="766" t="s">
        <v>17</v>
      </c>
      <c r="S13" s="767">
        <f t="shared" si="0"/>
        <v>100</v>
      </c>
      <c r="T13" s="766" t="s">
        <v>17</v>
      </c>
      <c r="U13" s="767">
        <f t="shared" si="1"/>
        <v>100</v>
      </c>
      <c r="V13" s="766" t="s">
        <v>17</v>
      </c>
      <c r="W13" s="767">
        <f t="shared" si="2"/>
        <v>100</v>
      </c>
      <c r="X13" s="768"/>
      <c r="Y13" s="3466"/>
      <c r="Z13" s="55">
        <f t="shared" si="7"/>
        <v>111</v>
      </c>
      <c r="AA13" s="769">
        <f t="shared" si="3"/>
        <v>1</v>
      </c>
      <c r="AB13" s="769">
        <f t="shared" si="4"/>
        <v>1</v>
      </c>
      <c r="AC13" s="769">
        <f t="shared" si="5"/>
        <v>1</v>
      </c>
    </row>
    <row r="14" spans="1:29" ht="15.75" thickBot="1">
      <c r="A14" s="435"/>
      <c r="B14" s="2574">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64"/>
      <c r="Q14" s="1775">
        <f t="shared" si="6"/>
        <v>111</v>
      </c>
      <c r="R14" s="766" t="s">
        <v>17</v>
      </c>
      <c r="S14" s="767">
        <f t="shared" si="0"/>
        <v>100</v>
      </c>
      <c r="T14" s="766" t="s">
        <v>17</v>
      </c>
      <c r="U14" s="767">
        <f t="shared" si="1"/>
        <v>100</v>
      </c>
      <c r="V14" s="766" t="s">
        <v>17</v>
      </c>
      <c r="W14" s="767">
        <f t="shared" si="2"/>
        <v>100</v>
      </c>
      <c r="X14" s="768"/>
      <c r="Y14" s="3466"/>
      <c r="Z14" s="55">
        <f t="shared" si="7"/>
        <v>111</v>
      </c>
      <c r="AA14" s="769">
        <f t="shared" si="3"/>
        <v>1</v>
      </c>
      <c r="AB14" s="769">
        <f t="shared" si="4"/>
        <v>1</v>
      </c>
      <c r="AC14" s="769">
        <f t="shared" si="5"/>
        <v>1</v>
      </c>
    </row>
    <row r="15" spans="1:29" ht="57">
      <c r="A15" s="439" t="s">
        <v>2547</v>
      </c>
      <c r="B15" s="628" t="s">
        <v>2776</v>
      </c>
      <c r="C15" s="266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71" t="s">
        <v>2548</v>
      </c>
      <c r="Q15" s="1790" t="str">
        <f t="shared" si="6"/>
        <v>产业集聚程度</v>
      </c>
      <c r="R15" s="770" t="s">
        <v>17</v>
      </c>
      <c r="S15" s="771">
        <f t="shared" si="0"/>
        <v>100</v>
      </c>
      <c r="T15" s="770" t="s">
        <v>17</v>
      </c>
      <c r="U15" s="771">
        <f t="shared" si="1"/>
        <v>100</v>
      </c>
      <c r="V15" s="770" t="s">
        <v>17</v>
      </c>
      <c r="W15" s="771">
        <f t="shared" si="2"/>
        <v>100</v>
      </c>
      <c r="X15" s="1793"/>
      <c r="Y15" s="3671" t="s">
        <v>2548</v>
      </c>
      <c r="Z15" s="1794" t="str">
        <f t="shared" si="7"/>
        <v>产业集聚程度</v>
      </c>
      <c r="AA15" s="1791">
        <f t="shared" si="3"/>
        <v>1</v>
      </c>
      <c r="AB15" s="1791">
        <f t="shared" si="4"/>
        <v>1</v>
      </c>
      <c r="AC15" s="1791">
        <f t="shared" si="5"/>
        <v>1</v>
      </c>
    </row>
    <row r="16" spans="1:29" ht="15">
      <c r="A16" s="427"/>
      <c r="B16" s="629"/>
      <c r="C16" s="446"/>
      <c r="D16" s="447"/>
      <c r="E16" s="2583"/>
      <c r="F16" s="447"/>
      <c r="G16" s="2583"/>
      <c r="H16" s="449"/>
      <c r="I16" s="2583"/>
      <c r="J16" s="447"/>
      <c r="K16" s="671"/>
      <c r="L16" s="1123"/>
      <c r="M16" s="1114"/>
      <c r="N16" s="1114"/>
      <c r="O16" s="1122"/>
      <c r="P16" s="3672"/>
      <c r="Q16" s="1790"/>
      <c r="R16" s="770"/>
      <c r="S16" s="771"/>
      <c r="T16" s="770"/>
      <c r="U16" s="771"/>
      <c r="V16" s="770"/>
      <c r="W16" s="771"/>
      <c r="X16" s="1793"/>
      <c r="Y16" s="3672"/>
      <c r="Z16" s="1794"/>
      <c r="AA16" s="1791">
        <v>1</v>
      </c>
      <c r="AB16" s="1791">
        <v>1</v>
      </c>
      <c r="AC16" s="1791">
        <v>1</v>
      </c>
    </row>
    <row r="17" spans="1:29" ht="85.5">
      <c r="A17" s="427"/>
      <c r="B17" s="630" t="s">
        <v>2697</v>
      </c>
      <c r="C17" s="257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72"/>
      <c r="Q17" s="1790" t="str">
        <f>B17</f>
        <v>交通便捷度</v>
      </c>
      <c r="R17" s="770" t="s">
        <v>17</v>
      </c>
      <c r="S17" s="771">
        <f>F17</f>
        <v>100</v>
      </c>
      <c r="T17" s="770" t="s">
        <v>17</v>
      </c>
      <c r="U17" s="771">
        <f>H17</f>
        <v>100</v>
      </c>
      <c r="V17" s="770" t="s">
        <v>17</v>
      </c>
      <c r="W17" s="771">
        <f>J17</f>
        <v>100</v>
      </c>
      <c r="X17" s="1793"/>
      <c r="Y17" s="3672"/>
      <c r="Z17" s="1794" t="str">
        <f>Q17</f>
        <v>交通便捷度</v>
      </c>
      <c r="AA17" s="1791">
        <f t="shared" si="3"/>
        <v>1</v>
      </c>
      <c r="AB17" s="1791">
        <f t="shared" si="4"/>
        <v>1</v>
      </c>
      <c r="AC17" s="1791">
        <f t="shared" si="5"/>
        <v>1</v>
      </c>
    </row>
    <row r="18" spans="1:29" ht="15">
      <c r="A18" s="427"/>
      <c r="B18" s="631"/>
      <c r="C18" s="446"/>
      <c r="D18" s="447"/>
      <c r="E18" s="2577"/>
      <c r="F18" s="447"/>
      <c r="G18" s="2577"/>
      <c r="H18" s="447"/>
      <c r="I18" s="2576"/>
      <c r="J18" s="447"/>
      <c r="K18" s="671"/>
      <c r="L18" s="1123"/>
      <c r="M18" s="1114"/>
      <c r="N18" s="1114"/>
      <c r="O18" s="1122"/>
      <c r="P18" s="3672"/>
      <c r="Q18" s="1790"/>
      <c r="R18" s="770"/>
      <c r="S18" s="771"/>
      <c r="T18" s="770"/>
      <c r="U18" s="771"/>
      <c r="V18" s="770"/>
      <c r="W18" s="771"/>
      <c r="X18" s="1793"/>
      <c r="Y18" s="3672"/>
      <c r="Z18" s="1794"/>
      <c r="AA18" s="1791">
        <v>1</v>
      </c>
      <c r="AB18" s="1791">
        <v>1</v>
      </c>
      <c r="AC18" s="1791">
        <v>1</v>
      </c>
    </row>
    <row r="19" spans="1:29" ht="15">
      <c r="A19" s="427"/>
      <c r="B19" s="630" t="s">
        <v>2733</v>
      </c>
      <c r="C19" s="257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72"/>
      <c r="Q19" s="1790" t="str">
        <f t="shared" ref="Q19:Q33" si="8">B19</f>
        <v>区域土地利用方向</v>
      </c>
      <c r="R19" s="770" t="s">
        <v>17</v>
      </c>
      <c r="S19" s="771">
        <f>F19</f>
        <v>100</v>
      </c>
      <c r="T19" s="770" t="s">
        <v>17</v>
      </c>
      <c r="U19" s="771">
        <f>H19</f>
        <v>100</v>
      </c>
      <c r="V19" s="770" t="s">
        <v>17</v>
      </c>
      <c r="W19" s="771">
        <f>J19</f>
        <v>100</v>
      </c>
      <c r="X19" s="1793"/>
      <c r="Y19" s="3672"/>
      <c r="Z19" s="1794" t="str">
        <f>Q19</f>
        <v>区域土地利用方向</v>
      </c>
      <c r="AA19" s="1791">
        <f t="shared" si="3"/>
        <v>1</v>
      </c>
      <c r="AB19" s="1791">
        <f t="shared" si="4"/>
        <v>1</v>
      </c>
      <c r="AC19" s="1791">
        <f t="shared" si="5"/>
        <v>1</v>
      </c>
    </row>
    <row r="20" spans="1:29" ht="15">
      <c r="A20" s="403"/>
      <c r="B20" s="631"/>
      <c r="C20" s="446"/>
      <c r="D20" s="447"/>
      <c r="E20" s="2577"/>
      <c r="F20" s="447"/>
      <c r="G20" s="2577"/>
      <c r="H20" s="447"/>
      <c r="I20" s="2577"/>
      <c r="J20" s="447"/>
      <c r="K20" s="802"/>
      <c r="L20" s="1123"/>
      <c r="M20" s="1114"/>
      <c r="N20" s="1114"/>
      <c r="O20" s="1122"/>
      <c r="P20" s="3672"/>
      <c r="Q20" s="1790"/>
      <c r="R20" s="770"/>
      <c r="S20" s="771"/>
      <c r="T20" s="770"/>
      <c r="U20" s="771"/>
      <c r="V20" s="770"/>
      <c r="W20" s="771"/>
      <c r="X20" s="1793"/>
      <c r="Y20" s="3672"/>
      <c r="Z20" s="1794"/>
      <c r="AA20" s="1791"/>
      <c r="AB20" s="1791"/>
      <c r="AC20" s="1791"/>
    </row>
    <row r="21" spans="1:29" ht="71.25">
      <c r="A21" s="403"/>
      <c r="B21" s="630" t="s">
        <v>2777</v>
      </c>
      <c r="C21" s="257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72"/>
      <c r="Q21" s="1790" t="str">
        <f t="shared" si="8"/>
        <v>环境状况</v>
      </c>
      <c r="R21" s="770" t="s">
        <v>17</v>
      </c>
      <c r="S21" s="771">
        <f>F21</f>
        <v>100</v>
      </c>
      <c r="T21" s="770" t="s">
        <v>17</v>
      </c>
      <c r="U21" s="771">
        <f>H21</f>
        <v>100</v>
      </c>
      <c r="V21" s="770" t="s">
        <v>17</v>
      </c>
      <c r="W21" s="771">
        <f>J21</f>
        <v>100</v>
      </c>
      <c r="X21" s="1793"/>
      <c r="Y21" s="3672"/>
      <c r="Z21" s="1794" t="str">
        <f>Q21</f>
        <v>环境状况</v>
      </c>
      <c r="AA21" s="1791">
        <f t="shared" si="3"/>
        <v>1</v>
      </c>
      <c r="AB21" s="1791">
        <f t="shared" si="4"/>
        <v>1</v>
      </c>
      <c r="AC21" s="1791">
        <f t="shared" si="5"/>
        <v>1</v>
      </c>
    </row>
    <row r="22" spans="1:29" ht="15">
      <c r="A22" s="403"/>
      <c r="B22" s="631"/>
      <c r="C22" s="446"/>
      <c r="D22" s="447"/>
      <c r="E22" s="2583"/>
      <c r="F22" s="447"/>
      <c r="G22" s="2583"/>
      <c r="H22" s="447"/>
      <c r="I22" s="446"/>
      <c r="J22" s="447"/>
      <c r="K22" s="671"/>
      <c r="L22" s="1123"/>
      <c r="M22" s="1114"/>
      <c r="N22" s="1114"/>
      <c r="O22" s="1122"/>
      <c r="P22" s="3672"/>
      <c r="Q22" s="1790"/>
      <c r="R22" s="770"/>
      <c r="S22" s="771"/>
      <c r="T22" s="770"/>
      <c r="U22" s="771"/>
      <c r="V22" s="770"/>
      <c r="W22" s="771"/>
      <c r="X22" s="1793"/>
      <c r="Y22" s="3672"/>
      <c r="Z22" s="1794"/>
      <c r="AA22" s="1791">
        <v>1</v>
      </c>
      <c r="AB22" s="1791">
        <v>1</v>
      </c>
      <c r="AC22" s="1791">
        <v>1</v>
      </c>
    </row>
    <row r="23" spans="1:29" s="117" customFormat="1" ht="42.75">
      <c r="A23" s="648"/>
      <c r="B23" s="632" t="s">
        <v>2642</v>
      </c>
      <c r="C23" s="257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72"/>
      <c r="Q23" s="1775" t="str">
        <f t="shared" si="8"/>
        <v>公共配套设施</v>
      </c>
      <c r="R23" s="766" t="s">
        <v>17</v>
      </c>
      <c r="S23" s="767">
        <f>F23</f>
        <v>100</v>
      </c>
      <c r="T23" s="766" t="s">
        <v>17</v>
      </c>
      <c r="U23" s="767">
        <f>H23</f>
        <v>100</v>
      </c>
      <c r="V23" s="766" t="s">
        <v>17</v>
      </c>
      <c r="W23" s="767">
        <f>J23</f>
        <v>100</v>
      </c>
      <c r="X23" s="768"/>
      <c r="Y23" s="3672"/>
      <c r="Z23" s="55" t="str">
        <f>Q23</f>
        <v>公共配套设施</v>
      </c>
      <c r="AA23" s="1791">
        <f>D23/F23</f>
        <v>1</v>
      </c>
      <c r="AB23" s="1791">
        <f>D23/H23</f>
        <v>1</v>
      </c>
      <c r="AC23" s="1791">
        <f>D23/J23</f>
        <v>1</v>
      </c>
    </row>
    <row r="24" spans="1:29" s="117" customFormat="1" ht="15">
      <c r="A24" s="648"/>
      <c r="B24" s="631"/>
      <c r="C24" s="2672"/>
      <c r="D24" s="447"/>
      <c r="E24" s="2583"/>
      <c r="F24" s="447"/>
      <c r="G24" s="2583"/>
      <c r="H24" s="447"/>
      <c r="I24" s="446"/>
      <c r="J24" s="447"/>
      <c r="K24" s="671"/>
      <c r="L24" s="1115"/>
      <c r="M24" s="1116"/>
      <c r="N24" s="1116"/>
      <c r="O24" s="1117"/>
      <c r="P24" s="3672"/>
      <c r="Q24" s="1775"/>
      <c r="R24" s="766"/>
      <c r="S24" s="767"/>
      <c r="T24" s="766"/>
      <c r="U24" s="767"/>
      <c r="V24" s="766"/>
      <c r="W24" s="767"/>
      <c r="X24" s="768"/>
      <c r="Y24" s="3672"/>
      <c r="Z24" s="55"/>
      <c r="AA24" s="769">
        <v>1</v>
      </c>
      <c r="AB24" s="769">
        <v>1</v>
      </c>
      <c r="AC24" s="769">
        <v>1</v>
      </c>
    </row>
    <row r="25" spans="1:29" s="117" customFormat="1" ht="28.5">
      <c r="A25" s="648"/>
      <c r="B25" s="632" t="s">
        <v>2643</v>
      </c>
      <c r="C25" s="257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72"/>
      <c r="Q25" s="1775" t="str">
        <f t="shared" ref="Q25" si="9">B25</f>
        <v>基础设施水平</v>
      </c>
      <c r="R25" s="766" t="s">
        <v>17</v>
      </c>
      <c r="S25" s="767">
        <f>F25</f>
        <v>100</v>
      </c>
      <c r="T25" s="766" t="s">
        <v>17</v>
      </c>
      <c r="U25" s="767">
        <f>H25</f>
        <v>100</v>
      </c>
      <c r="V25" s="766" t="s">
        <v>17</v>
      </c>
      <c r="W25" s="767">
        <f>J25</f>
        <v>100</v>
      </c>
      <c r="X25" s="768"/>
      <c r="Y25" s="3672"/>
      <c r="Z25" s="55" t="str">
        <f>Q25</f>
        <v>基础设施水平</v>
      </c>
      <c r="AA25" s="1791">
        <f>D25/F25</f>
        <v>1</v>
      </c>
      <c r="AB25" s="1791">
        <f>D25/H25</f>
        <v>1</v>
      </c>
      <c r="AC25" s="1791">
        <f>D25/J25</f>
        <v>1</v>
      </c>
    </row>
    <row r="26" spans="1:29" s="117" customFormat="1" ht="15">
      <c r="A26" s="648"/>
      <c r="B26" s="631"/>
      <c r="C26" s="2672"/>
      <c r="D26" s="447"/>
      <c r="E26" s="2673"/>
      <c r="F26" s="447"/>
      <c r="G26" s="2673"/>
      <c r="H26" s="447"/>
      <c r="I26" s="2673"/>
      <c r="J26" s="447"/>
      <c r="K26" s="671"/>
      <c r="L26" s="1115"/>
      <c r="M26" s="1116"/>
      <c r="N26" s="1116"/>
      <c r="O26" s="1117"/>
      <c r="P26" s="3672"/>
      <c r="Q26" s="1775"/>
      <c r="R26" s="766"/>
      <c r="S26" s="767"/>
      <c r="T26" s="766"/>
      <c r="U26" s="767"/>
      <c r="V26" s="766"/>
      <c r="W26" s="767"/>
      <c r="X26" s="768"/>
      <c r="Y26" s="3672"/>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72"/>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72"/>
      <c r="Z27" s="1794" t="str">
        <f t="shared" ref="Z27:Z40" si="13">Q27</f>
        <v>临街状况</v>
      </c>
      <c r="AA27" s="1791">
        <f t="shared" si="3"/>
        <v>1</v>
      </c>
      <c r="AB27" s="1791">
        <f t="shared" si="4"/>
        <v>1</v>
      </c>
      <c r="AC27" s="1791">
        <f t="shared" si="5"/>
        <v>1</v>
      </c>
    </row>
    <row r="28" spans="1:29" ht="27">
      <c r="A28" s="427"/>
      <c r="B28" s="632" t="s">
        <v>2679</v>
      </c>
      <c r="C28" s="268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72"/>
      <c r="Q28" s="1790" t="str">
        <f t="shared" si="8"/>
        <v>毗邻道路的类型与等级</v>
      </c>
      <c r="R28" s="770" t="s">
        <v>17</v>
      </c>
      <c r="S28" s="771">
        <f t="shared" si="10"/>
        <v>100</v>
      </c>
      <c r="T28" s="770" t="s">
        <v>17</v>
      </c>
      <c r="U28" s="771">
        <f t="shared" si="11"/>
        <v>100</v>
      </c>
      <c r="V28" s="770" t="s">
        <v>17</v>
      </c>
      <c r="W28" s="771">
        <f t="shared" si="12"/>
        <v>100</v>
      </c>
      <c r="X28" s="1793"/>
      <c r="Y28" s="3672"/>
      <c r="Z28" s="1794" t="str">
        <f t="shared" si="13"/>
        <v>毗邻道路的类型与等级</v>
      </c>
      <c r="AA28" s="1791">
        <f t="shared" si="3"/>
        <v>1</v>
      </c>
      <c r="AB28" s="1791">
        <f t="shared" si="4"/>
        <v>1</v>
      </c>
      <c r="AC28" s="1791">
        <f t="shared" si="5"/>
        <v>1</v>
      </c>
    </row>
    <row r="29" spans="1:29" ht="15">
      <c r="A29" s="427"/>
      <c r="B29" s="631"/>
      <c r="C29" s="446"/>
      <c r="D29" s="447"/>
      <c r="E29" s="2583"/>
      <c r="F29" s="447"/>
      <c r="G29" s="2583"/>
      <c r="H29" s="447"/>
      <c r="I29" s="2583"/>
      <c r="J29" s="447"/>
      <c r="K29" s="612"/>
      <c r="L29" s="1123"/>
      <c r="M29" s="1114"/>
      <c r="N29" s="1114"/>
      <c r="O29" s="1122"/>
      <c r="P29" s="3672"/>
      <c r="Q29" s="1790"/>
      <c r="R29" s="770"/>
      <c r="S29" s="771"/>
      <c r="T29" s="770"/>
      <c r="U29" s="771"/>
      <c r="V29" s="770"/>
      <c r="W29" s="771"/>
      <c r="X29" s="1793"/>
      <c r="Y29" s="3672"/>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72"/>
      <c r="Q30" s="1790" t="str">
        <f t="shared" si="8"/>
        <v>土地级别</v>
      </c>
      <c r="R30" s="770" t="s">
        <v>17</v>
      </c>
      <c r="S30" s="771">
        <f t="shared" si="10"/>
        <v>100</v>
      </c>
      <c r="T30" s="770" t="s">
        <v>17</v>
      </c>
      <c r="U30" s="771">
        <f t="shared" si="11"/>
        <v>100</v>
      </c>
      <c r="V30" s="770" t="s">
        <v>17</v>
      </c>
      <c r="W30" s="771">
        <f t="shared" si="12"/>
        <v>100</v>
      </c>
      <c r="X30" s="1793"/>
      <c r="Y30" s="3672"/>
      <c r="Z30" s="1794" t="str">
        <f t="shared" si="13"/>
        <v>土地级别</v>
      </c>
      <c r="AA30" s="1791">
        <f t="shared" si="3"/>
        <v>1</v>
      </c>
      <c r="AB30" s="1791">
        <f t="shared" si="4"/>
        <v>1</v>
      </c>
      <c r="AC30" s="1791">
        <f t="shared" si="5"/>
        <v>1</v>
      </c>
    </row>
    <row r="31" spans="1:29" ht="15">
      <c r="A31" s="403"/>
      <c r="B31" s="265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72"/>
      <c r="Q31" s="1790">
        <f t="shared" si="8"/>
        <v>111</v>
      </c>
      <c r="R31" s="770" t="s">
        <v>17</v>
      </c>
      <c r="S31" s="771">
        <f t="shared" si="10"/>
        <v>100</v>
      </c>
      <c r="T31" s="770" t="s">
        <v>17</v>
      </c>
      <c r="U31" s="771">
        <f t="shared" si="11"/>
        <v>100</v>
      </c>
      <c r="V31" s="770" t="s">
        <v>17</v>
      </c>
      <c r="W31" s="771">
        <f t="shared" si="12"/>
        <v>100</v>
      </c>
      <c r="X31" s="1793"/>
      <c r="Y31" s="3672"/>
      <c r="Z31" s="1794">
        <f t="shared" si="13"/>
        <v>111</v>
      </c>
      <c r="AA31" s="1791">
        <f t="shared" si="3"/>
        <v>1</v>
      </c>
      <c r="AB31" s="1791">
        <f t="shared" si="4"/>
        <v>1</v>
      </c>
      <c r="AC31" s="1791">
        <f t="shared" si="5"/>
        <v>1</v>
      </c>
    </row>
    <row r="32" spans="1:29" ht="15">
      <c r="A32" s="674"/>
      <c r="B32" s="268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1" t="s">
        <v>2553</v>
      </c>
      <c r="Q32" s="1790">
        <f t="shared" si="8"/>
        <v>111</v>
      </c>
      <c r="R32" s="770" t="s">
        <v>17</v>
      </c>
      <c r="S32" s="771">
        <f t="shared" si="10"/>
        <v>100</v>
      </c>
      <c r="T32" s="770" t="s">
        <v>17</v>
      </c>
      <c r="U32" s="771">
        <f t="shared" si="11"/>
        <v>100</v>
      </c>
      <c r="V32" s="770" t="s">
        <v>17</v>
      </c>
      <c r="W32" s="771">
        <f t="shared" si="12"/>
        <v>100</v>
      </c>
      <c r="X32" s="1793"/>
      <c r="Y32" s="3676" t="s">
        <v>2553</v>
      </c>
      <c r="Z32" s="1794">
        <f t="shared" si="13"/>
        <v>111</v>
      </c>
      <c r="AA32" s="1791">
        <f t="shared" si="3"/>
        <v>1</v>
      </c>
      <c r="AB32" s="1791">
        <f t="shared" si="4"/>
        <v>1</v>
      </c>
      <c r="AC32" s="1791">
        <f t="shared" si="5"/>
        <v>1</v>
      </c>
    </row>
    <row r="33" spans="1:29" s="470" customFormat="1" ht="15.75" thickBot="1">
      <c r="A33" s="675"/>
      <c r="B33" s="2685">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76"/>
      <c r="Q33" s="1790">
        <f t="shared" si="8"/>
        <v>111</v>
      </c>
      <c r="R33" s="773" t="s">
        <v>17</v>
      </c>
      <c r="S33" s="774">
        <f t="shared" si="10"/>
        <v>100</v>
      </c>
      <c r="T33" s="773" t="s">
        <v>17</v>
      </c>
      <c r="U33" s="774">
        <f t="shared" si="11"/>
        <v>100</v>
      </c>
      <c r="V33" s="773" t="s">
        <v>17</v>
      </c>
      <c r="W33" s="774">
        <f t="shared" si="12"/>
        <v>100</v>
      </c>
      <c r="X33" s="775"/>
      <c r="Y33" s="3676"/>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76"/>
      <c r="Q34" s="1790" t="str">
        <f>B34</f>
        <v>宗地面积</v>
      </c>
      <c r="R34" s="770" t="s">
        <v>17</v>
      </c>
      <c r="S34" s="771" t="e">
        <f t="shared" si="10"/>
        <v>#N/A</v>
      </c>
      <c r="T34" s="770" t="s">
        <v>17</v>
      </c>
      <c r="U34" s="771" t="e">
        <f t="shared" si="11"/>
        <v>#N/A</v>
      </c>
      <c r="V34" s="770" t="s">
        <v>17</v>
      </c>
      <c r="W34" s="771" t="e">
        <f t="shared" si="12"/>
        <v>#N/A</v>
      </c>
      <c r="X34" s="1793"/>
      <c r="Y34" s="3676"/>
      <c r="Z34" s="1794" t="str">
        <f t="shared" si="13"/>
        <v>宗地面积</v>
      </c>
      <c r="AA34" s="1791" t="e">
        <f t="shared" si="3"/>
        <v>#N/A</v>
      </c>
      <c r="AB34" s="1791" t="e">
        <f t="shared" si="4"/>
        <v>#N/A</v>
      </c>
      <c r="AC34" s="1791" t="e">
        <f t="shared" si="5"/>
        <v>#N/A</v>
      </c>
    </row>
    <row r="35" spans="1:29" ht="15">
      <c r="A35" s="471"/>
      <c r="B35" s="421" t="s">
        <v>2736</v>
      </c>
      <c r="C35" s="2585"/>
      <c r="D35" s="434">
        <v>100</v>
      </c>
      <c r="E35" s="2585"/>
      <c r="F35" s="434">
        <f>SUMIF(110:110,E35,111:111)-SUMIF(110:110,C35,111:111)+100</f>
        <v>100</v>
      </c>
      <c r="G35" s="2585"/>
      <c r="H35" s="434">
        <f>SUMIF(110:110,G35,111:111)-SUMIF(110:110,C35,111:111)+100</f>
        <v>100</v>
      </c>
      <c r="I35" s="2585"/>
      <c r="J35" s="434">
        <f>SUMIF(110:110,I35,111:111)-SUMIF(110:110,C35,111:111)+100</f>
        <v>100</v>
      </c>
      <c r="K35" s="611"/>
      <c r="L35" s="1123"/>
      <c r="M35" s="1114"/>
      <c r="N35" s="1114"/>
      <c r="O35" s="1122"/>
      <c r="P35" s="3676"/>
      <c r="Q35" s="1790" t="str">
        <f t="shared" ref="Q35:Q40" si="14">B35</f>
        <v>宗地形状</v>
      </c>
      <c r="R35" s="770" t="s">
        <v>17</v>
      </c>
      <c r="S35" s="771">
        <f t="shared" si="10"/>
        <v>100</v>
      </c>
      <c r="T35" s="770" t="s">
        <v>17</v>
      </c>
      <c r="U35" s="771">
        <f t="shared" si="11"/>
        <v>100</v>
      </c>
      <c r="V35" s="770" t="s">
        <v>17</v>
      </c>
      <c r="W35" s="771">
        <f t="shared" si="12"/>
        <v>100</v>
      </c>
      <c r="X35" s="1793"/>
      <c r="Y35" s="3676"/>
      <c r="Z35" s="1794" t="str">
        <f t="shared" si="13"/>
        <v>宗地形状</v>
      </c>
      <c r="AA35" s="1791">
        <f t="shared" si="3"/>
        <v>1</v>
      </c>
      <c r="AB35" s="1791">
        <f t="shared" si="4"/>
        <v>1</v>
      </c>
      <c r="AC35" s="1791">
        <f t="shared" si="5"/>
        <v>1</v>
      </c>
    </row>
    <row r="36" spans="1:29" s="117" customFormat="1" ht="15">
      <c r="A36" s="472"/>
      <c r="B36" s="421" t="s">
        <v>2737</v>
      </c>
      <c r="C36" s="2674"/>
      <c r="D36" s="136">
        <v>100</v>
      </c>
      <c r="E36" s="2674"/>
      <c r="F36" s="434">
        <f>SUMIF(112:112,E36,113:113)-SUMIF(112:112,C36,113:113)+100</f>
        <v>100</v>
      </c>
      <c r="G36" s="2674"/>
      <c r="H36" s="434">
        <f>SUMIF(112:112,G36,113:113)-SUMIF(112:112,C36,113:113)+100</f>
        <v>100</v>
      </c>
      <c r="I36" s="2674"/>
      <c r="J36" s="434">
        <f>SUMIF(112:112,I36,113:113)-SUMIF(112:112,C36,113:113)+100</f>
        <v>100</v>
      </c>
      <c r="K36" s="611"/>
      <c r="L36" s="1115"/>
      <c r="M36" s="1116"/>
      <c r="N36" s="1116"/>
      <c r="O36" s="1117"/>
      <c r="P36" s="3676"/>
      <c r="Q36" s="1790" t="str">
        <f t="shared" si="14"/>
        <v>宗地开发程度</v>
      </c>
      <c r="R36" s="766" t="s">
        <v>17</v>
      </c>
      <c r="S36" s="767">
        <f t="shared" si="10"/>
        <v>100</v>
      </c>
      <c r="T36" s="766" t="s">
        <v>17</v>
      </c>
      <c r="U36" s="767">
        <f t="shared" si="11"/>
        <v>100</v>
      </c>
      <c r="V36" s="766" t="s">
        <v>17</v>
      </c>
      <c r="W36" s="767">
        <f t="shared" si="12"/>
        <v>100</v>
      </c>
      <c r="X36" s="768"/>
      <c r="Y36" s="3676"/>
      <c r="Z36" s="55" t="str">
        <f t="shared" si="13"/>
        <v>宗地开发程度</v>
      </c>
      <c r="AA36" s="769">
        <f t="shared" si="3"/>
        <v>1</v>
      </c>
      <c r="AB36" s="769">
        <f t="shared" si="4"/>
        <v>1</v>
      </c>
      <c r="AC36" s="769">
        <f t="shared" si="5"/>
        <v>1</v>
      </c>
    </row>
    <row r="37" spans="1:29" ht="15">
      <c r="A37" s="471"/>
      <c r="B37" s="421" t="s">
        <v>2738</v>
      </c>
      <c r="C37" s="2585"/>
      <c r="D37" s="434">
        <v>100</v>
      </c>
      <c r="E37" s="2585"/>
      <c r="F37" s="434">
        <f>SUMIF(114:114,E37,115:115)-SUMIF(114:114,C37,115:115)+100</f>
        <v>100</v>
      </c>
      <c r="G37" s="2585"/>
      <c r="H37" s="434">
        <f>SUMIF(114:114,G37,115:115)-SUMIF(114:114,C37,115:115)+100</f>
        <v>100</v>
      </c>
      <c r="I37" s="2585"/>
      <c r="J37" s="434">
        <f>SUMIF(114:114,I37,115:115)-SUMIF(114:114,C37,115:115)+100</f>
        <v>100</v>
      </c>
      <c r="K37" s="611"/>
      <c r="L37" s="1123"/>
      <c r="M37" s="1114"/>
      <c r="N37" s="1114"/>
      <c r="O37" s="1122"/>
      <c r="P37" s="3676" t="s">
        <v>2553</v>
      </c>
      <c r="Q37" s="1790" t="str">
        <f t="shared" si="14"/>
        <v>工程地质条件</v>
      </c>
      <c r="R37" s="770" t="s">
        <v>17</v>
      </c>
      <c r="S37" s="771">
        <f t="shared" si="10"/>
        <v>100</v>
      </c>
      <c r="T37" s="770" t="s">
        <v>17</v>
      </c>
      <c r="U37" s="771">
        <f t="shared" si="11"/>
        <v>100</v>
      </c>
      <c r="V37" s="770" t="s">
        <v>17</v>
      </c>
      <c r="W37" s="771">
        <f t="shared" si="12"/>
        <v>100</v>
      </c>
      <c r="X37" s="1793"/>
      <c r="Y37" s="3676"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76"/>
      <c r="Q38" s="1790">
        <f t="shared" si="14"/>
        <v>111</v>
      </c>
      <c r="R38" s="770" t="s">
        <v>17</v>
      </c>
      <c r="S38" s="771">
        <f t="shared" si="10"/>
        <v>100</v>
      </c>
      <c r="T38" s="770" t="s">
        <v>17</v>
      </c>
      <c r="U38" s="771">
        <f t="shared" si="11"/>
        <v>100</v>
      </c>
      <c r="V38" s="770" t="s">
        <v>17</v>
      </c>
      <c r="W38" s="771">
        <f t="shared" si="12"/>
        <v>100</v>
      </c>
      <c r="X38" s="1793"/>
      <c r="Y38" s="3676"/>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76"/>
      <c r="Q39" s="1790">
        <f t="shared" si="14"/>
        <v>111</v>
      </c>
      <c r="R39" s="770" t="s">
        <v>17</v>
      </c>
      <c r="S39" s="771">
        <f t="shared" si="10"/>
        <v>100</v>
      </c>
      <c r="T39" s="770" t="s">
        <v>17</v>
      </c>
      <c r="U39" s="771">
        <f t="shared" si="11"/>
        <v>100</v>
      </c>
      <c r="V39" s="770" t="s">
        <v>17</v>
      </c>
      <c r="W39" s="771">
        <f t="shared" si="12"/>
        <v>100</v>
      </c>
      <c r="X39" s="1793"/>
      <c r="Y39" s="3676"/>
      <c r="Z39" s="1794">
        <f t="shared" si="13"/>
        <v>111</v>
      </c>
      <c r="AA39" s="1791">
        <f t="shared" si="3"/>
        <v>1</v>
      </c>
      <c r="AB39" s="1791">
        <f t="shared" si="4"/>
        <v>1</v>
      </c>
      <c r="AC39" s="1791">
        <f t="shared" si="5"/>
        <v>1</v>
      </c>
    </row>
    <row r="40" spans="1:29" s="470" customFormat="1" ht="15.75" thickBot="1">
      <c r="A40" s="467"/>
      <c r="B40" s="1369">
        <v>111</v>
      </c>
      <c r="C40" s="2675"/>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76"/>
      <c r="Q40" s="1790">
        <f t="shared" si="14"/>
        <v>111</v>
      </c>
      <c r="R40" s="773" t="s">
        <v>17</v>
      </c>
      <c r="S40" s="774">
        <f t="shared" si="10"/>
        <v>100</v>
      </c>
      <c r="T40" s="773" t="s">
        <v>17</v>
      </c>
      <c r="U40" s="774">
        <f t="shared" si="11"/>
        <v>100</v>
      </c>
      <c r="V40" s="773" t="s">
        <v>17</v>
      </c>
      <c r="W40" s="774">
        <f t="shared" si="12"/>
        <v>100</v>
      </c>
      <c r="X40" s="775"/>
      <c r="Y40" s="3676"/>
      <c r="Z40" s="776">
        <f t="shared" si="13"/>
        <v>111</v>
      </c>
      <c r="AA40" s="1791">
        <f t="shared" si="3"/>
        <v>1</v>
      </c>
      <c r="AB40" s="1791">
        <f t="shared" si="4"/>
        <v>1</v>
      </c>
      <c r="AC40" s="1791">
        <f t="shared" si="5"/>
        <v>1</v>
      </c>
    </row>
    <row r="41" spans="1:29" ht="15">
      <c r="A41" s="478" t="s">
        <v>2708</v>
      </c>
      <c r="B41" s="2676" t="s">
        <v>2778</v>
      </c>
      <c r="C41" s="680" t="s">
        <v>1</v>
      </c>
      <c r="D41" s="480"/>
      <c r="E41" s="481"/>
      <c r="F41" s="482"/>
      <c r="G41" s="483"/>
      <c r="H41" s="484"/>
      <c r="I41" s="481"/>
      <c r="J41" s="484"/>
      <c r="K41" s="779"/>
      <c r="L41" s="1126"/>
      <c r="M41" s="1114"/>
      <c r="N41" s="1114"/>
      <c r="O41" s="1127"/>
      <c r="P41" s="3664" t="str">
        <f>A41</f>
        <v>成交单价</v>
      </c>
      <c r="Q41" s="3664"/>
      <c r="R41" s="3678">
        <f>E41</f>
        <v>0</v>
      </c>
      <c r="S41" s="3678"/>
      <c r="T41" s="3678">
        <f>G41</f>
        <v>0</v>
      </c>
      <c r="U41" s="3678"/>
      <c r="V41" s="3678">
        <f>I41</f>
        <v>0</v>
      </c>
      <c r="W41" s="3678"/>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64" t="str">
        <f>A42</f>
        <v>比较价值（元/平方米）</v>
      </c>
      <c r="Q42" s="3664"/>
      <c r="R42" s="3751" t="e">
        <f>ROUND(PRODUCT(R41,AA7:AA40),0)</f>
        <v>#DIV/0!</v>
      </c>
      <c r="S42" s="3751"/>
      <c r="T42" s="3751" t="e">
        <f>ROUND(PRODUCT(T41,AB7:AB40),0)</f>
        <v>#DIV/0!</v>
      </c>
      <c r="U42" s="3751"/>
      <c r="V42" s="3751" t="e">
        <f>ROUND(PRODUCT(V41,AC7:AC40),0)</f>
        <v>#DIV/0!</v>
      </c>
      <c r="W42" s="3751"/>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666" t="str">
        <f>A43</f>
        <v>估价对象XX用房的比较价值（楼面单价，元/平方米）</v>
      </c>
      <c r="Q43" s="3667"/>
      <c r="R43" s="3750" t="e">
        <f>ROUND(AVERAGE(R42:V42),0)</f>
        <v>#DIV/0!</v>
      </c>
      <c r="S43" s="3750"/>
      <c r="T43" s="3750"/>
      <c r="U43" s="3750"/>
      <c r="V43" s="3750"/>
      <c r="W43" s="3750"/>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7" t="s">
        <v>2742</v>
      </c>
      <c r="D50" s="2678" t="s">
        <v>2743</v>
      </c>
      <c r="E50" s="684" t="s">
        <v>2744</v>
      </c>
      <c r="F50" s="685" t="s">
        <v>2745</v>
      </c>
      <c r="G50" s="3683" t="s">
        <v>2746</v>
      </c>
      <c r="H50" s="3744"/>
      <c r="I50" s="1794" t="s">
        <v>2779</v>
      </c>
      <c r="J50" s="1794" t="str">
        <f>项目基本情况!F35</f>
        <v>山东省</v>
      </c>
      <c r="K50" s="2679" t="s">
        <v>2747</v>
      </c>
      <c r="L50" s="1096"/>
      <c r="M50" s="1127"/>
      <c r="N50" s="1127"/>
      <c r="O50" s="1127"/>
    </row>
    <row r="51" spans="1:17" s="690" customFormat="1">
      <c r="A51" s="686" t="s">
        <v>2748</v>
      </c>
      <c r="B51" s="687" t="e">
        <f>C43</f>
        <v>#DIV/0!</v>
      </c>
      <c r="C51" s="688">
        <v>1</v>
      </c>
      <c r="D51" s="1145">
        <v>1</v>
      </c>
      <c r="E51" s="688">
        <f>'数据-汇总表'!E8+'数据-汇总表'!E9</f>
        <v>24348.570000000003</v>
      </c>
      <c r="F51" s="689" t="e">
        <f t="shared" ref="F51:F60" si="15">ROUND(B51*E51/10000,0)</f>
        <v>#DIV/0!</v>
      </c>
      <c r="G51" s="3679"/>
      <c r="H51" s="3664"/>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45"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45"/>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45"/>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45"/>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0"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0"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1"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15134.65</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2"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6"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009"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3631</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018" t="s">
        <v>1406</v>
      </c>
      <c r="E14" s="3017"/>
      <c r="F14" s="364"/>
      <c r="G14" s="1831"/>
      <c r="H14" s="1183" t="s">
        <v>1032</v>
      </c>
      <c r="I14" s="347" t="s">
        <v>1407</v>
      </c>
      <c r="J14" s="24" t="e">
        <f ca="1">C29</f>
        <v>#N/A</v>
      </c>
      <c r="K14" s="3008"/>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021"/>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018" t="s">
        <v>1418</v>
      </c>
      <c r="L17" s="3020"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020"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006"/>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06"/>
      <c r="F22" s="26"/>
      <c r="G22" s="1831"/>
      <c r="H22" s="1183" t="s">
        <v>1036</v>
      </c>
      <c r="I22" s="347" t="s">
        <v>1437</v>
      </c>
      <c r="J22" s="24" t="e">
        <f ca="1">ROUND(J14*M22,1)</f>
        <v>#N/A</v>
      </c>
      <c r="K22" s="3020"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020"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06"/>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021"/>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018" t="s">
        <v>1418</v>
      </c>
      <c r="E31" s="3020"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020"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020"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020"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005"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3010"/>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010"/>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3600</v>
      </c>
      <c r="D1" s="2388"/>
      <c r="E1" s="2388"/>
      <c r="F1" s="2390" t="s">
        <v>2106</v>
      </c>
      <c r="G1" s="2044" t="s">
        <v>3051</v>
      </c>
      <c r="H1" s="2391" t="str">
        <f>IF(G1="现房","——","估价对象范围")</f>
        <v>——</v>
      </c>
      <c r="I1" s="2392"/>
    </row>
    <row r="2" spans="1:12" ht="21.75" customHeight="1" thickBot="1">
      <c r="A2" s="3557" t="str">
        <f>项目基本情况!S2</f>
        <v>山东省聊城万达欢乐小镇（万达广场）二层房地产</v>
      </c>
      <c r="B2" s="3558"/>
      <c r="C2" s="3558"/>
      <c r="D2" s="3558"/>
      <c r="E2" s="3558"/>
      <c r="F2" s="3558"/>
      <c r="G2" s="3558"/>
      <c r="H2" s="3558"/>
      <c r="I2" s="3559"/>
    </row>
    <row r="3" spans="1:12" ht="12.75">
      <c r="A3" s="3561" t="s">
        <v>2107</v>
      </c>
      <c r="B3" s="3562"/>
      <c r="C3" s="3562"/>
      <c r="D3" s="3562"/>
      <c r="E3" s="3562"/>
      <c r="F3" s="3562"/>
      <c r="G3" s="3562"/>
      <c r="H3" s="3562"/>
      <c r="I3" s="3562"/>
    </row>
    <row r="4" spans="1:12" ht="14.25">
      <c r="A4" s="2395" t="s">
        <v>2108</v>
      </c>
      <c r="B4" s="2396" t="s">
        <v>2109</v>
      </c>
      <c r="C4" s="2397" t="s">
        <v>3616</v>
      </c>
      <c r="D4" s="2397" t="s">
        <v>3612</v>
      </c>
      <c r="E4" s="3554" t="s">
        <v>2110</v>
      </c>
      <c r="F4" s="3555"/>
      <c r="G4" s="3555"/>
      <c r="H4" s="3555"/>
      <c r="I4" s="3563"/>
      <c r="K4" s="2398" t="str">
        <f>IF(ISNUMBER(FIND("比较法",结果表酒店!C4)),"比较法",IF(ISNUMBER(FIND("成本法",结果表酒店!C4)),"成本法",IF(ISNUMBER(FIND("假设开发法",结果表酒店!C4)),"假设开发法",IF(ISNUMBER(FIND("收益法",结果表酒店!C4)),"收益法","基准地价系数修正法"))))</f>
        <v>成本法</v>
      </c>
      <c r="L4" s="2398"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37" t="s">
        <v>2111</v>
      </c>
      <c r="B5" s="3466">
        <v>25</v>
      </c>
      <c r="C5" s="3540"/>
      <c r="D5" s="3560"/>
      <c r="E5" s="140" t="s">
        <v>2112</v>
      </c>
      <c r="F5" s="2399"/>
      <c r="G5" s="2399"/>
      <c r="H5" s="2399"/>
      <c r="I5" s="1811"/>
    </row>
    <row r="6" spans="1:12" ht="12.75">
      <c r="A6" s="3537"/>
      <c r="B6" s="3466"/>
      <c r="C6" s="3541"/>
      <c r="D6" s="3560"/>
      <c r="E6" s="140" t="s">
        <v>2113</v>
      </c>
      <c r="F6" s="2399"/>
      <c r="G6" s="2399"/>
      <c r="H6" s="2399"/>
      <c r="I6" s="1811"/>
    </row>
    <row r="7" spans="1:12" ht="12.75">
      <c r="A7" s="3537"/>
      <c r="B7" s="3466"/>
      <c r="C7" s="3542"/>
      <c r="D7" s="3560"/>
      <c r="E7" s="140" t="s">
        <v>2114</v>
      </c>
      <c r="F7" s="2399"/>
      <c r="G7" s="2399"/>
      <c r="H7" s="2399"/>
      <c r="I7" s="1811"/>
    </row>
    <row r="8" spans="1:12" ht="12.75">
      <c r="A8" s="3537" t="s">
        <v>2115</v>
      </c>
      <c r="B8" s="3466">
        <v>15</v>
      </c>
      <c r="C8" s="3540"/>
      <c r="D8" s="3560"/>
      <c r="E8" s="140" t="s">
        <v>2116</v>
      </c>
      <c r="F8" s="2399"/>
      <c r="G8" s="2399"/>
      <c r="H8" s="2399"/>
      <c r="I8" s="1811"/>
    </row>
    <row r="9" spans="1:12" ht="12.75">
      <c r="A9" s="3537"/>
      <c r="B9" s="3466"/>
      <c r="C9" s="3542"/>
      <c r="D9" s="3560"/>
      <c r="E9" s="140" t="s">
        <v>2117</v>
      </c>
      <c r="F9" s="2399"/>
      <c r="G9" s="2399"/>
      <c r="H9" s="2399"/>
      <c r="I9" s="1811"/>
    </row>
    <row r="10" spans="1:12" ht="12.75">
      <c r="A10" s="3537" t="s">
        <v>2118</v>
      </c>
      <c r="B10" s="3466">
        <v>15</v>
      </c>
      <c r="C10" s="3540"/>
      <c r="D10" s="3560"/>
      <c r="E10" s="140" t="s">
        <v>2119</v>
      </c>
      <c r="F10" s="2399"/>
      <c r="G10" s="2399"/>
      <c r="H10" s="2399"/>
      <c r="I10" s="1811"/>
    </row>
    <row r="11" spans="1:12" ht="12.75">
      <c r="A11" s="3537"/>
      <c r="B11" s="3466"/>
      <c r="C11" s="3542"/>
      <c r="D11" s="3560"/>
      <c r="E11" s="140" t="s">
        <v>2120</v>
      </c>
      <c r="F11" s="2399"/>
      <c r="G11" s="2399"/>
      <c r="H11" s="2399"/>
      <c r="I11" s="1811"/>
    </row>
    <row r="12" spans="1:12" ht="12.75">
      <c r="A12" s="3537" t="s">
        <v>2121</v>
      </c>
      <c r="B12" s="3466">
        <v>15</v>
      </c>
      <c r="C12" s="3540"/>
      <c r="D12" s="3560"/>
      <c r="E12" s="140" t="s">
        <v>2122</v>
      </c>
      <c r="F12" s="2399"/>
      <c r="G12" s="2399"/>
      <c r="H12" s="2399"/>
      <c r="I12" s="1811"/>
    </row>
    <row r="13" spans="1:12" ht="12.75">
      <c r="A13" s="3537"/>
      <c r="B13" s="3466"/>
      <c r="C13" s="3542"/>
      <c r="D13" s="3560"/>
      <c r="E13" s="140" t="s">
        <v>2123</v>
      </c>
      <c r="F13" s="2399"/>
      <c r="G13" s="2399"/>
      <c r="H13" s="2399"/>
      <c r="I13" s="1811"/>
    </row>
    <row r="14" spans="1:12" ht="12.75">
      <c r="A14" s="3537" t="s">
        <v>2124</v>
      </c>
      <c r="B14" s="3466">
        <v>30</v>
      </c>
      <c r="C14" s="3540">
        <v>4</v>
      </c>
      <c r="D14" s="3560">
        <v>6</v>
      </c>
      <c r="E14" s="140" t="s">
        <v>2125</v>
      </c>
      <c r="F14" s="2399"/>
      <c r="G14" s="2399"/>
      <c r="H14" s="2399"/>
      <c r="I14" s="1811"/>
    </row>
    <row r="15" spans="1:12" ht="12.75">
      <c r="A15" s="3537"/>
      <c r="B15" s="3466"/>
      <c r="C15" s="3541"/>
      <c r="D15" s="3560"/>
      <c r="E15" s="140" t="s">
        <v>2126</v>
      </c>
      <c r="F15" s="2399"/>
      <c r="G15" s="2399"/>
      <c r="H15" s="2399"/>
      <c r="I15" s="1811"/>
    </row>
    <row r="16" spans="1:12" ht="12.75">
      <c r="A16" s="3537"/>
      <c r="B16" s="3466"/>
      <c r="C16" s="3542"/>
      <c r="D16" s="3560"/>
      <c r="E16" s="140" t="s">
        <v>2127</v>
      </c>
      <c r="F16" s="2399"/>
      <c r="G16" s="2399"/>
      <c r="H16" s="2399"/>
      <c r="I16" s="1811"/>
    </row>
    <row r="17" spans="1:35" ht="15">
      <c r="A17" s="2400" t="s">
        <v>2128</v>
      </c>
      <c r="B17" s="64"/>
      <c r="C17" s="141">
        <f>SUM(C5:C16)</f>
        <v>4</v>
      </c>
      <c r="D17" s="141">
        <f>SUM(D5:D16)</f>
        <v>6</v>
      </c>
      <c r="E17" s="138"/>
      <c r="F17" s="138"/>
      <c r="G17" s="138"/>
      <c r="H17" s="138"/>
      <c r="I17" s="138"/>
      <c r="K17" s="2398"/>
      <c r="L17" s="2401" t="s">
        <v>2129</v>
      </c>
      <c r="M17" s="2401" t="s">
        <v>2130</v>
      </c>
    </row>
    <row r="18" spans="1:35" ht="15.75" thickBot="1">
      <c r="A18" s="2402" t="s">
        <v>2131</v>
      </c>
      <c r="B18" s="2403"/>
      <c r="C18" s="142">
        <f>ROUND(C17/SUM(C17:D17),2)</f>
        <v>0.4</v>
      </c>
      <c r="D18" s="142">
        <f>1-C18</f>
        <v>0.6</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5">
      <c r="A19" s="2404" t="s">
        <v>2133</v>
      </c>
      <c r="B19" s="2405" t="s">
        <v>2134</v>
      </c>
      <c r="C19" s="143" t="e">
        <f ca="1">SUMIF(INDIRECT("'"&amp;C4&amp;"'"&amp;"!A:A"),结果表酒店!B19,INDIRECT("'"&amp;C4&amp;"'"&amp;"!B:B"))</f>
        <v>#N/A</v>
      </c>
      <c r="D19" s="144" t="e">
        <f ca="1">SUMIF(INDIRECT("'"&amp;D4&amp;"'"&amp;"!A:A"),结果表酒店!B19,INDIRECT("'"&amp;D4&amp;"'"&amp;"!B:B"))</f>
        <v>#N/A</v>
      </c>
      <c r="E19" s="2404" t="s">
        <v>2135</v>
      </c>
      <c r="F19" s="2405" t="s">
        <v>2134</v>
      </c>
      <c r="G19" s="145" t="e">
        <f ca="1">ROUND(C19*$C$18+D19*$D$18,0)</f>
        <v>#N/A</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5">
      <c r="A20" s="2407"/>
      <c r="B20" s="1229" t="s">
        <v>2138</v>
      </c>
      <c r="C20" s="146" t="e">
        <f ca="1">SUMIF(INDIRECT("'"&amp;C4&amp;"'"&amp;"!A:A"),结果表酒店!B20,INDIRECT("'"&amp;C4&amp;"'"&amp;"!B:B"))</f>
        <v>#N/A</v>
      </c>
      <c r="D20" s="147">
        <f ca="1">SUMIF(INDIRECT("'"&amp;D4&amp;"'"&amp;"!A:A"),结果表酒店!B20,INDIRECT("'"&amp;D4&amp;"'"&amp;"!B:B"))</f>
        <v>0</v>
      </c>
      <c r="E20" s="2407"/>
      <c r="F20" s="1229" t="s">
        <v>2138</v>
      </c>
      <c r="G20" s="148" t="e">
        <f ca="1">ROUND(C20*$C$18+D20*$D$18,0)</f>
        <v>#N/A</v>
      </c>
      <c r="H20" s="970" t="s">
        <v>2139</v>
      </c>
      <c r="I20" s="138"/>
    </row>
    <row r="21" spans="1:35" ht="15" customHeight="1" thickBot="1">
      <c r="A21" s="990"/>
      <c r="B21" s="2408" t="s">
        <v>2140</v>
      </c>
      <c r="C21" s="784" t="e">
        <f ca="1">ROUND(C19*10000/L19,0)</f>
        <v>#N/A</v>
      </c>
      <c r="D21" s="785" t="e">
        <f ca="1">ROUND(D19*10000/L19,0)</f>
        <v>#N/A</v>
      </c>
      <c r="E21" s="990"/>
      <c r="F21" s="2408" t="s">
        <v>2140</v>
      </c>
      <c r="G21" s="149" t="e">
        <f ca="1">ROUND(G19*10000/L19,0)</f>
        <v>#N/A</v>
      </c>
      <c r="H21" s="2409" t="s">
        <v>2139</v>
      </c>
      <c r="I21" s="138"/>
    </row>
    <row r="22" spans="1:35" ht="15" thickBot="1">
      <c r="A22" s="2254" t="s">
        <v>2141</v>
      </c>
      <c r="B22" s="2410"/>
      <c r="C22" s="2411"/>
      <c r="D22" s="786" t="e">
        <f ca="1">IF(C19&lt;D19,D19/C19-1,C19/D19-1)</f>
        <v>#N/A</v>
      </c>
      <c r="E22" s="138"/>
      <c r="F22" s="138"/>
      <c r="G22" s="138"/>
      <c r="H22" s="138"/>
      <c r="I22" s="138"/>
    </row>
    <row r="23" spans="1:35" ht="13.5" thickBot="1">
      <c r="A23" s="2388"/>
      <c r="B23" s="2388"/>
      <c r="C23" s="2388"/>
      <c r="D23" s="2388"/>
      <c r="E23" s="138"/>
      <c r="F23" s="138"/>
      <c r="G23" s="138"/>
      <c r="H23" s="138"/>
      <c r="I23" s="138"/>
    </row>
    <row r="24" spans="1:35" ht="14.25">
      <c r="A24" s="3531" t="s">
        <v>2142</v>
      </c>
      <c r="B24" s="2405" t="s">
        <v>2134</v>
      </c>
      <c r="C24" s="145">
        <f>IF(B30=0,0,D30)</f>
        <v>0</v>
      </c>
      <c r="D24" s="2412"/>
      <c r="E24" s="138"/>
      <c r="F24" s="138"/>
      <c r="G24" s="138"/>
      <c r="H24" s="138"/>
      <c r="I24" s="138"/>
    </row>
    <row r="25" spans="1:35" ht="14.25">
      <c r="A25" s="3532"/>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t="e">
        <f ca="1">IF(D32="总价",G19-C24,G20-C25)</f>
        <v>#N/A</v>
      </c>
      <c r="D32" s="2419" t="s">
        <v>2149</v>
      </c>
      <c r="E32" s="138"/>
      <c r="F32" s="138"/>
      <c r="G32" s="138"/>
      <c r="H32" s="138"/>
      <c r="I32" s="138"/>
    </row>
    <row r="33" spans="1:15" ht="15">
      <c r="A33" s="947" t="s">
        <v>2150</v>
      </c>
      <c r="B33" s="2420"/>
      <c r="C33" s="2421" t="s">
        <v>3636</v>
      </c>
      <c r="D33" s="2422" t="s">
        <v>3612</v>
      </c>
      <c r="E33" s="2423" t="s">
        <v>2151</v>
      </c>
      <c r="F33" s="2923" t="str">
        <f>IF(D32="楼面单价","取值（单价）","取值（总价）")</f>
        <v>取值（总价）</v>
      </c>
      <c r="G33" s="138"/>
      <c r="H33" s="138"/>
      <c r="I33" s="138"/>
    </row>
    <row r="34" spans="1:15" ht="15">
      <c r="A34" s="2425"/>
      <c r="B34" s="2426"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7" t="s">
        <v>2153</v>
      </c>
      <c r="F34" s="1716"/>
      <c r="G34" s="138"/>
      <c r="H34" s="138"/>
      <c r="I34" s="138"/>
    </row>
    <row r="35" spans="1:15" ht="15.75" thickBot="1">
      <c r="A35" s="2428"/>
      <c r="B35" s="2429"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0" t="s">
        <v>2155</v>
      </c>
      <c r="F35" s="163"/>
      <c r="G35" s="138"/>
      <c r="H35" s="138"/>
      <c r="I35" s="138"/>
    </row>
    <row r="36" spans="1:15" ht="15.75" thickBot="1">
      <c r="A36" s="3549" t="s">
        <v>2156</v>
      </c>
      <c r="B36" s="2431" t="s">
        <v>2157</v>
      </c>
      <c r="C36" s="154"/>
      <c r="D36" s="2432"/>
      <c r="E36" s="2433"/>
      <c r="F36" s="2434"/>
      <c r="G36" s="138"/>
      <c r="H36" s="138"/>
      <c r="I36" s="138"/>
    </row>
    <row r="37" spans="1:15" ht="15.75" thickBot="1">
      <c r="A37" s="3550"/>
      <c r="B37" s="2240" t="s">
        <v>2158</v>
      </c>
      <c r="C37" s="156"/>
      <c r="D37" s="1373"/>
      <c r="E37" s="1373"/>
      <c r="F37" s="2434"/>
      <c r="G37" s="138"/>
      <c r="H37" s="138"/>
      <c r="I37" s="138"/>
    </row>
    <row r="38" spans="1:15" ht="15.75" thickBot="1">
      <c r="A38" s="3551"/>
      <c r="B38" s="2435" t="s">
        <v>2159</v>
      </c>
      <c r="C38" s="723"/>
      <c r="D38" s="2436" t="s">
        <v>2160</v>
      </c>
      <c r="E38" s="1373"/>
      <c r="F38" s="2434"/>
      <c r="G38" s="138"/>
      <c r="H38" s="138"/>
      <c r="I38" s="138"/>
    </row>
    <row r="39" spans="1:15" ht="15">
      <c r="A39" s="2407" t="s">
        <v>2161</v>
      </c>
      <c r="B39" s="2437" t="s">
        <v>2144</v>
      </c>
      <c r="C39" s="2438" t="s">
        <v>2145</v>
      </c>
      <c r="D39" s="2438" t="s">
        <v>2164</v>
      </c>
      <c r="E39" s="2439" t="s">
        <v>2146</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528" t="s">
        <v>2170</v>
      </c>
      <c r="B45" s="3529"/>
      <c r="C45" s="3530"/>
      <c r="D45" s="164" t="e">
        <f ca="1">ROUND(H101*F45,0)</f>
        <v>#N/A</v>
      </c>
      <c r="E45" s="165" t="s">
        <v>2171</v>
      </c>
      <c r="F45" s="166">
        <v>1</v>
      </c>
      <c r="G45" s="167" t="s">
        <v>2172</v>
      </c>
      <c r="H45" s="138"/>
      <c r="I45" s="138"/>
      <c r="J45" s="3588" t="s">
        <v>2173</v>
      </c>
      <c r="K45" s="3588"/>
      <c r="L45" s="3588"/>
      <c r="M45" s="3588"/>
      <c r="N45" s="3588"/>
      <c r="O45" s="3588"/>
    </row>
    <row r="46" spans="1:15" ht="14.25" customHeight="1">
      <c r="A46" s="3525" t="s">
        <v>2174</v>
      </c>
      <c r="B46" s="3526"/>
      <c r="C46" s="3526"/>
      <c r="D46" s="3526"/>
      <c r="E46" s="3526"/>
      <c r="F46" s="3526"/>
      <c r="G46" s="3527"/>
      <c r="H46" s="2450"/>
      <c r="I46" s="168"/>
      <c r="J46" s="2935">
        <v>1</v>
      </c>
      <c r="K46" s="3588" t="s">
        <v>2175</v>
      </c>
      <c r="L46" s="3588"/>
      <c r="M46" s="3608"/>
      <c r="N46" s="3608"/>
      <c r="O46" s="3608"/>
    </row>
    <row r="47" spans="1:15" ht="12" customHeight="1">
      <c r="A47" s="169" t="s">
        <v>2176</v>
      </c>
      <c r="B47" s="170"/>
      <c r="C47" s="171"/>
      <c r="D47" s="172" t="s">
        <v>2177</v>
      </c>
      <c r="E47" s="24" t="s">
        <v>2178</v>
      </c>
      <c r="F47" s="173" t="s">
        <v>2179</v>
      </c>
      <c r="G47" s="174" t="s">
        <v>2180</v>
      </c>
      <c r="H47" s="2450"/>
      <c r="I47" s="168"/>
      <c r="J47" s="2935">
        <v>2</v>
      </c>
      <c r="K47" s="3588" t="s">
        <v>2181</v>
      </c>
      <c r="L47" s="3588"/>
      <c r="M47" s="3609">
        <f>'数据-取费表'!B2</f>
        <v>43840</v>
      </c>
      <c r="N47" s="3609"/>
      <c r="O47" s="3609"/>
    </row>
    <row r="48" spans="1:15" ht="25.5">
      <c r="A48" s="3556" t="s">
        <v>2182</v>
      </c>
      <c r="B48" s="3539"/>
      <c r="C48" s="3539"/>
      <c r="D48" s="140">
        <f>IF(H48="情况1",0,IF(H48="情况2",D52,IF(H48="情况3",D53,IF(H48="情况4",D54))))</f>
        <v>0</v>
      </c>
      <c r="E48" s="2927" t="str">
        <f>IF(H48="情况4","(销售额-原购置价)×税（费）率","销售额×税（费）率")</f>
        <v>销售额×税（费）率</v>
      </c>
      <c r="F48" s="175" t="str">
        <f>IF(H48="情况1","免征",'数据-取费表'!B41)</f>
        <v>免征</v>
      </c>
      <c r="G48" s="2451" t="s">
        <v>2183</v>
      </c>
      <c r="H48" s="2452" t="s">
        <v>2184</v>
      </c>
      <c r="I48" s="2450"/>
      <c r="J48" s="2935">
        <v>3</v>
      </c>
      <c r="K48" s="3588" t="s">
        <v>2185</v>
      </c>
      <c r="L48" s="3588"/>
      <c r="M48" s="3610" t="e">
        <f ca="1">H101</f>
        <v>#N/A</v>
      </c>
      <c r="N48" s="3610"/>
      <c r="O48" s="3610"/>
    </row>
    <row r="49" spans="1:35" ht="25.5" customHeight="1">
      <c r="A49" s="176" t="s">
        <v>2186</v>
      </c>
      <c r="B49" s="3524" t="s">
        <v>2187</v>
      </c>
      <c r="C49" s="3524"/>
      <c r="D49" s="177">
        <v>0</v>
      </c>
      <c r="E49" s="23" t="s">
        <v>2188</v>
      </c>
      <c r="F49" s="28" t="s">
        <v>34</v>
      </c>
      <c r="G49" s="3594"/>
      <c r="H49" s="138"/>
      <c r="I49" s="2453"/>
      <c r="J49" s="2935">
        <v>4</v>
      </c>
      <c r="K49" s="3588" t="str">
        <f>IF(项目基本情况!E8="房地产抵押价值","房地产抵押价值","抵押担保权已注销时的房地产抵押价值")</f>
        <v>房地产抵押价值</v>
      </c>
      <c r="L49" s="3588"/>
      <c r="M49" s="3610" t="e">
        <f ca="1">IF(项目基本情况!E8="房地产抵押价值",H107,H109)</f>
        <v>#N/A</v>
      </c>
      <c r="N49" s="3610"/>
      <c r="O49" s="3610"/>
    </row>
    <row r="50" spans="1:35" ht="25.5" customHeight="1">
      <c r="A50" s="178"/>
      <c r="B50" s="3524" t="s">
        <v>2189</v>
      </c>
      <c r="C50" s="3524"/>
      <c r="D50" s="179"/>
      <c r="E50" s="31"/>
      <c r="F50" s="180"/>
      <c r="G50" s="3595"/>
      <c r="H50" s="138"/>
      <c r="I50" s="2453"/>
      <c r="J50" s="3588" t="s">
        <v>2190</v>
      </c>
      <c r="K50" s="3588"/>
      <c r="L50" s="3588"/>
      <c r="M50" s="3588"/>
      <c r="N50" s="3588"/>
      <c r="O50" s="3588"/>
    </row>
    <row r="51" spans="1:35" ht="12" customHeight="1">
      <c r="A51" s="181"/>
      <c r="B51" s="3524" t="s">
        <v>2191</v>
      </c>
      <c r="C51" s="3524"/>
      <c r="D51" s="182"/>
      <c r="E51" s="30"/>
      <c r="F51" s="180"/>
      <c r="G51" s="3596"/>
      <c r="H51" s="138"/>
      <c r="I51" s="2453"/>
      <c r="J51" s="2934" t="s">
        <v>2192</v>
      </c>
      <c r="K51" s="3588" t="s">
        <v>2193</v>
      </c>
      <c r="L51" s="3588"/>
      <c r="M51" s="2934" t="s">
        <v>2194</v>
      </c>
      <c r="N51" s="2934" t="s">
        <v>2195</v>
      </c>
      <c r="O51" s="2934" t="s">
        <v>2196</v>
      </c>
    </row>
    <row r="52" spans="1:35" ht="24" customHeight="1">
      <c r="A52" s="183" t="s">
        <v>2197</v>
      </c>
      <c r="B52" s="3524" t="s">
        <v>2198</v>
      </c>
      <c r="C52" s="3524"/>
      <c r="D52" s="182" t="e">
        <f ca="1">ROUND(D45*'数据-取费表'!B41/(1+'数据-取费表'!C42),0)</f>
        <v>#N/A</v>
      </c>
      <c r="E52" s="11" t="s">
        <v>2199</v>
      </c>
      <c r="F52" s="184">
        <f>'数据-取费表'!B41</f>
        <v>5.6000000000000001E-2</v>
      </c>
      <c r="G52" s="2455"/>
      <c r="H52" s="138"/>
      <c r="I52" s="2453"/>
      <c r="J52" s="2935">
        <v>1</v>
      </c>
      <c r="K52" s="3589" t="s">
        <v>2200</v>
      </c>
      <c r="L52" s="3589"/>
      <c r="M52" s="1731">
        <f>D48</f>
        <v>0</v>
      </c>
      <c r="N52" s="2935" t="str">
        <f>E48</f>
        <v>销售额×税（费）率</v>
      </c>
      <c r="O52" s="1732" t="str">
        <f>F48</f>
        <v>免征</v>
      </c>
    </row>
    <row r="53" spans="1:35" ht="12" customHeight="1">
      <c r="A53" s="183" t="s">
        <v>2201</v>
      </c>
      <c r="B53" s="3547" t="s">
        <v>2202</v>
      </c>
      <c r="C53" s="3548"/>
      <c r="D53" s="182" t="e">
        <f ca="1">ROUND(D45*'数据-取费表'!B41/(1+'数据-取费表'!C42),0)</f>
        <v>#N/A</v>
      </c>
      <c r="E53" s="11" t="s">
        <v>2199</v>
      </c>
      <c r="F53" s="184">
        <f>'数据-取费表'!B41</f>
        <v>5.6000000000000001E-2</v>
      </c>
      <c r="G53" s="2455"/>
      <c r="H53" s="138"/>
      <c r="I53" s="2453"/>
      <c r="J53" s="2935">
        <v>2</v>
      </c>
      <c r="K53" s="3589" t="s">
        <v>2203</v>
      </c>
      <c r="L53" s="3589"/>
      <c r="M53" s="1731" t="e">
        <f t="shared" ref="M53:O54" ca="1" si="0">D55</f>
        <v>#N/A</v>
      </c>
      <c r="N53" s="2935" t="str">
        <f t="shared" si="0"/>
        <v>销售额×税（费）率</v>
      </c>
      <c r="O53" s="1732">
        <f t="shared" si="0"/>
        <v>5.0000000000000001E-4</v>
      </c>
    </row>
    <row r="54" spans="1:35" ht="12" customHeight="1">
      <c r="A54" s="183" t="s">
        <v>2204</v>
      </c>
      <c r="B54" s="3547" t="s">
        <v>2205</v>
      </c>
      <c r="C54" s="3548"/>
      <c r="D54" s="182" t="e">
        <f ca="1">C68</f>
        <v>#N/A</v>
      </c>
      <c r="E54" s="30" t="s">
        <v>2206</v>
      </c>
      <c r="F54" s="184">
        <f>'数据-取费表'!B41</f>
        <v>5.6000000000000001E-2</v>
      </c>
      <c r="G54" s="2455"/>
      <c r="H54" s="2456"/>
      <c r="I54" s="2453"/>
      <c r="J54" s="2935">
        <v>3</v>
      </c>
      <c r="K54" s="3589" t="s">
        <v>2207</v>
      </c>
      <c r="L54" s="3589"/>
      <c r="M54" s="1731" t="e">
        <f t="shared" ca="1" si="0"/>
        <v>#N/A</v>
      </c>
      <c r="N54" s="2935" t="str">
        <f t="shared" si="0"/>
        <v>增值额×税（费）率</v>
      </c>
      <c r="O54" s="1733" t="str">
        <f t="shared" si="0"/>
        <v>——</v>
      </c>
    </row>
    <row r="55" spans="1:35" ht="24" customHeight="1">
      <c r="A55" s="3538" t="s">
        <v>2208</v>
      </c>
      <c r="B55" s="3539"/>
      <c r="C55" s="3539"/>
      <c r="D55" s="185" t="e">
        <f ca="1">IF(H55="个人住宅",0,ROUND(D45*I55,0))</f>
        <v>#N/A</v>
      </c>
      <c r="E55" s="11" t="s">
        <v>2209</v>
      </c>
      <c r="F55" s="184">
        <f>IF(H55="正常",I55,"免征")</f>
        <v>5.0000000000000001E-4</v>
      </c>
      <c r="G55" s="2455"/>
      <c r="H55" s="2452" t="s">
        <v>2210</v>
      </c>
      <c r="I55" s="186">
        <f>'数据-取费表'!B49</f>
        <v>5.0000000000000001E-4</v>
      </c>
      <c r="J55" s="2935" t="str">
        <f>IF(H59="非个人房产","",4)</f>
        <v/>
      </c>
      <c r="K55" s="3589" t="str">
        <f>IF(H59="非个人房产","——","个人所得税")</f>
        <v>——</v>
      </c>
      <c r="L55" s="3589"/>
      <c r="M55" s="1734" t="str">
        <f>D59</f>
        <v>——</v>
      </c>
      <c r="N55" s="2936" t="str">
        <f>E59</f>
        <v>——</v>
      </c>
      <c r="O55" s="1735" t="str">
        <f>F59</f>
        <v>——</v>
      </c>
    </row>
    <row r="56" spans="1:35" ht="24.75">
      <c r="A56" s="3538" t="s">
        <v>2211</v>
      </c>
      <c r="B56" s="3539"/>
      <c r="C56" s="3539"/>
      <c r="D56" s="185" t="e">
        <f ca="1">IF(H56="个人住宅",D57,D58)</f>
        <v>#N/A</v>
      </c>
      <c r="E56" s="11" t="s">
        <v>2212</v>
      </c>
      <c r="F56" s="184" t="str">
        <f>IF(H56="正常",F58,"免征")</f>
        <v>——</v>
      </c>
      <c r="G56" s="2457" t="s">
        <v>2213</v>
      </c>
      <c r="H56" s="2458" t="s">
        <v>2210</v>
      </c>
      <c r="I56" s="2459"/>
      <c r="J56" s="2935" t="str">
        <f>IF(项目基本情况!K6="上海银行",IF(J55="",4,J55+1),"")</f>
        <v/>
      </c>
      <c r="K56" s="3612" t="str">
        <f>IF(项目基本情况!K6="上海银行","其他处置费用","")</f>
        <v/>
      </c>
      <c r="L56" s="3613"/>
      <c r="M56" s="1731" t="str">
        <f>IF(项目基本情况!K6="上海银行",M69,"")</f>
        <v/>
      </c>
      <c r="N56" s="3615" t="str">
        <f>IF(项目基本情况!K6="上海银行","包含处置中涉及的律师、诉讼、拍卖、评估等费用","")</f>
        <v/>
      </c>
      <c r="O56" s="3616"/>
    </row>
    <row r="57" spans="1:35" ht="12.75">
      <c r="A57" s="183" t="s">
        <v>2186</v>
      </c>
      <c r="B57" s="3554" t="s">
        <v>2214</v>
      </c>
      <c r="C57" s="3563"/>
      <c r="D57" s="187">
        <v>0</v>
      </c>
      <c r="E57" s="23" t="s">
        <v>2188</v>
      </c>
      <c r="F57" s="155"/>
      <c r="G57" s="2455"/>
      <c r="H57" s="2459"/>
      <c r="I57" s="2459"/>
      <c r="J57" s="3589">
        <f>IF(AND(J55="",J56=""),4,IF(项目基本情况!K6="上海银行",结果表酒店!J56+1,结果表酒店!J55+1))</f>
        <v>4</v>
      </c>
      <c r="K57" s="3589" t="s">
        <v>2215</v>
      </c>
      <c r="L57" s="2460" t="s">
        <v>2216</v>
      </c>
      <c r="M57" s="1736"/>
      <c r="N57" s="1737">
        <f ca="1">SUMIF(M52:M56,"&lt;9e307")</f>
        <v>0</v>
      </c>
      <c r="O57" s="2461"/>
      <c r="P57" s="1730" t="e">
        <f ca="1">N57/M49</f>
        <v>#N/A</v>
      </c>
    </row>
    <row r="58" spans="1:35" ht="24.75">
      <c r="A58" s="183" t="s">
        <v>2197</v>
      </c>
      <c r="B58" s="3554" t="s">
        <v>2217</v>
      </c>
      <c r="C58" s="3555"/>
      <c r="D58" s="185" t="e">
        <f ca="1">IF(H58="转让取得",C81,C97)</f>
        <v>#N/A</v>
      </c>
      <c r="E58" s="11" t="s">
        <v>2212</v>
      </c>
      <c r="F58" s="24" t="s">
        <v>34</v>
      </c>
      <c r="G58" s="2455"/>
      <c r="H58" s="2458" t="s">
        <v>2218</v>
      </c>
      <c r="I58" s="2459"/>
      <c r="J58" s="3589"/>
      <c r="K58" s="3589"/>
      <c r="L58" s="2460" t="s">
        <v>2219</v>
      </c>
      <c r="M58" s="1738"/>
      <c r="N58" s="2462" t="str">
        <f ca="1">NUMBERSTRING(INT(N57*10000),2)&amp;"元整"</f>
        <v>零元整</v>
      </c>
      <c r="O58" s="2463"/>
    </row>
    <row r="59" spans="1:35" ht="24.75" thickBot="1">
      <c r="A59" s="3592" t="s">
        <v>2220</v>
      </c>
      <c r="B59" s="3593"/>
      <c r="C59" s="3593"/>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90">
        <f>J57+1</f>
        <v>5</v>
      </c>
      <c r="K59" s="3589" t="s">
        <v>2222</v>
      </c>
      <c r="L59" s="2935" t="s">
        <v>2216</v>
      </c>
      <c r="M59" s="1739"/>
      <c r="N59" s="1740" t="e">
        <f ca="1">M49-N57</f>
        <v>#N/A</v>
      </c>
      <c r="O59" s="2465"/>
    </row>
    <row r="60" spans="1:35" ht="12" customHeight="1">
      <c r="A60" s="2466"/>
      <c r="B60" s="2388"/>
      <c r="C60" s="2388"/>
      <c r="D60" s="2388"/>
      <c r="E60" s="2140"/>
      <c r="F60" s="2459"/>
      <c r="G60" s="2459"/>
      <c r="H60" s="2467"/>
      <c r="I60" s="138"/>
      <c r="J60" s="3591"/>
      <c r="K60" s="3589"/>
      <c r="L60" s="2460" t="s">
        <v>2219</v>
      </c>
      <c r="M60" s="1738"/>
      <c r="N60" s="2462" t="e">
        <f ca="1">NUMBERSTRING(INT(N59*10000),2)&amp;"元整"</f>
        <v>#N/A</v>
      </c>
      <c r="O60" s="2463"/>
    </row>
    <row r="61" spans="1:35" ht="13.5" thickBot="1">
      <c r="A61" s="3536" t="s">
        <v>2223</v>
      </c>
      <c r="B61" s="3536"/>
      <c r="C61" s="3536"/>
      <c r="D61" s="3536"/>
      <c r="E61" s="3536"/>
      <c r="F61" s="2459"/>
      <c r="G61" s="2459"/>
      <c r="H61" s="2467"/>
      <c r="I61" s="138"/>
      <c r="J61" s="2935">
        <f>J59+1</f>
        <v>6</v>
      </c>
      <c r="K61" s="3589" t="s">
        <v>2224</v>
      </c>
      <c r="L61" s="3589"/>
      <c r="M61" s="1741"/>
      <c r="N61" s="1742" t="e">
        <f ca="1">ROUND(N59*10000/'数据-汇总表'!E3,0)</f>
        <v>#N/A</v>
      </c>
      <c r="O61" s="2468"/>
    </row>
    <row r="62" spans="1:35" ht="12.75">
      <c r="A62" s="3552" t="s">
        <v>2225</v>
      </c>
      <c r="B62" s="3553"/>
      <c r="C62" s="2930"/>
      <c r="D62" s="2930" t="s">
        <v>2226</v>
      </c>
      <c r="E62" s="192" t="s">
        <v>2227</v>
      </c>
      <c r="F62" s="2459"/>
      <c r="G62" s="2459"/>
      <c r="H62" s="2467"/>
      <c r="I62" s="138"/>
    </row>
    <row r="63" spans="1:35" ht="12.75">
      <c r="A63" s="203" t="s">
        <v>775</v>
      </c>
      <c r="B63" s="193" t="s">
        <v>2228</v>
      </c>
      <c r="C63" s="194" t="e">
        <f ca="1">ROUND((C64+C65)/(1+'数据-取费表'!C42),0)</f>
        <v>#N/A</v>
      </c>
      <c r="D63" s="195"/>
      <c r="E63" s="196"/>
      <c r="F63" s="2459"/>
      <c r="G63" s="2459"/>
      <c r="H63" s="2467"/>
      <c r="I63" s="138"/>
      <c r="J63" s="3614" t="s">
        <v>2229</v>
      </c>
      <c r="K63" s="2939" t="s">
        <v>2230</v>
      </c>
      <c r="L63" s="1729" t="e">
        <f ca="1">IF(M49&gt;10000,M49*0.5%,IF(AND(M49&gt;1000,M49&lt;=10000),M49*1%,IF(AND(M49&gt;100,M49&lt;=1000),M49*3%,IF(AND(M49&gt;10,M49&lt;=100),M49*5%,M49*8%))))</f>
        <v>#N/A</v>
      </c>
      <c r="M63" s="24" t="e">
        <f ca="1">ROUND(L63,1)</f>
        <v>#N/A</v>
      </c>
      <c r="Z63" s="2393"/>
      <c r="AI63" s="2394"/>
    </row>
    <row r="64" spans="1:35" ht="14.25" customHeight="1">
      <c r="A64" s="197" t="s">
        <v>770</v>
      </c>
      <c r="B64" s="198" t="s">
        <v>2231</v>
      </c>
      <c r="C64" s="199" t="e">
        <f ca="1">D45</f>
        <v>#N/A</v>
      </c>
      <c r="D64" s="200" t="s">
        <v>32</v>
      </c>
      <c r="E64" s="201"/>
      <c r="F64" s="2459"/>
      <c r="G64" s="2459"/>
      <c r="H64" s="2467"/>
      <c r="I64" s="138"/>
      <c r="J64" s="3614"/>
      <c r="K64" s="2939"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3"/>
      <c r="AI64" s="2394"/>
    </row>
    <row r="65" spans="1:35" ht="14.25" customHeight="1">
      <c r="A65" s="197" t="s">
        <v>771</v>
      </c>
      <c r="B65" s="198" t="s">
        <v>2234</v>
      </c>
      <c r="C65" s="202"/>
      <c r="D65" s="200"/>
      <c r="E65" s="201"/>
      <c r="F65" s="2459"/>
      <c r="G65" s="2459"/>
      <c r="H65" s="2467"/>
      <c r="I65" s="138"/>
      <c r="J65" s="3614"/>
      <c r="K65" s="2939" t="s">
        <v>2235</v>
      </c>
      <c r="L65" s="1729" t="e">
        <f ca="1">IF(M49&gt;1000,M49*0.1%,IF(AND(M49&gt;500,M49&lt;=1000),M49*0.5%,IF(AND(M49&gt;50,M49&lt;=500),M49*1%,IF(AND(M49&gt;1,M49&lt;=50),M49*1.5%))))</f>
        <v>#N/A</v>
      </c>
      <c r="M65" s="24" t="e">
        <f t="shared" ca="1" si="1"/>
        <v>#N/A</v>
      </c>
      <c r="N65" s="138" t="s">
        <v>2233</v>
      </c>
      <c r="Z65" s="2393"/>
      <c r="AI65" s="2394"/>
    </row>
    <row r="66" spans="1:35" ht="14.25" customHeight="1">
      <c r="A66" s="203" t="s">
        <v>772</v>
      </c>
      <c r="B66" s="204" t="s">
        <v>2236</v>
      </c>
      <c r="C66" s="205"/>
      <c r="D66" s="206" t="s">
        <v>32</v>
      </c>
      <c r="E66" s="1753" t="s">
        <v>1360</v>
      </c>
      <c r="F66" s="2459"/>
      <c r="G66" s="2459"/>
      <c r="H66" s="2467"/>
      <c r="I66" s="138"/>
      <c r="J66" s="3614"/>
      <c r="K66" s="2939" t="s">
        <v>2237</v>
      </c>
      <c r="L66" s="1729" t="e">
        <f ca="1">M49*0.5%</f>
        <v>#N/A</v>
      </c>
      <c r="M66" s="24" t="e">
        <f ca="1">IF(L66&gt;0.5,0.5,ROUND(L66,0))</f>
        <v>#N/A</v>
      </c>
      <c r="N66" s="138" t="s">
        <v>2238</v>
      </c>
      <c r="Z66" s="2393"/>
      <c r="AI66" s="2394"/>
    </row>
    <row r="67" spans="1:35" ht="14.25" customHeight="1">
      <c r="A67" s="203" t="s">
        <v>773</v>
      </c>
      <c r="B67" s="204" t="s">
        <v>2239</v>
      </c>
      <c r="C67" s="207" t="e">
        <f ca="1">C63-C66</f>
        <v>#N/A</v>
      </c>
      <c r="D67" s="200" t="s">
        <v>32</v>
      </c>
      <c r="E67" s="201"/>
      <c r="F67" s="2459"/>
      <c r="G67" s="2459"/>
      <c r="H67" s="2467"/>
      <c r="I67" s="138"/>
      <c r="J67" s="3614"/>
      <c r="K67" s="2939"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3"/>
      <c r="AI67" s="2394"/>
    </row>
    <row r="68" spans="1:35" ht="14.25" customHeight="1" thickBot="1">
      <c r="A68" s="208" t="s">
        <v>774</v>
      </c>
      <c r="B68" s="209" t="s">
        <v>2241</v>
      </c>
      <c r="C68" s="210" t="e">
        <f ca="1">IF(C67&lt;=0,0,ROUND(C67*D68,0))</f>
        <v>#N/A</v>
      </c>
      <c r="D68" s="211">
        <f>'数据-取费表'!B41</f>
        <v>5.6000000000000001E-2</v>
      </c>
      <c r="E68" s="212"/>
      <c r="F68" s="2459"/>
      <c r="G68" s="2459"/>
      <c r="H68" s="2467"/>
      <c r="I68" s="138"/>
      <c r="J68" s="3614"/>
      <c r="K68" s="2939" t="s">
        <v>2242</v>
      </c>
      <c r="L68" s="1729" t="e">
        <f ca="1">IF(M49&gt;10000,M49*0.5%,IF(AND(M49&gt;5000,M49&lt;=10000),M49*1%,IF(AND(M49&gt;1000,M49&lt;=5000),M49*2%,IF(AND(M49&gt;200,M49&lt;=1000),M49*3%,M49*5%))))</f>
        <v>#N/A</v>
      </c>
      <c r="M68" s="24" t="e">
        <f ca="1">ROUND(L68,1)</f>
        <v>#N/A</v>
      </c>
      <c r="Z68" s="2393"/>
      <c r="AI68" s="2394"/>
    </row>
    <row r="69" spans="1:35" s="2416" customFormat="1" ht="16.5" customHeight="1">
      <c r="A69" s="2470"/>
      <c r="B69" s="2471"/>
      <c r="C69" s="2472"/>
      <c r="D69" s="2473"/>
      <c r="E69" s="2474"/>
      <c r="F69" s="2140"/>
      <c r="G69" s="2140"/>
      <c r="H69" s="2139"/>
      <c r="I69" s="2388"/>
      <c r="J69" s="3614"/>
      <c r="K69" s="2939" t="s">
        <v>2243</v>
      </c>
      <c r="L69" s="2475"/>
      <c r="M69" s="24" t="e">
        <f ca="1">ROUND(SUM(M63:M68),0)</f>
        <v>#N/A</v>
      </c>
      <c r="N69" s="1730" t="e">
        <f ca="1">M69/M49</f>
        <v>#N/A</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3" t="s">
        <v>2244</v>
      </c>
      <c r="B70" s="3574"/>
      <c r="C70" s="3574"/>
      <c r="D70" s="3574"/>
      <c r="E70" s="3574"/>
      <c r="F70" s="3574"/>
      <c r="G70" s="3574"/>
      <c r="H70" s="3574"/>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52" t="s">
        <v>2225</v>
      </c>
      <c r="B71" s="3553"/>
      <c r="C71" s="2930"/>
      <c r="D71" s="2930"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t="e">
        <f ca="1">ROUND(D45/(1+'数据-取费表'!C42),0)</f>
        <v>#N/A</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t="e">
        <f ca="1">C74+C78</f>
        <v>#N/A</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47" t="s">
        <v>2253</v>
      </c>
      <c r="F76" s="3524"/>
      <c r="G76" s="3524"/>
      <c r="H76" s="3572"/>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2940" t="s">
        <v>2255</v>
      </c>
      <c r="F77" s="224"/>
      <c r="G77" s="2483" t="s">
        <v>2256</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#N/A</v>
      </c>
      <c r="D78" s="226">
        <f>'数据-取费表'!B43</f>
        <v>6.000000000000001E-3</v>
      </c>
      <c r="E78" s="3533" t="s">
        <v>2258</v>
      </c>
      <c r="F78" s="3534"/>
      <c r="G78" s="3534"/>
      <c r="H78" s="3543"/>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773</v>
      </c>
      <c r="B79" s="204" t="s">
        <v>2259</v>
      </c>
      <c r="C79" s="207" t="e">
        <f ca="1">C72-C73</f>
        <v>#N/A</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#N/A</v>
      </c>
      <c r="D80" s="200" t="s">
        <v>32</v>
      </c>
      <c r="E80" s="2940" t="e">
        <f ca="1">IF(C80&gt;=200%,"增值额超过扣除项目金额200%",IF(C80&gt;=100%,"增值额超过扣除项目金额100%，未超过200%",IF(C80&gt;=50%,"增值额超过扣除项目金额50%，未超过100%",IF(C80&lt;50%,"增值额未超过扣除项目金额50%"))))</f>
        <v>#N/A</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3" t="s">
        <v>2262</v>
      </c>
      <c r="B83" s="3574"/>
      <c r="C83" s="3574"/>
      <c r="D83" s="3574"/>
      <c r="E83" s="3574"/>
      <c r="F83" s="3574"/>
      <c r="G83" s="3574"/>
      <c r="H83" s="3574"/>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52" t="s">
        <v>2225</v>
      </c>
      <c r="B84" s="3553"/>
      <c r="C84" s="2930"/>
      <c r="D84" s="2930"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t="e">
        <f ca="1">ROUND(D45/(1+'数据-取费表'!C42),0)</f>
        <v>#N/A</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t="e">
        <f ca="1">IF(H88="仅含出让金",C87+C90+C91+C92+C93+C94,C87+C91+C92+C93+C94)</f>
        <v>#N/A</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c r="D88" s="226"/>
      <c r="E88" s="237" t="s">
        <v>2265</v>
      </c>
      <c r="F88" s="2926"/>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0</v>
      </c>
      <c r="D89" s="226">
        <f>'数据-取费表'!B48+'数据-取费表'!B49</f>
        <v>3.0499999999999999E-2</v>
      </c>
      <c r="E89" s="237" t="s">
        <v>2267</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33" t="s">
        <v>2271</v>
      </c>
      <c r="F91" s="3534"/>
      <c r="G91" s="3534"/>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33" t="s">
        <v>2275</v>
      </c>
      <c r="F92" s="3534"/>
      <c r="G92" s="3534"/>
      <c r="H92" s="3543"/>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#N/A</v>
      </c>
      <c r="D93" s="226">
        <f>'数据-取费表'!B43</f>
        <v>6.000000000000001E-3</v>
      </c>
      <c r="E93" s="3533" t="s">
        <v>2258</v>
      </c>
      <c r="F93" s="3534"/>
      <c r="G93" s="3534"/>
      <c r="H93" s="3543"/>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544" t="s">
        <v>2279</v>
      </c>
      <c r="F94" s="3545"/>
      <c r="G94" s="3545"/>
      <c r="H94" s="354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773</v>
      </c>
      <c r="B95" s="204" t="s">
        <v>2259</v>
      </c>
      <c r="C95" s="207" t="e">
        <f ca="1">ROUND(C85-C86,0)</f>
        <v>#N/A</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#N/A</v>
      </c>
      <c r="D96" s="200" t="s">
        <v>32</v>
      </c>
      <c r="E96" s="2940" t="e">
        <f ca="1">IF(C96&gt;=200%,"增值额超过扣除项目金额200%",IF(C96&gt;=100%,"增值额超过扣除项目金额100%，未超过200%",IF(C96&gt;=50%,"增值额超过扣除项目金额50%，未超过100%",IF(C96&lt;50%,"增值额未超过扣除项目金额50%"))))</f>
        <v>#N/A</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35"/>
      <c r="E100" s="3511" t="s">
        <v>2282</v>
      </c>
      <c r="F100" s="3511"/>
      <c r="G100" s="3511"/>
      <c r="H100" s="3535"/>
      <c r="I100" s="138"/>
    </row>
    <row r="101" spans="1:35" ht="18.75" customHeight="1">
      <c r="A101" s="3597" t="s">
        <v>2283</v>
      </c>
      <c r="B101" s="3598"/>
      <c r="C101" s="732" t="str">
        <f>C4</f>
        <v>成本法酒店</v>
      </c>
      <c r="D101" s="733" t="str">
        <f>D4</f>
        <v>收益法酒店</v>
      </c>
      <c r="E101" s="3611" t="s">
        <v>2284</v>
      </c>
      <c r="F101" s="3565"/>
      <c r="G101" s="2490" t="s">
        <v>2285</v>
      </c>
      <c r="H101" s="1035" t="e">
        <f ca="1">H118</f>
        <v>#N/A</v>
      </c>
      <c r="I101" s="138"/>
    </row>
    <row r="102" spans="1:35" ht="18.75" customHeight="1">
      <c r="A102" s="3567" t="s">
        <v>2286</v>
      </c>
      <c r="B102" s="2490" t="s">
        <v>2285</v>
      </c>
      <c r="C102" s="732" t="e">
        <f ca="1">C19</f>
        <v>#N/A</v>
      </c>
      <c r="D102" s="733" t="e">
        <f ca="1">D19</f>
        <v>#N/A</v>
      </c>
      <c r="E102" s="3611"/>
      <c r="F102" s="3565"/>
      <c r="G102" s="2490" t="s">
        <v>2287</v>
      </c>
      <c r="H102" s="371" t="e">
        <f ca="1">I118</f>
        <v>#N/A</v>
      </c>
      <c r="I102" s="138"/>
    </row>
    <row r="103" spans="1:35" ht="42.75" customHeight="1">
      <c r="A103" s="3567"/>
      <c r="B103" s="2490" t="s">
        <v>2287</v>
      </c>
      <c r="C103" s="734" t="e">
        <f ca="1">C20</f>
        <v>#N/A</v>
      </c>
      <c r="D103" s="735">
        <f ca="1">D20</f>
        <v>0</v>
      </c>
      <c r="E103" s="3606" t="s">
        <v>2288</v>
      </c>
      <c r="F103" s="3607"/>
      <c r="G103" s="2491" t="s">
        <v>2289</v>
      </c>
      <c r="H103" s="1035">
        <f>IF(D36="正常操作",H104+H105+H106,H105+H106)</f>
        <v>0</v>
      </c>
      <c r="I103" s="138"/>
    </row>
    <row r="104" spans="1:35" ht="18.75" customHeight="1">
      <c r="A104" s="3567" t="s">
        <v>2290</v>
      </c>
      <c r="B104" s="2492" t="s">
        <v>2285</v>
      </c>
      <c r="C104" s="736" t="e">
        <f ca="1">H118</f>
        <v>#N/A</v>
      </c>
      <c r="D104" s="737"/>
      <c r="E104" s="2240" t="s">
        <v>2291</v>
      </c>
      <c r="F104" s="2232"/>
      <c r="G104" s="2491" t="s">
        <v>2289</v>
      </c>
      <c r="H104" s="1036">
        <f>IF(D36="同一抵押权人同一抵押物续贷",C36&amp;"（未扣减，详见特别提示）",C36)</f>
        <v>0</v>
      </c>
      <c r="I104" s="138"/>
    </row>
    <row r="105" spans="1:35" ht="18.75" customHeight="1" thickBot="1">
      <c r="A105" s="3568"/>
      <c r="B105" s="2493" t="s">
        <v>2287</v>
      </c>
      <c r="C105" s="738" t="e">
        <f ca="1">I118</f>
        <v>#N/A</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4" t="str">
        <f>IF(项目基本情况!E8="已注销","——","3.房地产抵押价值")</f>
        <v>3.房地产抵押价值</v>
      </c>
      <c r="F107" s="3565"/>
      <c r="G107" s="2490" t="s">
        <v>2285</v>
      </c>
      <c r="H107" s="1035" t="e">
        <f ca="1">IF(E107="——","——",H101-H103)</f>
        <v>#N/A</v>
      </c>
      <c r="I107" s="138"/>
    </row>
    <row r="108" spans="1:35" ht="18.75" customHeight="1">
      <c r="A108" s="138"/>
      <c r="B108" s="138"/>
      <c r="C108" s="138"/>
      <c r="D108" s="138"/>
      <c r="E108" s="3564"/>
      <c r="F108" s="3565"/>
      <c r="G108" s="2490" t="s">
        <v>2287</v>
      </c>
      <c r="H108" s="371" t="e">
        <f ca="1">ROUND(H107*10000/'数据-汇总表'!E3,0)</f>
        <v>#N/A</v>
      </c>
      <c r="I108" s="138"/>
    </row>
    <row r="109" spans="1:35" ht="18.75" customHeight="1">
      <c r="A109" s="138"/>
      <c r="B109" s="138"/>
      <c r="C109" s="138"/>
      <c r="D109" s="138"/>
      <c r="E109" s="3564" t="str">
        <f>IF(项目基本情况!E8="已注销及未注销","4.抵押担保权已注销时的房地产抵押价值",IF(项目基本情况!E8="已注销","3.抵押担保权已注销时的房地产抵押价值","——"))</f>
        <v>——</v>
      </c>
      <c r="F109" s="3565"/>
      <c r="G109" s="2490" t="s">
        <v>2285</v>
      </c>
      <c r="H109" s="348" t="str">
        <f>IF(E109="——","——",H101-H105-H106)</f>
        <v>——</v>
      </c>
      <c r="I109" s="138"/>
    </row>
    <row r="110" spans="1:35" ht="18.75" customHeight="1">
      <c r="A110" s="138"/>
      <c r="B110" s="138"/>
      <c r="C110" s="138"/>
      <c r="D110" s="138"/>
      <c r="E110" s="3564"/>
      <c r="F110" s="3565"/>
      <c r="G110" s="2490" t="s">
        <v>2287</v>
      </c>
      <c r="H110" s="371" t="str">
        <f>IF(H109="——","——",ROUND(H109*10000/'数据-汇总表'!E3,0))</f>
        <v>——</v>
      </c>
      <c r="I110" s="138"/>
    </row>
    <row r="111" spans="1:35" ht="18.75" customHeight="1">
      <c r="A111" s="138"/>
      <c r="B111" s="138"/>
      <c r="C111" s="138"/>
      <c r="D111" s="138"/>
      <c r="E111" s="3599" t="str">
        <f>IF(项目基本情况!E9="抵押净值",IF(OR(项目基本情况!E8="已注销",项目基本情况!E8="房地产抵押价值"),"4.抵押净值","5.抵押净值"),"——")</f>
        <v>——</v>
      </c>
      <c r="F111" s="3600"/>
      <c r="G111" s="2490" t="s">
        <v>2285</v>
      </c>
      <c r="H111" s="1035" t="str">
        <f>IF(E111="——","——",N59)</f>
        <v>——</v>
      </c>
      <c r="I111" s="138"/>
    </row>
    <row r="112" spans="1:35" ht="18.75" customHeight="1" thickBot="1">
      <c r="A112" s="138"/>
      <c r="B112" s="138"/>
      <c r="C112" s="138"/>
      <c r="D112" s="138"/>
      <c r="E112" s="3601"/>
      <c r="F112" s="3602"/>
      <c r="G112" s="2495" t="s">
        <v>2287</v>
      </c>
      <c r="H112" s="785" t="str">
        <f>IF(E111="——","——",N61)</f>
        <v>——</v>
      </c>
      <c r="I112" s="138"/>
    </row>
    <row r="113" spans="1:11" ht="18.75" customHeight="1">
      <c r="A113" s="138"/>
      <c r="B113" s="138"/>
      <c r="C113" s="138"/>
      <c r="D113" s="138"/>
      <c r="E113" s="3569" t="s">
        <v>2293</v>
      </c>
      <c r="F113" s="3569"/>
      <c r="G113" s="3569"/>
      <c r="H113" s="3569"/>
      <c r="I113" s="138"/>
    </row>
    <row r="114" spans="1:11" ht="3.75" customHeight="1">
      <c r="A114" s="2388"/>
      <c r="B114" s="2388"/>
      <c r="C114" s="2388"/>
      <c r="D114" s="2388"/>
      <c r="E114" s="2466"/>
      <c r="F114" s="2466"/>
      <c r="G114" s="2466"/>
      <c r="H114" s="2466"/>
      <c r="I114" s="2388"/>
    </row>
    <row r="115" spans="1:11" ht="18.75" customHeight="1">
      <c r="A115" s="3582" t="s">
        <v>2295</v>
      </c>
      <c r="B115" s="3583"/>
      <c r="C115" s="3583"/>
      <c r="D115" s="3583"/>
      <c r="E115" s="3583"/>
      <c r="F115" s="3583"/>
      <c r="G115" s="3583"/>
      <c r="H115" s="3583"/>
      <c r="I115" s="3584"/>
    </row>
    <row r="116" spans="1:11" ht="27" customHeight="1">
      <c r="A116" s="3466" t="s">
        <v>2296</v>
      </c>
      <c r="B116" s="3570" t="s">
        <v>2297</v>
      </c>
      <c r="C116" s="3570" t="s">
        <v>2298</v>
      </c>
      <c r="D116" s="3586" t="s">
        <v>2299</v>
      </c>
      <c r="E116" s="3587"/>
      <c r="F116" s="3578" t="s">
        <v>3158</v>
      </c>
      <c r="G116" s="3578"/>
      <c r="H116" s="3466" t="s">
        <v>2301</v>
      </c>
      <c r="I116" s="3466"/>
    </row>
    <row r="117" spans="1:11" ht="18.75" customHeight="1">
      <c r="A117" s="3466"/>
      <c r="B117" s="3571"/>
      <c r="C117" s="3571"/>
      <c r="D117" s="2922" t="s">
        <v>2302</v>
      </c>
      <c r="E117" s="2922" t="s">
        <v>2303</v>
      </c>
      <c r="F117" s="2922" t="s">
        <v>2302</v>
      </c>
      <c r="G117" s="2922" t="s">
        <v>2304</v>
      </c>
      <c r="H117" s="2922" t="s">
        <v>2302</v>
      </c>
      <c r="I117" s="2922" t="s">
        <v>2304</v>
      </c>
    </row>
    <row r="118" spans="1:11" ht="24.75" customHeight="1">
      <c r="A118" s="2496" t="str">
        <f>项目基本情况!S2</f>
        <v>山东省聊城万达欢乐小镇（万达广场）二层房地产</v>
      </c>
      <c r="B118" s="2922">
        <f>M18</f>
        <v>0</v>
      </c>
      <c r="C118" s="2922">
        <f>M19</f>
        <v>0</v>
      </c>
      <c r="D118" s="2922" t="e">
        <f ca="1">ROUND(IF(D32="总价",C34,E118*B118/10000),0)</f>
        <v>#N/A</v>
      </c>
      <c r="E118" s="2922" t="e">
        <f ca="1">ROUND(IF(C33="自定义",IF(D32="楼面单价",C34,D118*10000/B118),I118-G118),0)</f>
        <v>#N/A</v>
      </c>
      <c r="F118" s="2922" t="e">
        <f ca="1">ROUND(IF(D32="总价",C35,G118*B118/10000),0)</f>
        <v>#N/A</v>
      </c>
      <c r="G118" s="2922" t="e">
        <f ca="1">ROUND(IF(D32="楼面单价",C35,F118*10000/B118),0)</f>
        <v>#N/A</v>
      </c>
      <c r="H118" s="2922" t="e">
        <f ca="1">ROUND(IF(D32="总价",C32,I118*B118/10000),0)</f>
        <v>#N/A</v>
      </c>
      <c r="I118" s="2922" t="e">
        <f ca="1">ROUND(IF(D32="楼面单价",C32,H118*10000/B118),0)</f>
        <v>#N/A</v>
      </c>
    </row>
    <row r="119" spans="1:11" ht="18.75" customHeight="1">
      <c r="A119" s="3466" t="s">
        <v>2305</v>
      </c>
      <c r="B119" s="3466"/>
      <c r="C119" s="3466"/>
      <c r="D119" s="3575" t="e">
        <f ca="1">NUMBERSTRING(INT(D118*10000),2)&amp;"元整"</f>
        <v>#N/A</v>
      </c>
      <c r="E119" s="3577"/>
      <c r="F119" s="3575" t="e">
        <f ca="1">NUMBERSTRING(INT(F118*10000),2)&amp;"元整"</f>
        <v>#N/A</v>
      </c>
      <c r="G119" s="3577"/>
      <c r="H119" s="3575" t="e">
        <f ca="1">NUMBERSTRING(INT(H118*10000),2)&amp;"元整"</f>
        <v>#N/A</v>
      </c>
      <c r="I119" s="3577"/>
    </row>
    <row r="120" spans="1:11" ht="18.75" customHeight="1">
      <c r="A120" s="3603" t="str">
        <f>IF(项目基本情况!B9="房地产市场价值","",MID(E103,3,LEN(E103)-2))</f>
        <v>估价师知悉的法定优先受偿款</v>
      </c>
      <c r="B120" s="3604"/>
      <c r="C120" s="3605"/>
      <c r="D120" s="3603">
        <f>H103</f>
        <v>0</v>
      </c>
      <c r="E120" s="3604"/>
      <c r="F120" s="3604"/>
      <c r="G120" s="3604"/>
      <c r="H120" s="3604"/>
      <c r="I120" s="3605"/>
      <c r="K120" s="2393" t="str">
        <f>IF(D120=0,"故，本次评估不存在"&amp;A120,"故，本次评估"&amp;A120&amp;"为人民币"&amp;D120&amp;"万元整。")</f>
        <v>故，本次评估不存在估价师知悉的法定优先受偿款</v>
      </c>
    </row>
    <row r="121" spans="1:11" ht="18.75" customHeight="1">
      <c r="A121" s="3579" t="s">
        <v>2305</v>
      </c>
      <c r="B121" s="3580"/>
      <c r="C121" s="3581"/>
      <c r="D121" s="3575" t="str">
        <f>IF(D120=0,"零元整",NUMBERSTRING(INT(D120*10000),2)&amp;"元整")</f>
        <v>零元整</v>
      </c>
      <c r="E121" s="3576"/>
      <c r="F121" s="3576"/>
      <c r="G121" s="3576"/>
      <c r="H121" s="3576"/>
      <c r="I121" s="3577"/>
    </row>
    <row r="122" spans="1:11" ht="18.75" customHeight="1">
      <c r="A122" s="3566" t="str">
        <f>IF(项目基本情况!B9="房地产市场价值","",MID(E107,3,LEN(E107)-2))</f>
        <v>房地产抵押价值</v>
      </c>
      <c r="B122" s="3566"/>
      <c r="C122" s="3566"/>
      <c r="D122" s="3603" t="e">
        <f ca="1">H107</f>
        <v>#N/A</v>
      </c>
      <c r="E122" s="3604"/>
      <c r="F122" s="3604"/>
      <c r="G122" s="3604"/>
      <c r="H122" s="3604"/>
      <c r="I122" s="3605"/>
    </row>
    <row r="123" spans="1:11" ht="18.75" customHeight="1">
      <c r="A123" s="3466" t="s">
        <v>2305</v>
      </c>
      <c r="B123" s="3466"/>
      <c r="C123" s="3466"/>
      <c r="D123" s="3575" t="e">
        <f ca="1">NUMBERSTRING(INT(D122*10000),2)&amp;"元整"</f>
        <v>#N/A</v>
      </c>
      <c r="E123" s="3576"/>
      <c r="F123" s="3576"/>
      <c r="G123" s="3576"/>
      <c r="H123" s="3576"/>
      <c r="I123" s="3577"/>
    </row>
    <row r="124" spans="1:11" ht="18.75" customHeight="1">
      <c r="A124" s="3566" t="str">
        <f>IF(项目基本情况!B9="房地产市场价值","",MID(E109,3,LEN(E109)-2))</f>
        <v/>
      </c>
      <c r="B124" s="3566"/>
      <c r="C124" s="3566"/>
      <c r="D124" s="3603" t="str">
        <f>H109</f>
        <v>——</v>
      </c>
      <c r="E124" s="3604"/>
      <c r="F124" s="3604"/>
      <c r="G124" s="3604"/>
      <c r="H124" s="3604"/>
      <c r="I124" s="3605"/>
    </row>
    <row r="125" spans="1:11" ht="18.75" customHeight="1">
      <c r="A125" s="3466" t="s">
        <v>2305</v>
      </c>
      <c r="B125" s="3466"/>
      <c r="C125" s="3466"/>
      <c r="D125" s="3575" t="e">
        <f>NUMBERSTRING(INT(D124*10000),2)&amp;"元整"</f>
        <v>#VALUE!</v>
      </c>
      <c r="E125" s="3576"/>
      <c r="F125" s="3576"/>
      <c r="G125" s="3576"/>
      <c r="H125" s="3576"/>
      <c r="I125" s="3577"/>
    </row>
    <row r="126" spans="1:11" ht="18.75" customHeight="1">
      <c r="A126" s="3566" t="str">
        <f>IF(项目基本情况!B9="房地产市场价值","",MID(E111,3,LEN(E111)-2))</f>
        <v/>
      </c>
      <c r="B126" s="3566"/>
      <c r="C126" s="3566"/>
      <c r="D126" s="3603" t="str">
        <f>H111</f>
        <v>——</v>
      </c>
      <c r="E126" s="3604"/>
      <c r="F126" s="3604"/>
      <c r="G126" s="3604"/>
      <c r="H126" s="3604"/>
      <c r="I126" s="3605"/>
    </row>
    <row r="127" spans="1:11" ht="18.75" customHeight="1">
      <c r="A127" s="3466" t="s">
        <v>2305</v>
      </c>
      <c r="B127" s="3466"/>
      <c r="C127" s="3466"/>
      <c r="D127" s="3575" t="e">
        <f>NUMBERSTRING(INT(D126*10000),2)&amp;"元整"</f>
        <v>#VALUE!</v>
      </c>
      <c r="E127" s="3576"/>
      <c r="F127" s="3576"/>
      <c r="G127" s="3576"/>
      <c r="H127" s="3576"/>
      <c r="I127" s="3577"/>
    </row>
    <row r="128" spans="1:11" ht="21.75" customHeight="1">
      <c r="A128" s="3585" t="s">
        <v>2306</v>
      </c>
      <c r="B128" s="3585"/>
      <c r="C128" s="3585"/>
      <c r="D128" s="3585"/>
      <c r="E128" s="3585"/>
      <c r="F128" s="3585"/>
      <c r="G128" s="3585"/>
      <c r="H128" s="3585"/>
      <c r="I128" s="358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3600</v>
      </c>
      <c r="C1" s="242"/>
      <c r="D1" s="242"/>
      <c r="E1" s="242"/>
      <c r="F1" s="242"/>
      <c r="G1" s="1361" t="e">
        <f>MATCH(B1,'数据-取费表'!A6:A16,0)+5</f>
        <v>#N/A</v>
      </c>
    </row>
    <row r="2" spans="1:9" s="244" customFormat="1" ht="18" customHeight="1">
      <c r="A2" s="245" t="s">
        <v>2315</v>
      </c>
      <c r="B2" s="246" t="e">
        <f ca="1">IF(D2="——",C52,C52-E2)</f>
        <v>#N/A</v>
      </c>
      <c r="C2" s="243" t="s">
        <v>2316</v>
      </c>
      <c r="D2" s="2519" t="s">
        <v>70</v>
      </c>
      <c r="E2" s="1421" t="e">
        <f ca="1">SUMIF(INDIRECT("'"&amp;G2&amp;"'"&amp;"!A:A"),"承租人权益价值",INDIRECT("'"&amp;G2&amp;"'"&amp;"!c:c"))</f>
        <v>#REF!</v>
      </c>
      <c r="F2" s="2520" t="s">
        <v>2316</v>
      </c>
      <c r="G2" s="2521"/>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2" t="s">
        <v>3594</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100</v>
      </c>
      <c r="F9" s="265"/>
      <c r="G9" s="2523" t="s">
        <v>3595</v>
      </c>
      <c r="H9" s="1371"/>
      <c r="I9" s="2524"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100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150</v>
      </c>
      <c r="F19" s="275"/>
      <c r="G19" s="2522" t="s">
        <v>3596</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t="e">
        <f ca="1">C28</f>
        <v>#N/A</v>
      </c>
      <c r="D27" s="279" t="e">
        <f ca="1">C29</f>
        <v>#N/A</v>
      </c>
      <c r="E27" s="280" t="s">
        <v>2351</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150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661" t="s">
        <v>2397</v>
      </c>
    </row>
    <row r="43" spans="1:7" ht="13.5" customHeight="1">
      <c r="A43" s="941" t="s">
        <v>792</v>
      </c>
      <c r="B43" s="259" t="s">
        <v>2359</v>
      </c>
      <c r="C43" s="282" t="e">
        <f ca="1">ROUND(IF('数据-取费表'!B22&lt;=1,C39*F22*'数据-取费表'!B21/2,C39*(POWER((1+F22),'数据-取费表'!B21/2)-1)),0)</f>
        <v>#N/A</v>
      </c>
      <c r="D43" s="282"/>
      <c r="E43" s="282"/>
      <c r="F43" s="283"/>
      <c r="G43" s="3662"/>
    </row>
    <row r="44" spans="1:7" ht="13.5" customHeight="1">
      <c r="A44" s="941" t="s">
        <v>793</v>
      </c>
      <c r="B44" s="259" t="s">
        <v>2399</v>
      </c>
      <c r="C44" s="282">
        <f ca="1">ROUND(IF('数据-取费表'!B22&lt;=1,C40*F22*'数据-取费表'!B21/2,C40*(POWER((1+F22),'数据-取费表'!B21/2)-1)),4)</f>
        <v>1E-3</v>
      </c>
      <c r="D44" s="282"/>
      <c r="E44" s="282"/>
      <c r="F44" s="283"/>
      <c r="G44" s="3663"/>
    </row>
    <row r="45" spans="1:7" s="258" customFormat="1" ht="13.5" customHeight="1">
      <c r="A45" s="299" t="s">
        <v>2353</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t="e">
        <f ca="1">ROUND(C49*F50,0)</f>
        <v>#N/A</v>
      </c>
      <c r="D51" s="276"/>
      <c r="E51" s="276"/>
      <c r="F51" s="308"/>
      <c r="G51" s="278" t="s">
        <v>2413</v>
      </c>
    </row>
    <row r="52" spans="1:7" s="252" customFormat="1" ht="16.5"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8" customWidth="1"/>
    <col min="2" max="2" width="19.25" style="2864" customWidth="1"/>
    <col min="3" max="4" width="12" style="2690"/>
    <col min="5" max="5" width="14.625" style="2690" customWidth="1"/>
    <col min="6" max="8" width="12" style="2690"/>
    <col min="9" max="9" width="12.25" style="2690" bestFit="1" customWidth="1"/>
    <col min="10" max="10" width="12" style="2690"/>
    <col min="11" max="11" width="8.125" style="2753" customWidth="1"/>
    <col min="12" max="12" width="12" style="2690"/>
    <col min="13" max="13" width="8.5" style="2690" customWidth="1"/>
    <col min="14" max="14" width="9.75" style="2690" customWidth="1"/>
    <col min="15" max="25" width="12" style="2690"/>
    <col min="26" max="26" width="9.375" style="2758" customWidth="1"/>
    <col min="27" max="32" width="9.375" style="1354" customWidth="1"/>
    <col min="33" max="36" width="9.375" style="2758" customWidth="1"/>
    <col min="37" max="38" width="9.375" style="2690" customWidth="1"/>
    <col min="39" max="16384" width="12" style="2690"/>
  </cols>
  <sheetData>
    <row r="1" spans="1:36" ht="28.5">
      <c r="A1" s="240" t="s">
        <v>2782</v>
      </c>
      <c r="B1" s="241"/>
      <c r="C1" s="245" t="s">
        <v>2783</v>
      </c>
      <c r="D1" s="388">
        <f>SUM(D29:D30,D33:D39)</f>
        <v>0</v>
      </c>
      <c r="E1" s="2687"/>
      <c r="F1" s="2687"/>
      <c r="G1" s="2687"/>
      <c r="H1" s="2687"/>
      <c r="I1" s="2687"/>
      <c r="J1" s="2687"/>
      <c r="K1" s="1352"/>
      <c r="L1" s="2688" t="s">
        <v>2784</v>
      </c>
      <c r="M1" s="1070">
        <f>SUMPRODUCT((区片价!B5:B9=I2)*(区片价!C3:F3=E2)*(区片价!C5:F9))</f>
        <v>0</v>
      </c>
      <c r="N1" s="1073">
        <f>SUMPRODUCT((因素修正幅度!B5:B9=I2)*(因素修正幅度!C3:F3=E2)*(因素修正幅度!C5:F9))</f>
        <v>0</v>
      </c>
      <c r="O1" s="2689"/>
      <c r="P1" s="2689"/>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1" t="s">
        <v>2791</v>
      </c>
      <c r="D2" s="2692" t="s">
        <v>2792</v>
      </c>
      <c r="E2" s="2693" t="s">
        <v>27</v>
      </c>
      <c r="F2" s="2692" t="s">
        <v>2793</v>
      </c>
      <c r="G2" s="2694" t="str">
        <f>IF(E2="商业",项目基本情况!B37,IF(E2="办公",项目基本情况!C37,IF(E2="住宅",项目基本情况!D37,项目基本情况!E37)))</f>
        <v>四级</v>
      </c>
      <c r="H2" s="2692" t="s">
        <v>2794</v>
      </c>
      <c r="I2" s="2694" t="str">
        <f>IF(E2="商业",项目基本情况!B38,IF(E2="办公",项目基本情况!C38,IF(E2="住宅",项目基本情况!D38,项目基本情况!E38)))</f>
        <v>Ⅳ-20</v>
      </c>
      <c r="J2" s="2695"/>
      <c r="K2" s="1352"/>
      <c r="L2" s="2696"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1" t="s">
        <v>2797</v>
      </c>
      <c r="D3" s="2692" t="s">
        <v>2798</v>
      </c>
      <c r="E3" s="2697" t="s">
        <v>3053</v>
      </c>
      <c r="F3" s="2698" t="s">
        <v>2799</v>
      </c>
      <c r="G3" s="906">
        <f>IF(F3="宗地容积率",'数据-汇总表'!I4,IF(F3="估价对象容积率",'数据-汇总表'!I6,'数据-汇总表'!I7))</f>
        <v>1.61</v>
      </c>
      <c r="H3" s="198" t="s">
        <v>2800</v>
      </c>
      <c r="I3" s="934"/>
      <c r="J3" s="2695" t="s">
        <v>2801</v>
      </c>
      <c r="K3" s="1352"/>
      <c r="L3" s="2696"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55"/>
      <c r="B4" s="3756"/>
      <c r="C4" s="3756"/>
      <c r="D4" s="3757"/>
      <c r="E4" s="3757"/>
      <c r="F4" s="3757"/>
      <c r="G4" s="3757"/>
      <c r="H4" s="3757"/>
      <c r="I4" s="3757"/>
      <c r="J4" s="3758"/>
      <c r="K4" s="1352"/>
      <c r="L4" s="2696"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8" customFormat="1" ht="15.75" thickBot="1">
      <c r="A5" s="2699" t="s">
        <v>807</v>
      </c>
      <c r="B5" s="2700" t="s">
        <v>2804</v>
      </c>
      <c r="C5" s="907">
        <f>ROUND(IF(E2="商业",C6*C7+C16,(IF(E2="住宅",C6*C12+C16,C6+C16))),0)</f>
        <v>18000</v>
      </c>
      <c r="D5" s="1767">
        <f>ROUND(C6+C16,0)</f>
        <v>18000</v>
      </c>
      <c r="E5" s="1767"/>
      <c r="F5" s="2701"/>
      <c r="G5" s="2702"/>
      <c r="H5" s="2702"/>
      <c r="I5" s="2702"/>
      <c r="J5" s="2703"/>
      <c r="K5" s="2704"/>
      <c r="L5" s="2696"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5"/>
      <c r="AD5" s="2706"/>
      <c r="AE5" s="2706"/>
      <c r="AF5" s="2706"/>
      <c r="AG5" s="2706"/>
      <c r="AH5" s="2706"/>
      <c r="AI5" s="2706"/>
      <c r="AJ5" s="2707"/>
    </row>
    <row r="6" spans="1:36" ht="15.75" thickBot="1">
      <c r="A6" s="2709" t="s">
        <v>2806</v>
      </c>
      <c r="B6" s="2710" t="s">
        <v>2807</v>
      </c>
      <c r="C6" s="908">
        <f>SUMIF(L1:L12,G2,M1:M12)</f>
        <v>18000</v>
      </c>
      <c r="D6" s="2711" t="s">
        <v>2808</v>
      </c>
      <c r="E6" s="2712"/>
      <c r="F6" s="2712"/>
      <c r="G6" s="2713"/>
      <c r="H6" s="2713"/>
      <c r="I6" s="2713"/>
      <c r="J6" s="2714"/>
      <c r="K6" s="1822"/>
      <c r="L6" s="2696"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5"/>
      <c r="AD6" s="2706"/>
      <c r="AE6" s="2706"/>
      <c r="AF6" s="2706"/>
      <c r="AG6" s="2706"/>
      <c r="AH6" s="2706"/>
      <c r="AI6" s="2706"/>
      <c r="AJ6" s="2707"/>
    </row>
    <row r="7" spans="1:36" ht="24">
      <c r="A7" s="3759" t="str">
        <f>IF(E2="商业",IF(C8="不临58条商业街","",2),"")</f>
        <v/>
      </c>
      <c r="B7" s="2715" t="s">
        <v>2810</v>
      </c>
      <c r="C7" s="909">
        <f>IF(C8="不临58条商业街",1,ROUND(1+(1.6*E8+1.2*E9+0.8*E10+0.4*E11)*C9,4))</f>
        <v>1</v>
      </c>
      <c r="D7" s="2716" t="s">
        <v>2811</v>
      </c>
      <c r="E7" s="935"/>
      <c r="F7" s="2717"/>
      <c r="G7" s="2718"/>
      <c r="H7" s="2718"/>
      <c r="I7" s="2718"/>
      <c r="J7" s="2719"/>
      <c r="K7" s="1822"/>
      <c r="L7" s="2696"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1.61</v>
      </c>
      <c r="AA7" s="1586"/>
      <c r="AB7" s="1586"/>
      <c r="AC7" s="1587"/>
      <c r="AD7" s="1588"/>
      <c r="AE7" s="1588"/>
      <c r="AF7" s="1588"/>
      <c r="AG7" s="1588"/>
      <c r="AH7" s="1588"/>
      <c r="AI7" s="1588"/>
      <c r="AJ7" s="1589"/>
    </row>
    <row r="8" spans="1:36" ht="25.5">
      <c r="A8" s="3760"/>
      <c r="B8" s="198" t="s">
        <v>2815</v>
      </c>
      <c r="C8" s="2720" t="s">
        <v>3054</v>
      </c>
      <c r="D8" s="910" t="s">
        <v>139</v>
      </c>
      <c r="E8" s="911" t="e">
        <f>ROUND(C11/E7,4)</f>
        <v>#DIV/0!</v>
      </c>
      <c r="F8" s="2721" t="s">
        <v>2816</v>
      </c>
      <c r="G8" s="2722"/>
      <c r="H8" s="2722"/>
      <c r="I8" s="2722"/>
      <c r="J8" s="2723"/>
      <c r="K8" s="1352"/>
      <c r="L8" s="2696"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52" t="s">
        <v>2818</v>
      </c>
      <c r="X8" s="3753"/>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60"/>
      <c r="B9" s="198" t="s">
        <v>2831</v>
      </c>
      <c r="C9" s="912">
        <f>SUMIF(修正!C59:C119,C8,修正!E59:E119)</f>
        <v>0</v>
      </c>
      <c r="D9" s="200" t="s">
        <v>140</v>
      </c>
      <c r="E9" s="200" t="e">
        <f>ROUND(C11/E7,4)</f>
        <v>#DIV/0!</v>
      </c>
      <c r="F9" s="2721" t="s">
        <v>2832</v>
      </c>
      <c r="G9" s="2722"/>
      <c r="H9" s="2722"/>
      <c r="I9" s="2722"/>
      <c r="J9" s="2723"/>
      <c r="K9" s="1352"/>
      <c r="L9" s="2696"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54"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60"/>
      <c r="B10" s="198" t="s">
        <v>2836</v>
      </c>
      <c r="C10" s="200">
        <f>SUMIF(修正!C59:C119,C8,修正!F59:F119)</f>
        <v>0</v>
      </c>
      <c r="D10" s="200" t="s">
        <v>141</v>
      </c>
      <c r="E10" s="200" t="e">
        <f>ROUND(C11/E7,4)</f>
        <v>#DIV/0!</v>
      </c>
      <c r="F10" s="2721" t="s">
        <v>2837</v>
      </c>
      <c r="G10" s="2722"/>
      <c r="H10" s="2722"/>
      <c r="I10" s="2722"/>
      <c r="J10" s="2723"/>
      <c r="K10" s="1352"/>
      <c r="L10" s="2696"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54"/>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60"/>
      <c r="B11" s="2724" t="s">
        <v>2839</v>
      </c>
      <c r="C11" s="913">
        <f>C10/4</f>
        <v>0</v>
      </c>
      <c r="D11" s="913" t="s">
        <v>142</v>
      </c>
      <c r="E11" s="913" t="e">
        <f>ROUND(C11/E7,4)</f>
        <v>#DIV/0!</v>
      </c>
      <c r="F11" s="2725" t="s">
        <v>2840</v>
      </c>
      <c r="G11" s="2726"/>
      <c r="H11" s="2726"/>
      <c r="I11" s="2726"/>
      <c r="J11" s="2727"/>
      <c r="K11" s="1352"/>
      <c r="L11" s="2696"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54" t="s">
        <v>2842</v>
      </c>
      <c r="X11" s="1594" t="s">
        <v>2843</v>
      </c>
      <c r="Y11" s="1595">
        <f>$G$3</f>
        <v>1.61</v>
      </c>
      <c r="Z11" s="1595">
        <f t="shared" ref="Z11:AJ11" si="3">$G$3</f>
        <v>1.61</v>
      </c>
      <c r="AA11" s="1595">
        <f t="shared" si="3"/>
        <v>1.61</v>
      </c>
      <c r="AB11" s="1595">
        <f t="shared" si="3"/>
        <v>1.61</v>
      </c>
      <c r="AC11" s="1595">
        <f t="shared" si="3"/>
        <v>1.61</v>
      </c>
      <c r="AD11" s="1595">
        <f t="shared" si="3"/>
        <v>1.61</v>
      </c>
      <c r="AE11" s="1595">
        <f t="shared" si="3"/>
        <v>1.61</v>
      </c>
      <c r="AF11" s="1595">
        <f t="shared" si="3"/>
        <v>1.61</v>
      </c>
      <c r="AG11" s="1595">
        <f t="shared" si="3"/>
        <v>1.61</v>
      </c>
      <c r="AH11" s="1595">
        <f t="shared" si="3"/>
        <v>1.61</v>
      </c>
      <c r="AI11" s="1595">
        <f t="shared" si="3"/>
        <v>1.61</v>
      </c>
      <c r="AJ11" s="1595">
        <f t="shared" si="3"/>
        <v>1.61</v>
      </c>
    </row>
    <row r="12" spans="1:36" ht="25.5" thickBot="1">
      <c r="A12" s="3759" t="s">
        <v>2844</v>
      </c>
      <c r="B12" s="2728" t="s">
        <v>2845</v>
      </c>
      <c r="C12" s="909">
        <f>ROUND(C15*D15*E15*F15*G15*H15*I15*J15,4)</f>
        <v>1</v>
      </c>
      <c r="D12" s="2729" t="s">
        <v>2846</v>
      </c>
      <c r="E12" s="2730"/>
      <c r="F12" s="2730"/>
      <c r="G12" s="2731"/>
      <c r="H12" s="2731"/>
      <c r="I12" s="2731"/>
      <c r="J12" s="2732"/>
      <c r="K12" s="1352"/>
      <c r="L12" s="2733"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54"/>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61"/>
      <c r="B13" s="2734" t="s">
        <v>2849</v>
      </c>
      <c r="C13" s="2735" t="s">
        <v>2850</v>
      </c>
      <c r="D13" s="1788" t="s">
        <v>2851</v>
      </c>
      <c r="E13" s="1788" t="s">
        <v>2852</v>
      </c>
      <c r="F13" s="30" t="s">
        <v>2853</v>
      </c>
      <c r="G13" s="2736" t="s">
        <v>2854</v>
      </c>
      <c r="H13" s="2736" t="s">
        <v>2854</v>
      </c>
      <c r="I13" s="2736" t="s">
        <v>2854</v>
      </c>
      <c r="J13" s="2737" t="s">
        <v>2854</v>
      </c>
      <c r="K13" s="1352"/>
      <c r="L13" s="1352"/>
      <c r="M13" s="1352"/>
      <c r="N13" s="1352"/>
      <c r="O13" s="1352"/>
      <c r="P13" s="1352"/>
      <c r="Q13" s="1352"/>
      <c r="R13" s="1582">
        <v>12</v>
      </c>
      <c r="S13" s="1583"/>
      <c r="T13" s="1582" t="e">
        <f t="shared" ca="1" si="0"/>
        <v>#DIV/0!</v>
      </c>
      <c r="U13" s="1583"/>
      <c r="V13" s="1582" t="e">
        <f t="shared" ca="1" si="1"/>
        <v>#DIV/0!</v>
      </c>
      <c r="W13" s="3754"/>
      <c r="X13" s="1596"/>
      <c r="Y13" s="1593">
        <f>(-0.163*(Y12^2)-0.59*Y12+7617)*(10^(-4))/Y11</f>
        <v>0.47310559006211178</v>
      </c>
      <c r="Z13" s="1593">
        <f t="shared" ref="Z13:AJ13" si="5">(-0.163*(Z12^2)-0.59*Z12+7617)*(10^(-4))/Z11</f>
        <v>0.47310559006211178</v>
      </c>
      <c r="AA13" s="1593">
        <f t="shared" si="5"/>
        <v>0.47310559006211178</v>
      </c>
      <c r="AB13" s="1593">
        <f t="shared" si="5"/>
        <v>0.47310559006211178</v>
      </c>
      <c r="AC13" s="1593">
        <f t="shared" si="5"/>
        <v>0.47310559006211178</v>
      </c>
      <c r="AD13" s="1593">
        <f t="shared" si="5"/>
        <v>0.47310559006211178</v>
      </c>
      <c r="AE13" s="1593">
        <f t="shared" si="5"/>
        <v>0.47310559006211178</v>
      </c>
      <c r="AF13" s="1593">
        <f t="shared" si="5"/>
        <v>0.47310559006211178</v>
      </c>
      <c r="AG13" s="1593">
        <f t="shared" si="5"/>
        <v>0.47310559006211178</v>
      </c>
      <c r="AH13" s="1593">
        <f t="shared" si="5"/>
        <v>0.47310559006211178</v>
      </c>
      <c r="AI13" s="1593">
        <f t="shared" si="5"/>
        <v>0.47310559006211178</v>
      </c>
      <c r="AJ13" s="1593">
        <f t="shared" si="5"/>
        <v>0.47310559006211178</v>
      </c>
    </row>
    <row r="14" spans="1:36" ht="15">
      <c r="A14" s="3761"/>
      <c r="B14" s="2738"/>
      <c r="C14" s="2739"/>
      <c r="D14" s="2740"/>
      <c r="E14" s="2740"/>
      <c r="F14" s="2741"/>
      <c r="G14" s="2742" t="s">
        <v>2855</v>
      </c>
      <c r="H14" s="2743"/>
      <c r="I14" s="2744"/>
      <c r="J14" s="2745"/>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62"/>
      <c r="B15" s="2746"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59" t="s">
        <v>2861</v>
      </c>
      <c r="B16" s="2715" t="s">
        <v>2862</v>
      </c>
      <c r="C16" s="2902">
        <f>ROUND(IF(F17="与级别开发程度一致",0,(G17-E17)/C17),0)</f>
        <v>0</v>
      </c>
      <c r="D16" s="3773" t="s">
        <v>2866</v>
      </c>
      <c r="E16" s="3774"/>
      <c r="F16" s="3773" t="s">
        <v>2863</v>
      </c>
      <c r="G16" s="3774"/>
      <c r="H16" s="2749"/>
      <c r="I16" s="2749"/>
      <c r="J16" s="2906"/>
      <c r="K16" s="2749"/>
      <c r="L16" s="2749"/>
      <c r="M16" s="2749"/>
      <c r="N16" s="2749"/>
      <c r="O16" s="2750"/>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63"/>
      <c r="B17" s="2913" t="s">
        <v>2865</v>
      </c>
      <c r="C17" s="2914">
        <f>SUMPRODUCT((修正!A2:A5=E2)*(修正!B1:M1=G2)*(修正!B2:M5))</f>
        <v>2.5</v>
      </c>
      <c r="D17" s="229" t="str">
        <f>IF(OR(G2="八级",G2="九级",G2="十级",G2="十一级",G2="十二级"),"五通一平","七通一平")</f>
        <v>七通一平</v>
      </c>
      <c r="E17" s="2903">
        <f>SUMPRODUCT((修正!B1:M1=G2)*(修正!B15:M15))</f>
        <v>300</v>
      </c>
      <c r="F17" s="2904" t="s">
        <v>3055</v>
      </c>
      <c r="G17" s="2905">
        <f>SUM(H17:O17)</f>
        <v>0</v>
      </c>
      <c r="H17" s="2914">
        <f>SUMPRODUCT((七通一平=H16)*(修正!B1:M1=G2)*(修正!B6:M14))</f>
        <v>0</v>
      </c>
      <c r="I17" s="2914">
        <f>SUMPRODUCT((七通一平=I16)*(修正!B1:M1=G2)*(修正!B6:M14))</f>
        <v>0</v>
      </c>
      <c r="J17" s="2915">
        <f>SUMPRODUCT((七通一平=J16)*(修正!B1:M1=G2)*(修正!B6:M14))</f>
        <v>0</v>
      </c>
      <c r="K17" s="2914">
        <f>SUMPRODUCT((七通一平=K16)*(修正!B1:M1=G2)*(修正!B6:M14))</f>
        <v>0</v>
      </c>
      <c r="L17" s="2914">
        <f>SUMPRODUCT((七通一平=L16)*(修正!B1:M1=G2)*(修正!B6:M14))</f>
        <v>0</v>
      </c>
      <c r="M17" s="2914">
        <f>SUMPRODUCT((七通一平=M16)*(修正!B1:M1=G2)*(修正!B6:M14))</f>
        <v>0</v>
      </c>
      <c r="N17" s="2914">
        <f>SUMPRODUCT((七通一平=N16)*(修正!B1:M1=G2)*(修正!B6:M14))</f>
        <v>0</v>
      </c>
      <c r="O17" s="2916">
        <f>SUMPRODUCT((七通一平=O16)*(修正!B1:M1=G2)*(修正!B6:M14))</f>
        <v>0</v>
      </c>
      <c r="Q17" s="1352"/>
      <c r="R17" s="1352"/>
      <c r="S17" s="1352"/>
      <c r="T17" s="1352"/>
      <c r="U17" s="1352"/>
      <c r="V17" s="1352"/>
      <c r="W17" s="1352"/>
      <c r="X17" s="1352"/>
      <c r="Y17" s="1352"/>
      <c r="Z17" s="1353"/>
      <c r="AE17" s="2753"/>
      <c r="AF17" s="2753"/>
      <c r="AG17" s="2690"/>
      <c r="AH17" s="2690"/>
      <c r="AI17" s="2690"/>
      <c r="AJ17" s="2690"/>
    </row>
    <row r="18" spans="1:37" s="2708" customFormat="1" ht="15.75" thickBot="1">
      <c r="A18" s="2907" t="s">
        <v>808</v>
      </c>
      <c r="B18" s="2908" t="s">
        <v>2868</v>
      </c>
      <c r="C18" s="2909">
        <f>SUMIF(修正!C18:C39,E3,修正!E18:E39)</f>
        <v>1</v>
      </c>
      <c r="D18" s="2910"/>
      <c r="E18" s="2911"/>
      <c r="F18" s="2911"/>
      <c r="G18" s="2911"/>
      <c r="H18" s="2911"/>
      <c r="I18" s="2911"/>
      <c r="J18" s="2912"/>
      <c r="K18" s="1359"/>
      <c r="O18" s="1357"/>
      <c r="P18" s="1357"/>
      <c r="Q18" s="1358"/>
      <c r="R18" s="1358"/>
      <c r="S18" s="1358"/>
      <c r="T18" s="1353"/>
      <c r="U18" s="1353"/>
      <c r="V18" s="1353"/>
      <c r="W18" s="1352"/>
      <c r="X18" s="1352"/>
      <c r="Y18" s="1352"/>
      <c r="Z18" s="1359"/>
      <c r="AA18" s="1360"/>
      <c r="AB18" s="1360"/>
      <c r="AC18" s="1360"/>
      <c r="AD18" s="1360"/>
      <c r="AE18" s="1354"/>
      <c r="AF18" s="1354"/>
      <c r="AG18" s="2758"/>
      <c r="AH18" s="2758"/>
      <c r="AI18" s="2758"/>
    </row>
    <row r="19" spans="1:37" s="2708" customFormat="1" ht="29.25" thickBot="1">
      <c r="A19" s="2754" t="s">
        <v>809</v>
      </c>
      <c r="B19" s="2755" t="s">
        <v>2869</v>
      </c>
      <c r="C19" s="914">
        <f>ROUND(IF(H19="按公示增长率计算",SUMPRODUCT((地价!A3:A28=YEAR(G19)&amp;"-"&amp;ROUNDUP(MONTH(G19)/3,0))*(地价!X2:AB2=E2)*(地价!X3:AB28)),IF(H19="地价指数",M20/M19,(1+I19)^O19)),4)</f>
        <v>1.6084000000000001</v>
      </c>
      <c r="D19" s="2759" t="s">
        <v>2870</v>
      </c>
      <c r="E19" s="915">
        <v>41640</v>
      </c>
      <c r="F19" s="2759" t="s">
        <v>2871</v>
      </c>
      <c r="G19" s="916">
        <f>'数据-取费表'!B2</f>
        <v>43840</v>
      </c>
      <c r="H19" s="2760" t="s">
        <v>3173</v>
      </c>
      <c r="I19" s="917">
        <f>IF(H19="季度增幅（自定义）",SUMIF(N21:N24,E2,O21:O24),"")</f>
        <v>0.02</v>
      </c>
      <c r="J19" s="2757"/>
      <c r="K19" s="1359"/>
      <c r="L19" s="2761" t="s">
        <v>2872</v>
      </c>
      <c r="M19" s="1714">
        <f>ROUND(SUMIF(地价!B2:F2,E2,地价!B28:F28),0)</f>
        <v>258</v>
      </c>
      <c r="N19" s="2762"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3"/>
      <c r="AG19" s="2764"/>
      <c r="AH19" s="2758"/>
      <c r="AI19" s="2765"/>
      <c r="AJ19" s="2765"/>
      <c r="AK19" s="2765"/>
    </row>
    <row r="20" spans="1:37" s="2708" customFormat="1" ht="27.75" thickBot="1">
      <c r="A20" s="2766" t="s">
        <v>810</v>
      </c>
      <c r="B20" s="2767" t="s">
        <v>2874</v>
      </c>
      <c r="C20" s="919" t="e">
        <f ca="1">ROUND(POWER(1+G20,J20-I20)*(POWER(1+G20,I20)-1)/(POWER(1+G20,J20)-1),4)</f>
        <v>#DIV/0!</v>
      </c>
      <c r="D20" s="2768" t="s">
        <v>2875</v>
      </c>
      <c r="E20" s="1748">
        <f ca="1">存贷款利率!D4/100</f>
        <v>4.3499999999999997E-2</v>
      </c>
      <c r="F20" s="2768" t="s">
        <v>2867</v>
      </c>
      <c r="G20" s="924">
        <f ca="1">SUMIF(M26:P26,E2,M28:P28)</f>
        <v>5.1999999999999998E-2</v>
      </c>
      <c r="H20" s="2768" t="s">
        <v>2876</v>
      </c>
      <c r="I20" s="925" t="e">
        <f>SUMIF('数据-取费表'!C6:C15,E2,'数据-取费表'!F6:F15)/COUNTIF('数据-取费表'!C6:C15,E2)</f>
        <v>#DIV/0!</v>
      </c>
      <c r="J20" s="926">
        <f>IF(E2="住宅",70,IF(E2="商业",40,50))</f>
        <v>50</v>
      </c>
      <c r="K20" s="1359"/>
      <c r="L20" s="2769" t="s">
        <v>2877</v>
      </c>
      <c r="M20" s="1715">
        <f>ROUND(SUMPRODUCT((地价!A4:A28=YEAR(G19)&amp;"-"&amp;ROUNDUP(MONTH(G19)/3,0))*(地价!B2:F2=E2)*(地价!B4:F28)),0)</f>
        <v>0</v>
      </c>
      <c r="N20" s="2770" t="s">
        <v>2878</v>
      </c>
      <c r="O20" s="2771" t="s">
        <v>2879</v>
      </c>
      <c r="P20" s="2772" t="s">
        <v>2880</v>
      </c>
      <c r="R20" s="1358"/>
      <c r="S20" s="1358"/>
      <c r="T20" s="1353"/>
      <c r="U20" s="1353"/>
      <c r="V20" s="1353"/>
      <c r="W20" s="1352"/>
      <c r="X20" s="1352"/>
      <c r="Y20" s="1352"/>
      <c r="Z20" s="1359"/>
      <c r="AA20" s="1360"/>
      <c r="AB20" s="1360"/>
      <c r="AC20" s="1360"/>
      <c r="AD20" s="1360"/>
      <c r="AE20" s="1360"/>
      <c r="AF20" s="1360"/>
    </row>
    <row r="21" spans="1:37" s="2708" customFormat="1" ht="15">
      <c r="A21" s="2773" t="s">
        <v>811</v>
      </c>
      <c r="B21" s="2774" t="s">
        <v>3056</v>
      </c>
      <c r="C21" s="927">
        <f>IF(B21="容积率修正",IF(G3&lt;=10,D22,J22),C23)</f>
        <v>1.1434</v>
      </c>
      <c r="D21" s="2775"/>
      <c r="E21" s="2775"/>
      <c r="F21" s="2775"/>
      <c r="G21" s="2775"/>
      <c r="H21" s="2775"/>
      <c r="I21" s="2775"/>
      <c r="J21" s="2776"/>
      <c r="K21" s="1359"/>
      <c r="N21" s="2777"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8" customFormat="1" ht="14.25">
      <c r="A22" s="2636" t="s">
        <v>2882</v>
      </c>
      <c r="B22" s="2778" t="s">
        <v>2883</v>
      </c>
      <c r="C22" s="1790" t="s">
        <v>2884</v>
      </c>
      <c r="D22" s="1790">
        <f>IF(E22=G22,F22,IF(G3&lt;=10,ROUND(F22+(H22-F22)*(G3-E22)/(G22-E22),4),"——"))</f>
        <v>1.1434</v>
      </c>
      <c r="E22" s="906">
        <f>ROUNDDOWN(G3,1)</f>
        <v>1.6</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06">
        <f>ROUNDUP(G3,1)</f>
        <v>1.7000000000000002</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790" t="s">
        <v>155</v>
      </c>
      <c r="J22" s="928" t="str">
        <f>IF(G3&gt;10,D113,"——")</f>
        <v>——</v>
      </c>
      <c r="K22" s="1359"/>
      <c r="N22" s="2777"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6" t="s">
        <v>2886</v>
      </c>
      <c r="B23" s="2779" t="s">
        <v>2887</v>
      </c>
      <c r="C23" s="1003">
        <f>ROUND(IF(G3&gt;1,IF(I3&lt;7,SUMPRODUCT((B93:B98=I3)*(C92:N92=G2)*(C93:N98)),SUMIF(C92:N92,G2,C100:N100)),IF(I3&lt;7,SUMPRODUCT((B102:B107=I3)*(C92:N92=G2)*(C102:N107)),SUMIF(C92:N92,G2,C109:N109))),4)</f>
        <v>0</v>
      </c>
      <c r="D23" s="2743"/>
      <c r="E23" s="2743"/>
      <c r="F23" s="2780"/>
      <c r="G23" s="2781"/>
      <c r="H23" s="2782"/>
      <c r="I23" s="2783"/>
      <c r="J23" s="2784"/>
      <c r="K23" s="1352"/>
      <c r="N23" s="2777"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8"/>
    </row>
    <row r="24" spans="1:37" s="2708" customFormat="1" ht="15.75" thickBot="1">
      <c r="A24" s="2766" t="s">
        <v>812</v>
      </c>
      <c r="B24" s="2755" t="s">
        <v>2889</v>
      </c>
      <c r="C24" s="914">
        <f>SUMIF(A45:A88,E2,B45:B88)</f>
        <v>1.0836999999999999</v>
      </c>
      <c r="D24" s="2756"/>
      <c r="E24" s="2785"/>
      <c r="F24" s="2785"/>
      <c r="G24" s="2785"/>
      <c r="H24" s="2785"/>
      <c r="I24" s="2785"/>
      <c r="J24" s="2786"/>
      <c r="K24" s="1359"/>
      <c r="N24" s="2787"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6" t="s">
        <v>813</v>
      </c>
      <c r="B25" s="2788" t="s">
        <v>2891</v>
      </c>
      <c r="C25" s="920"/>
      <c r="D25" s="2718"/>
      <c r="E25" s="2718"/>
      <c r="F25" s="2789"/>
      <c r="G25" s="2718"/>
      <c r="H25" s="2718"/>
      <c r="I25" s="2718"/>
      <c r="J25" s="2719"/>
      <c r="K25" s="1352"/>
      <c r="N25" s="2790"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1"/>
      <c r="B26" s="2778" t="s">
        <v>2893</v>
      </c>
      <c r="C26" s="206" t="e">
        <f ca="1">E29+SUM(E33:E39)</f>
        <v>#DIV/0!</v>
      </c>
      <c r="D26" s="2792"/>
      <c r="E26" s="2743"/>
      <c r="F26" s="2793"/>
      <c r="G26" s="2743"/>
      <c r="H26" s="2743"/>
      <c r="I26" s="2743"/>
      <c r="J26" s="2794"/>
      <c r="K26" s="1352"/>
      <c r="L26" s="2747" t="s">
        <v>2792</v>
      </c>
      <c r="M26" s="910" t="s">
        <v>2857</v>
      </c>
      <c r="N26" s="910" t="s">
        <v>2858</v>
      </c>
      <c r="O26" s="910" t="s">
        <v>2859</v>
      </c>
      <c r="P26" s="2748" t="s">
        <v>2860</v>
      </c>
      <c r="R26" s="1358"/>
      <c r="S26" s="1358"/>
      <c r="T26" s="1353"/>
      <c r="U26" s="1353"/>
      <c r="V26" s="1353"/>
      <c r="W26" s="1352"/>
      <c r="X26" s="1352"/>
      <c r="Y26" s="1352"/>
      <c r="Z26" s="1359"/>
      <c r="AA26" s="1360"/>
      <c r="AB26" s="1360"/>
      <c r="AC26" s="1360"/>
      <c r="AD26" s="1360"/>
    </row>
    <row r="27" spans="1:37" ht="15.75" thickBot="1">
      <c r="A27" s="2791"/>
      <c r="B27" s="2795" t="s">
        <v>2894</v>
      </c>
      <c r="C27" s="921" t="e">
        <f ca="1">E30+SUM(I33:I39)</f>
        <v>#DIV/0!</v>
      </c>
      <c r="D27" s="2796"/>
      <c r="E27" s="2797"/>
      <c r="F27" s="2798"/>
      <c r="G27" s="2797"/>
      <c r="H27" s="2797"/>
      <c r="I27" s="2797"/>
      <c r="J27" s="2799"/>
      <c r="K27" s="1352"/>
      <c r="L27" s="2751"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0"/>
      <c r="B28" s="2801" t="s">
        <v>2895</v>
      </c>
      <c r="C28" s="2802" t="s">
        <v>2896</v>
      </c>
      <c r="D28" s="2802" t="s">
        <v>2897</v>
      </c>
      <c r="E28" s="2803" t="s">
        <v>2898</v>
      </c>
      <c r="F28" s="2804"/>
      <c r="G28" s="2731"/>
      <c r="H28" s="2731"/>
      <c r="I28" s="2731"/>
      <c r="J28" s="2732"/>
      <c r="K28" s="1352"/>
      <c r="L28" s="2752"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5"/>
      <c r="B29" s="2806" t="s">
        <v>2899</v>
      </c>
      <c r="C29" s="206" t="e">
        <f ca="1">ROUND(C5*C18*C19*C20*C21*C24,0)</f>
        <v>#DIV/0!</v>
      </c>
      <c r="D29" s="2807"/>
      <c r="E29" s="932" t="e">
        <f ca="1">ROUND(C29*D29/10000,0)</f>
        <v>#DIV/0!</v>
      </c>
      <c r="F29" s="2808" t="s">
        <v>2900</v>
      </c>
      <c r="G29" s="2809"/>
      <c r="H29" s="2809"/>
      <c r="I29" s="2809"/>
      <c r="J29" s="2810"/>
      <c r="K29" s="1352"/>
      <c r="L29" s="1352"/>
      <c r="M29" s="1352"/>
      <c r="N29" s="1352"/>
      <c r="O29" s="1357"/>
      <c r="P29" s="1357"/>
      <c r="Q29" s="1358"/>
      <c r="R29" s="1358"/>
      <c r="S29" s="1358"/>
      <c r="T29" s="1353"/>
      <c r="U29" s="1353"/>
      <c r="V29" s="1353"/>
      <c r="W29" s="1352"/>
      <c r="X29" s="1352"/>
      <c r="Y29" s="1352"/>
      <c r="Z29" s="1359"/>
      <c r="AA29" s="1360"/>
      <c r="AB29" s="1360"/>
      <c r="AC29" s="1360"/>
      <c r="AD29" s="1360"/>
      <c r="AE29" s="2753"/>
      <c r="AF29" s="2753"/>
      <c r="AG29" s="2690"/>
      <c r="AH29" s="2690"/>
      <c r="AI29" s="2690"/>
      <c r="AJ29" s="2690"/>
    </row>
    <row r="30" spans="1:37" ht="25.5" thickBot="1">
      <c r="A30" s="2811"/>
      <c r="B30" s="2812" t="s">
        <v>2901</v>
      </c>
      <c r="C30" s="229" t="e">
        <f ca="1">ROUND(IF(E2="工业",C29*M39,C29*M38),0)</f>
        <v>#DIV/0!</v>
      </c>
      <c r="D30" s="2813"/>
      <c r="E30" s="932" t="e">
        <f ca="1">ROUND(C30*D30/10000,0)</f>
        <v>#DIV/0!</v>
      </c>
      <c r="F30" s="2814" t="s">
        <v>2902</v>
      </c>
      <c r="G30" s="2815"/>
      <c r="H30" s="2815"/>
      <c r="I30" s="2815"/>
      <c r="J30" s="2816"/>
      <c r="K30" s="1352"/>
      <c r="L30" s="1352"/>
      <c r="M30" s="1352"/>
      <c r="N30" s="1352"/>
      <c r="O30" s="1357"/>
      <c r="P30" s="1357"/>
      <c r="Q30" s="1358"/>
      <c r="R30" s="1358"/>
      <c r="S30" s="1358"/>
      <c r="T30" s="1353"/>
      <c r="U30" s="1353"/>
      <c r="V30" s="1353"/>
      <c r="W30" s="1352"/>
      <c r="X30" s="1352"/>
      <c r="Y30" s="1352"/>
      <c r="Z30" s="1359"/>
      <c r="AA30" s="1360"/>
      <c r="AB30" s="1360"/>
      <c r="AC30" s="1360"/>
      <c r="AD30" s="1360"/>
      <c r="AE30" s="2753"/>
      <c r="AF30" s="2753"/>
      <c r="AG30" s="2690"/>
      <c r="AH30" s="2690"/>
      <c r="AI30" s="2690"/>
      <c r="AJ30" s="2690"/>
    </row>
    <row r="31" spans="1:37" ht="14.25">
      <c r="A31" s="2817"/>
      <c r="B31" s="2818" t="s">
        <v>2903</v>
      </c>
      <c r="C31" s="2819" t="s">
        <v>2904</v>
      </c>
      <c r="D31" s="2731"/>
      <c r="E31" s="2819"/>
      <c r="F31" s="2819"/>
      <c r="G31" s="2729" t="s">
        <v>2905</v>
      </c>
      <c r="H31" s="2731"/>
      <c r="I31" s="2820"/>
      <c r="J31" s="2732"/>
      <c r="K31" s="1352"/>
      <c r="L31" s="1352"/>
      <c r="M31" s="1352"/>
      <c r="N31" s="1352"/>
      <c r="O31" s="1357"/>
      <c r="P31" s="1357"/>
      <c r="Q31" s="1358"/>
      <c r="R31" s="1358"/>
      <c r="S31" s="1358"/>
      <c r="T31" s="1353"/>
      <c r="U31" s="1353"/>
      <c r="V31" s="1353"/>
      <c r="W31" s="1352"/>
      <c r="X31" s="1352"/>
      <c r="Y31" s="1352"/>
      <c r="Z31" s="1359"/>
      <c r="AA31" s="1360"/>
      <c r="AB31" s="1360"/>
      <c r="AC31" s="1360"/>
      <c r="AD31" s="1360"/>
      <c r="AE31" s="2753"/>
      <c r="AF31" s="2753"/>
      <c r="AG31" s="2690"/>
      <c r="AH31" s="2690"/>
      <c r="AI31" s="2690"/>
      <c r="AJ31" s="2690"/>
    </row>
    <row r="32" spans="1:37" ht="24">
      <c r="A32" s="2805"/>
      <c r="B32" s="2821"/>
      <c r="C32" s="500" t="s">
        <v>2896</v>
      </c>
      <c r="D32" s="497" t="s">
        <v>2897</v>
      </c>
      <c r="E32" s="497" t="s">
        <v>2898</v>
      </c>
      <c r="F32" s="388" t="s">
        <v>2906</v>
      </c>
      <c r="G32" s="2822" t="s">
        <v>2896</v>
      </c>
      <c r="H32" s="2822" t="s">
        <v>2897</v>
      </c>
      <c r="I32" s="2822"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3"/>
      <c r="AF32" s="2753"/>
      <c r="AG32" s="2690"/>
      <c r="AH32" s="2690"/>
      <c r="AI32" s="2690"/>
      <c r="AJ32" s="2690"/>
    </row>
    <row r="33" spans="1:37" ht="36" customHeight="1">
      <c r="A33" s="3770" t="s">
        <v>2907</v>
      </c>
      <c r="B33" s="2823" t="s">
        <v>2908</v>
      </c>
      <c r="C33" s="206" t="e">
        <f ca="1">ROUND(D5*C19*C20*C24*F33,0)</f>
        <v>#DIV/0!</v>
      </c>
      <c r="D33" s="2807"/>
      <c r="E33" s="200" t="e">
        <f ca="1">ROUND(C33*D33/10000,0)</f>
        <v>#DIV/0!</v>
      </c>
      <c r="F33" s="200">
        <f>SUMIF(修正!A45:A56,G2,修正!B45:B56)</f>
        <v>0.7</v>
      </c>
      <c r="G33" s="200" t="e">
        <f t="shared" ref="G33" ca="1" si="6">ROUND(IF(E2="工业",C33*$M$39,C33*$M$38),0)</f>
        <v>#DIV/0!</v>
      </c>
      <c r="H33" s="200">
        <f>D33</f>
        <v>0</v>
      </c>
      <c r="I33" s="200" t="e">
        <f ca="1">ROUND(G33*H33/10000,0)</f>
        <v>#DIV/0!</v>
      </c>
      <c r="J33" s="2824"/>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71"/>
      <c r="B34" s="2735" t="s">
        <v>2909</v>
      </c>
      <c r="C34" s="206" t="e">
        <f ca="1">ROUND(D5*C19*C20*C24*F34,0)</f>
        <v>#DIV/0!</v>
      </c>
      <c r="D34" s="2807"/>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4"/>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71"/>
      <c r="B35" s="2735" t="s">
        <v>2910</v>
      </c>
      <c r="C35" s="206" t="e">
        <f ca="1">ROUND(D5*C19*C20*C24*F35,0)</f>
        <v>#DIV/0!</v>
      </c>
      <c r="D35" s="2807"/>
      <c r="E35" s="200" t="e">
        <f t="shared" ca="1" si="7"/>
        <v>#DIV/0!</v>
      </c>
      <c r="F35" s="200">
        <f>SUMIF(修正!A45:A56,G2,修正!D45:D56)</f>
        <v>0.28000000000000003</v>
      </c>
      <c r="G35" s="200" t="e">
        <f ca="1">ROUND(IF(E2="工业",C35*$M$39,C35*$M$38),0)</f>
        <v>#DIV/0!</v>
      </c>
      <c r="H35" s="200">
        <f t="shared" si="8"/>
        <v>0</v>
      </c>
      <c r="I35" s="200" t="e">
        <f t="shared" ca="1" si="9"/>
        <v>#DIV/0!</v>
      </c>
      <c r="J35" s="2824"/>
      <c r="K35" s="1352"/>
      <c r="L35" s="1352"/>
      <c r="M35" s="1352"/>
      <c r="N35" s="1352"/>
      <c r="O35" s="1352"/>
      <c r="P35" s="1352"/>
      <c r="Q35" s="1352"/>
      <c r="R35" s="1352"/>
      <c r="S35" s="1352"/>
      <c r="T35" s="1352"/>
      <c r="U35" s="1352"/>
      <c r="V35" s="1352"/>
      <c r="W35" s="1352"/>
      <c r="X35" s="1352"/>
      <c r="Y35" s="1352"/>
      <c r="Z35" s="1353"/>
    </row>
    <row r="36" spans="1:37" ht="13.5" thickBot="1">
      <c r="A36" s="3772"/>
      <c r="B36" s="2735" t="s">
        <v>2911</v>
      </c>
      <c r="C36" s="206" t="e">
        <f ca="1">ROUND(D5*C19*C20*C24*F36,0)</f>
        <v>#DIV/0!</v>
      </c>
      <c r="D36" s="2807"/>
      <c r="E36" s="200" t="e">
        <f t="shared" ca="1" si="7"/>
        <v>#DIV/0!</v>
      </c>
      <c r="F36" s="200">
        <f>SUMIF(修正!A45:A56,G2,修正!E45:E56)</f>
        <v>0.25</v>
      </c>
      <c r="G36" s="200" t="e">
        <f ca="1">ROUND(IF(E2="工业",C36*$M$39,C36*$M$38),0)</f>
        <v>#DIV/0!</v>
      </c>
      <c r="H36" s="200">
        <f t="shared" si="8"/>
        <v>0</v>
      </c>
      <c r="I36" s="200" t="e">
        <f t="shared" ca="1" si="9"/>
        <v>#DIV/0!</v>
      </c>
      <c r="J36" s="2824"/>
      <c r="K36" s="1352"/>
      <c r="L36" s="2689"/>
      <c r="M36" s="2689"/>
      <c r="N36" s="1352"/>
      <c r="O36" s="1352"/>
      <c r="P36" s="1352"/>
      <c r="Q36" s="1352"/>
      <c r="R36" s="1352"/>
      <c r="S36" s="1352"/>
      <c r="T36" s="1352"/>
      <c r="U36" s="1352"/>
      <c r="V36" s="1352"/>
      <c r="W36" s="1352"/>
      <c r="X36" s="1352"/>
      <c r="Y36" s="1352"/>
      <c r="Z36" s="1353"/>
    </row>
    <row r="37" spans="1:37">
      <c r="A37" s="2825"/>
      <c r="B37" s="2735" t="s">
        <v>2912</v>
      </c>
      <c r="C37" s="200" t="e">
        <f ca="1">ROUND(D5*C19*C20*C24*F37,0)</f>
        <v>#DIV/0!</v>
      </c>
      <c r="D37" s="2807">
        <f>'数据-基础表'!M13</f>
        <v>0</v>
      </c>
      <c r="E37" s="200" t="e">
        <f t="shared" ca="1" si="7"/>
        <v>#DIV/0!</v>
      </c>
      <c r="F37" s="206">
        <f>SUMIF(修正!A45:A56,G2,修正!F45:F56)</f>
        <v>0.25</v>
      </c>
      <c r="G37" s="200" t="e">
        <f ca="1">ROUND(IF(E2="工业",C37*$M$39,C37*$M$38),0)</f>
        <v>#DIV/0!</v>
      </c>
      <c r="H37" s="200">
        <f t="shared" si="8"/>
        <v>0</v>
      </c>
      <c r="I37" s="200" t="e">
        <f t="shared" ca="1" si="9"/>
        <v>#DIV/0!</v>
      </c>
      <c r="J37" s="2824"/>
      <c r="K37" s="1352"/>
      <c r="L37" s="2826" t="s">
        <v>2913</v>
      </c>
      <c r="M37" s="2827"/>
      <c r="N37" s="1352"/>
      <c r="O37" s="1352"/>
      <c r="P37" s="1352"/>
      <c r="Q37" s="1352"/>
      <c r="R37" s="1352"/>
      <c r="S37" s="1352"/>
      <c r="T37" s="1352"/>
      <c r="U37" s="1352"/>
      <c r="V37" s="1352"/>
      <c r="W37" s="1352"/>
      <c r="X37" s="1352"/>
      <c r="Y37" s="1352"/>
      <c r="Z37" s="1353"/>
    </row>
    <row r="38" spans="1:37">
      <c r="A38" s="2825"/>
      <c r="B38" s="2735" t="s">
        <v>2914</v>
      </c>
      <c r="C38" s="200">
        <f ca="1">ROUND(D5*C19*C41*C24*F38,0)</f>
        <v>0</v>
      </c>
      <c r="D38" s="2807"/>
      <c r="E38" s="200">
        <f t="shared" ca="1" si="7"/>
        <v>0</v>
      </c>
      <c r="F38" s="206">
        <f>SUMIF(修正!A45:A56,G2,修正!G45:G56)</f>
        <v>0.25</v>
      </c>
      <c r="G38" s="200">
        <f ca="1">ROUND(IF(E2="工业",C38*$M$39,C38*$M$38),0)</f>
        <v>0</v>
      </c>
      <c r="H38" s="200">
        <f t="shared" si="8"/>
        <v>0</v>
      </c>
      <c r="I38" s="200">
        <f t="shared" ca="1" si="9"/>
        <v>0</v>
      </c>
      <c r="J38" s="2824"/>
      <c r="K38" s="1352"/>
      <c r="L38" s="1867" t="s">
        <v>2915</v>
      </c>
      <c r="M38" s="2828">
        <v>0.25</v>
      </c>
      <c r="N38" s="1352"/>
      <c r="O38" s="1352"/>
      <c r="P38" s="1352"/>
      <c r="Q38" s="1352"/>
      <c r="R38" s="1352"/>
      <c r="S38" s="1352"/>
      <c r="T38" s="1352"/>
      <c r="U38" s="1352"/>
      <c r="V38" s="1352"/>
      <c r="W38" s="1352"/>
      <c r="X38" s="1352"/>
      <c r="Y38" s="1352"/>
      <c r="Z38" s="1353"/>
    </row>
    <row r="39" spans="1:37" ht="13.5" thickBot="1">
      <c r="A39" s="2811"/>
      <c r="B39" s="2829" t="s">
        <v>2916</v>
      </c>
      <c r="C39" s="229">
        <f ca="1">ROUND(D5*C19*C41*C24*F39,0)</f>
        <v>0</v>
      </c>
      <c r="D39" s="2813"/>
      <c r="E39" s="229">
        <f t="shared" ca="1" si="7"/>
        <v>0</v>
      </c>
      <c r="F39" s="922">
        <f>SUMIF(修正!A45:A56,G2,修正!H45:H56)</f>
        <v>0.2</v>
      </c>
      <c r="G39" s="229">
        <f ca="1">ROUND(IF(E2="工业",C39*$M$39,C39*$M$38),0)</f>
        <v>0</v>
      </c>
      <c r="H39" s="229">
        <f t="shared" si="8"/>
        <v>0</v>
      </c>
      <c r="I39" s="229">
        <f t="shared" ca="1" si="9"/>
        <v>0</v>
      </c>
      <c r="J39" s="2830"/>
      <c r="K39" s="1352"/>
      <c r="L39" s="2831" t="s">
        <v>2860</v>
      </c>
      <c r="M39" s="2832">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0" t="s">
        <v>3022</v>
      </c>
      <c r="C41" s="388">
        <f ca="1">ROUND(POWER(1+E41,H41-G41)*(POWER(1+E41,G41)-1)/(POWER(1+E41,H41)-1),4)</f>
        <v>0</v>
      </c>
      <c r="D41" s="200" t="s">
        <v>2867</v>
      </c>
      <c r="E41" s="2899">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3"/>
      <c r="Z42" s="1353"/>
      <c r="AA42" s="1353"/>
      <c r="AB42" s="1353"/>
      <c r="AC42" s="1353"/>
      <c r="AD42" s="1353"/>
      <c r="AE42" s="1353"/>
      <c r="AF42" s="1353"/>
      <c r="AG42" s="1353"/>
      <c r="AH42" s="1353"/>
      <c r="AI42" s="1353"/>
      <c r="AJ42" s="1353"/>
    </row>
    <row r="43" spans="1:37" s="1352" customFormat="1">
      <c r="A43" s="1353"/>
      <c r="B43" s="2833"/>
      <c r="Z43" s="1353"/>
      <c r="AA43" s="1353"/>
      <c r="AB43" s="1353"/>
      <c r="AC43" s="1353"/>
      <c r="AD43" s="1353"/>
      <c r="AE43" s="1353"/>
      <c r="AF43" s="1353"/>
      <c r="AG43" s="1353"/>
      <c r="AH43" s="1353"/>
      <c r="AI43" s="1353"/>
      <c r="AJ43" s="1353"/>
    </row>
    <row r="44" spans="1:37" s="1352" customFormat="1">
      <c r="A44" s="1353"/>
      <c r="B44" s="2833"/>
      <c r="Z44" s="1353"/>
      <c r="AA44" s="1353"/>
      <c r="AB44" s="1353"/>
      <c r="AC44" s="1353"/>
      <c r="AD44" s="1353"/>
      <c r="AE44" s="1353"/>
      <c r="AF44" s="1353"/>
      <c r="AG44" s="1353"/>
      <c r="AH44" s="1353"/>
      <c r="AI44" s="1353"/>
      <c r="AJ44" s="1353"/>
    </row>
    <row r="45" spans="1:37" s="1352" customFormat="1" ht="15.75" thickBot="1">
      <c r="A45" s="2834" t="s">
        <v>2917</v>
      </c>
      <c r="B45" s="2835"/>
      <c r="C45" s="7"/>
      <c r="D45" s="7"/>
      <c r="E45" s="7"/>
      <c r="F45" s="6"/>
      <c r="G45" s="6"/>
      <c r="H45" s="6"/>
      <c r="I45" s="7"/>
      <c r="J45" s="7"/>
      <c r="K45" s="7"/>
      <c r="L45" s="7"/>
      <c r="M45" s="7"/>
      <c r="N45" s="2753"/>
      <c r="Z45" s="1353"/>
      <c r="AA45" s="1353"/>
      <c r="AB45" s="1353"/>
      <c r="AC45" s="1353"/>
      <c r="AD45" s="1353"/>
      <c r="AE45" s="1353"/>
      <c r="AF45" s="1353"/>
      <c r="AG45" s="1353"/>
      <c r="AH45" s="1353"/>
      <c r="AI45" s="1353"/>
      <c r="AJ45" s="1353"/>
    </row>
    <row r="46" spans="1:37" s="1352" customFormat="1" ht="15">
      <c r="A46" s="2836" t="s">
        <v>2918</v>
      </c>
      <c r="B46" s="2837">
        <f>1+E48</f>
        <v>1</v>
      </c>
      <c r="C46" s="2838"/>
      <c r="D46" s="804"/>
      <c r="E46" s="805"/>
      <c r="F46" s="2839"/>
      <c r="G46" s="6"/>
      <c r="H46" s="7"/>
      <c r="I46" s="7"/>
      <c r="J46" s="7"/>
      <c r="K46" s="7"/>
      <c r="L46" s="7"/>
      <c r="M46" s="7"/>
      <c r="N46" s="2753"/>
      <c r="Z46" s="1353"/>
      <c r="AA46" s="1353"/>
      <c r="AB46" s="1353"/>
      <c r="AC46" s="1353"/>
      <c r="AD46" s="1353"/>
      <c r="AE46" s="1353"/>
      <c r="AF46" s="1353"/>
      <c r="AG46" s="1353"/>
      <c r="AH46" s="1353"/>
      <c r="AI46" s="1353"/>
      <c r="AJ46" s="1353"/>
    </row>
    <row r="47" spans="1:37" s="1352" customFormat="1" ht="24.75">
      <c r="A47" s="2840" t="s">
        <v>2919</v>
      </c>
      <c r="B47" s="1789" t="s">
        <v>2920</v>
      </c>
      <c r="C47" s="1789" t="s">
        <v>2921</v>
      </c>
      <c r="D47" s="1789" t="s">
        <v>2922</v>
      </c>
      <c r="E47" s="809" t="s">
        <v>2923</v>
      </c>
      <c r="F47" s="2841" t="s">
        <v>2924</v>
      </c>
      <c r="G47" s="1789" t="s">
        <v>754</v>
      </c>
      <c r="H47" s="2842"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0" t="s">
        <v>2927</v>
      </c>
      <c r="B48" s="2843" t="str">
        <f>估价对象房地状况!C4</f>
        <v>估价对象位于望京商圈，周边商业氛围较成熟，人流量较大，商业繁华度较好</v>
      </c>
      <c r="C48" s="2740"/>
      <c r="D48" s="1268">
        <f t="shared" ref="D48:D56" si="10">SUMIF($J$47:$N$47,C48,J48:N48)</f>
        <v>0</v>
      </c>
      <c r="E48" s="811">
        <f>ROUND(SUM(D48:D56),4)</f>
        <v>0</v>
      </c>
      <c r="F48" s="2473"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0" t="s">
        <v>2928</v>
      </c>
      <c r="B49" s="2844" t="str">
        <f>估价对象房地状况!C18</f>
        <v>估价对象周边道路状况较好、地铁14、15号线通过，公共交通通达情况较好、停车便捷程度较好，综合评价交通便捷度较好</v>
      </c>
      <c r="C49" s="2740"/>
      <c r="D49" s="1268">
        <f t="shared" si="10"/>
        <v>0</v>
      </c>
      <c r="E49" s="812"/>
      <c r="F49" s="2473"/>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0" t="s">
        <v>2929</v>
      </c>
      <c r="B50" s="2844" t="str">
        <f>估价对象房地状况!C19</f>
        <v>零星有其他用地，基本不影响本宗地</v>
      </c>
      <c r="C50" s="2740"/>
      <c r="D50" s="1268">
        <f t="shared" si="10"/>
        <v>0</v>
      </c>
      <c r="E50" s="812"/>
      <c r="F50" s="2473"/>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0" t="s">
        <v>2930</v>
      </c>
      <c r="B51" s="2845" t="s">
        <v>2931</v>
      </c>
      <c r="C51" s="2740"/>
      <c r="D51" s="1268">
        <f t="shared" si="10"/>
        <v>0</v>
      </c>
      <c r="E51" s="812"/>
      <c r="F51" s="2473"/>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0" t="s">
        <v>2932</v>
      </c>
      <c r="B52" s="2844" t="str">
        <f>估价对象房地状况!C24</f>
        <v>城市主干道——望京北路</v>
      </c>
      <c r="C52" s="2740"/>
      <c r="D52" s="1268">
        <f t="shared" si="10"/>
        <v>0</v>
      </c>
      <c r="E52" s="812"/>
      <c r="F52" s="2473"/>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0" t="s">
        <v>2933</v>
      </c>
      <c r="B53" s="2846" t="s">
        <v>2934</v>
      </c>
      <c r="C53" s="2740"/>
      <c r="D53" s="1268">
        <f t="shared" si="10"/>
        <v>0</v>
      </c>
      <c r="E53" s="812"/>
      <c r="F53" s="2473"/>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7" t="s">
        <v>2935</v>
      </c>
      <c r="B54" s="1705" t="str">
        <f>估价对象房地状况!C21</f>
        <v>估价对象所在区域公共配套设施齐备情况较好</v>
      </c>
      <c r="C54" s="2740"/>
      <c r="D54" s="1268">
        <f t="shared" si="10"/>
        <v>0</v>
      </c>
      <c r="E54" s="812"/>
      <c r="F54" s="2473"/>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7" t="s">
        <v>2936</v>
      </c>
      <c r="B55" s="2844" t="str">
        <f>估价对象房地状况!C22</f>
        <v>估价对象所在区域基础设施水平“七通一平</v>
      </c>
      <c r="C55" s="2740"/>
      <c r="D55" s="1268">
        <f t="shared" si="10"/>
        <v>0</v>
      </c>
      <c r="E55" s="812"/>
      <c r="F55" s="2473"/>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8" t="s">
        <v>2937</v>
      </c>
      <c r="B56" s="2849" t="str">
        <f>估价对象房地状况!C20</f>
        <v>区域自然环境：望湖公园、北小河公园；人文环境：青年政治学院；综合评价环境状况较好</v>
      </c>
      <c r="C56" s="2740"/>
      <c r="D56" s="1268">
        <f t="shared" si="10"/>
        <v>0</v>
      </c>
      <c r="E56" s="815"/>
      <c r="F56" s="2473"/>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6" t="s">
        <v>2938</v>
      </c>
      <c r="B57" s="2837">
        <f>1+E59</f>
        <v>1.0836999999999999</v>
      </c>
      <c r="C57" s="804"/>
      <c r="D57" s="804"/>
      <c r="E57" s="805"/>
      <c r="F57" s="2839"/>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0" t="s">
        <v>2919</v>
      </c>
      <c r="B58" s="1789"/>
      <c r="C58" s="1789" t="s">
        <v>2921</v>
      </c>
      <c r="D58" s="1789" t="s">
        <v>2922</v>
      </c>
      <c r="E58" s="809" t="s">
        <v>2923</v>
      </c>
      <c r="F58" s="2841" t="s">
        <v>2939</v>
      </c>
      <c r="G58" s="1789" t="s">
        <v>754</v>
      </c>
      <c r="H58" s="2842"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0" t="s">
        <v>2940</v>
      </c>
      <c r="B59" s="2843" t="str">
        <f>估价对象房地状况!C17</f>
        <v>估价对象位于望京商圈，周边办公楼项目较多，入驻率较高，办公集聚程度较好</v>
      </c>
      <c r="C59" s="2955" t="s">
        <v>3057</v>
      </c>
      <c r="D59" s="1268">
        <f t="shared" ref="D59:D67" si="15">SUMIF($J$58:$N$58,C59,J59:N59)</f>
        <v>2.3400000000000001E-2</v>
      </c>
      <c r="E59" s="811">
        <f>ROUND(SUM(D59:D67),4)</f>
        <v>8.3699999999999997E-2</v>
      </c>
      <c r="F59" s="2473">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0" t="s">
        <v>2928</v>
      </c>
      <c r="B60" s="2844" t="str">
        <f>估价对象房地状况!C18</f>
        <v>估价对象周边道路状况较好、地铁14、15号线通过，公共交通通达情况较好、停车便捷程度较好，综合评价交通便捷度较好</v>
      </c>
      <c r="C60" s="2955" t="s">
        <v>3057</v>
      </c>
      <c r="D60" s="1268">
        <f t="shared" si="15"/>
        <v>2.9399999999999999E-2</v>
      </c>
      <c r="E60" s="812"/>
      <c r="F60" s="2473"/>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0" t="s">
        <v>2929</v>
      </c>
      <c r="B61" s="2844" t="str">
        <f>估价对象房地状况!C19</f>
        <v>零星有其他用地，基本不影响本宗地</v>
      </c>
      <c r="C61" s="2955" t="s">
        <v>3058</v>
      </c>
      <c r="D61" s="1268">
        <f t="shared" si="15"/>
        <v>3.8999999999999998E-3</v>
      </c>
      <c r="E61" s="812"/>
      <c r="F61" s="2473"/>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0" t="s">
        <v>2930</v>
      </c>
      <c r="B62" s="2845" t="s">
        <v>2931</v>
      </c>
      <c r="C62" s="2955" t="s">
        <v>3058</v>
      </c>
      <c r="D62" s="1268">
        <f t="shared" si="15"/>
        <v>1.9E-3</v>
      </c>
      <c r="E62" s="812"/>
      <c r="F62" s="2473"/>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0" t="s">
        <v>2932</v>
      </c>
      <c r="B63" s="2844" t="str">
        <f>估价对象房地状况!C24</f>
        <v>城市主干道——望京北路</v>
      </c>
      <c r="C63" s="2955" t="s">
        <v>3059</v>
      </c>
      <c r="D63" s="1268">
        <f t="shared" si="15"/>
        <v>0</v>
      </c>
      <c r="E63" s="812"/>
      <c r="F63" s="2473"/>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0" t="s">
        <v>2933</v>
      </c>
      <c r="B64" s="2846" t="s">
        <v>2934</v>
      </c>
      <c r="C64" s="2955" t="s">
        <v>3057</v>
      </c>
      <c r="D64" s="1268">
        <f t="shared" si="15"/>
        <v>4.7999999999999996E-3</v>
      </c>
      <c r="E64" s="812"/>
      <c r="F64" s="2473"/>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0" t="s">
        <v>2935</v>
      </c>
      <c r="B65" s="1705" t="str">
        <f>估价对象房地状况!C21</f>
        <v>估价对象所在区域公共配套设施齐备情况较好</v>
      </c>
      <c r="C65" s="2955" t="s">
        <v>3057</v>
      </c>
      <c r="D65" s="1268">
        <f t="shared" si="15"/>
        <v>5.7999999999999996E-3</v>
      </c>
      <c r="E65" s="812"/>
      <c r="F65" s="2473"/>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0" t="s">
        <v>2936</v>
      </c>
      <c r="B66" s="1705" t="str">
        <f>估价对象房地状况!C22</f>
        <v>估价对象所在区域基础设施水平“七通一平</v>
      </c>
      <c r="C66" s="2955" t="s">
        <v>3057</v>
      </c>
      <c r="D66" s="1268">
        <f t="shared" si="15"/>
        <v>1.1599999999999999E-2</v>
      </c>
      <c r="E66" s="812"/>
      <c r="F66" s="2473"/>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8" t="s">
        <v>2937</v>
      </c>
      <c r="B67" s="2850" t="str">
        <f>估价对象房地状况!C20</f>
        <v>区域自然环境：望湖公园、北小河公园；人文环境：青年政治学院；综合评价环境状况较好</v>
      </c>
      <c r="C67" s="2955" t="s">
        <v>3058</v>
      </c>
      <c r="D67" s="1268">
        <f t="shared" si="15"/>
        <v>2.8999999999999998E-3</v>
      </c>
      <c r="E67" s="815"/>
      <c r="F67" s="2473"/>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6" t="s">
        <v>2941</v>
      </c>
      <c r="B68" s="2837">
        <f>1+E70</f>
        <v>1</v>
      </c>
      <c r="C68" s="804"/>
      <c r="D68" s="804"/>
      <c r="E68" s="805"/>
      <c r="F68" s="2839"/>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0" t="s">
        <v>2919</v>
      </c>
      <c r="B69" s="1789"/>
      <c r="C69" s="1789" t="s">
        <v>2921</v>
      </c>
      <c r="D69" s="1789" t="s">
        <v>2922</v>
      </c>
      <c r="E69" s="809" t="s">
        <v>2923</v>
      </c>
      <c r="F69" s="2841" t="s">
        <v>2939</v>
      </c>
      <c r="G69" s="1789" t="s">
        <v>754</v>
      </c>
      <c r="H69" s="2842"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0" t="s">
        <v>2942</v>
      </c>
      <c r="B70" s="2843">
        <f>估价对象房地状况!C15</f>
        <v>0</v>
      </c>
      <c r="C70" s="2740"/>
      <c r="D70" s="1268">
        <f t="shared" ref="D70:D78" si="20">SUMIF($J$69:$N$69,C70,J70:N70)</f>
        <v>0</v>
      </c>
      <c r="E70" s="811">
        <f>ROUND(SUM(D70:D78),4)</f>
        <v>0</v>
      </c>
      <c r="F70" s="2473"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0" t="s">
        <v>2928</v>
      </c>
      <c r="B71" s="2844" t="str">
        <f>估价对象房地状况!C18</f>
        <v>估价对象周边道路状况较好、地铁14、15号线通过，公共交通通达情况较好、停车便捷程度较好，综合评价交通便捷度较好</v>
      </c>
      <c r="C71" s="2740"/>
      <c r="D71" s="1268">
        <f t="shared" si="20"/>
        <v>0</v>
      </c>
      <c r="E71" s="816"/>
      <c r="F71" s="2473"/>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0" t="s">
        <v>2929</v>
      </c>
      <c r="B72" s="2844" t="str">
        <f>估价对象房地状况!C19</f>
        <v>零星有其他用地，基本不影响本宗地</v>
      </c>
      <c r="C72" s="2740"/>
      <c r="D72" s="1268">
        <f t="shared" si="20"/>
        <v>0</v>
      </c>
      <c r="E72" s="816"/>
      <c r="F72" s="2473"/>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0" t="s">
        <v>2943</v>
      </c>
      <c r="B73" s="2844" t="str">
        <f>估价对象房地状况!C24</f>
        <v>城市主干道——望京北路</v>
      </c>
      <c r="C73" s="2740"/>
      <c r="D73" s="1268">
        <f t="shared" si="20"/>
        <v>0</v>
      </c>
      <c r="E73" s="816"/>
      <c r="F73" s="2473"/>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0" t="s">
        <v>2935</v>
      </c>
      <c r="B74" s="1705" t="str">
        <f>估价对象房地状况!C21</f>
        <v>估价对象所在区域公共配套设施齐备情况较好</v>
      </c>
      <c r="C74" s="2740"/>
      <c r="D74" s="1268">
        <f t="shared" si="20"/>
        <v>0</v>
      </c>
      <c r="E74" s="816"/>
      <c r="F74" s="2473"/>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0" t="s">
        <v>2936</v>
      </c>
      <c r="B75" s="1705" t="str">
        <f>估价对象房地状况!C22</f>
        <v>估价对象所在区域基础设施水平“七通一平</v>
      </c>
      <c r="C75" s="2740"/>
      <c r="D75" s="1268">
        <f t="shared" si="20"/>
        <v>0</v>
      </c>
      <c r="E75" s="816"/>
      <c r="F75" s="2473"/>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89" customFormat="1" ht="24">
      <c r="A76" s="2840" t="s">
        <v>2933</v>
      </c>
      <c r="B76" s="2846" t="s">
        <v>2934</v>
      </c>
      <c r="C76" s="2740"/>
      <c r="D76" s="1268">
        <f t="shared" si="20"/>
        <v>0</v>
      </c>
      <c r="E76" s="816"/>
      <c r="F76" s="2473"/>
      <c r="G76" s="1266"/>
      <c r="H76" s="1270" t="str">
        <f t="shared" si="21"/>
        <v>——</v>
      </c>
      <c r="I76" s="810">
        <v>0.05</v>
      </c>
      <c r="J76" s="1267">
        <f t="shared" si="22"/>
        <v>0</v>
      </c>
      <c r="K76" s="1267">
        <f t="shared" si="23"/>
        <v>0</v>
      </c>
      <c r="L76" s="1267">
        <v>0</v>
      </c>
      <c r="M76" s="1267">
        <f t="shared" si="24"/>
        <v>0</v>
      </c>
      <c r="N76" s="1267">
        <f t="shared" si="24"/>
        <v>0</v>
      </c>
      <c r="AA76" s="2851"/>
      <c r="AB76" s="1353"/>
      <c r="AC76" s="1353"/>
      <c r="AD76" s="1353"/>
      <c r="AE76" s="1353"/>
      <c r="AF76" s="1353"/>
      <c r="AG76" s="1353"/>
      <c r="AH76" s="2851"/>
      <c r="AI76" s="2851"/>
      <c r="AJ76" s="2851"/>
      <c r="AK76" s="2851"/>
    </row>
    <row r="77" spans="1:37" ht="51">
      <c r="A77" s="2840" t="s">
        <v>2937</v>
      </c>
      <c r="B77" s="2843" t="str">
        <f>估价对象房地状况!C20</f>
        <v>区域自然环境：望湖公园、北小河公园；人文环境：青年政治学院；综合评价环境状况较好</v>
      </c>
      <c r="C77" s="2740"/>
      <c r="D77" s="1268">
        <f t="shared" si="20"/>
        <v>0</v>
      </c>
      <c r="E77" s="816"/>
      <c r="F77" s="2473"/>
      <c r="G77" s="1266"/>
      <c r="H77" s="1270" t="str">
        <f t="shared" si="21"/>
        <v>——</v>
      </c>
      <c r="I77" s="810">
        <v>0.15</v>
      </c>
      <c r="J77" s="1267">
        <f t="shared" si="22"/>
        <v>0</v>
      </c>
      <c r="K77" s="1267">
        <f t="shared" si="23"/>
        <v>0</v>
      </c>
      <c r="L77" s="1267">
        <v>0</v>
      </c>
      <c r="M77" s="1267">
        <f t="shared" si="24"/>
        <v>0</v>
      </c>
      <c r="N77" s="1267">
        <f t="shared" si="24"/>
        <v>0</v>
      </c>
      <c r="Z77" s="2690"/>
      <c r="AA77" s="2758"/>
      <c r="AG77" s="1354"/>
      <c r="AK77" s="2758"/>
    </row>
    <row r="78" spans="1:37" ht="24.75" thickBot="1">
      <c r="A78" s="2848" t="s">
        <v>2944</v>
      </c>
      <c r="B78" s="2852"/>
      <c r="C78" s="2740"/>
      <c r="D78" s="1268">
        <f t="shared" si="20"/>
        <v>0</v>
      </c>
      <c r="E78" s="817"/>
      <c r="F78" s="2473"/>
      <c r="G78" s="1266"/>
      <c r="H78" s="1270" t="str">
        <f t="shared" si="21"/>
        <v>——</v>
      </c>
      <c r="I78" s="814">
        <v>0.04</v>
      </c>
      <c r="J78" s="1267">
        <f t="shared" si="22"/>
        <v>0</v>
      </c>
      <c r="K78" s="1267">
        <f t="shared" si="23"/>
        <v>0</v>
      </c>
      <c r="L78" s="1267">
        <v>0</v>
      </c>
      <c r="M78" s="1267">
        <f t="shared" si="24"/>
        <v>0</v>
      </c>
      <c r="N78" s="1267">
        <f t="shared" si="24"/>
        <v>0</v>
      </c>
      <c r="Z78" s="2690"/>
      <c r="AA78" s="2758"/>
      <c r="AG78" s="1354"/>
      <c r="AK78" s="2758"/>
    </row>
    <row r="79" spans="1:37" ht="15">
      <c r="A79" s="2836" t="s">
        <v>2945</v>
      </c>
      <c r="B79" s="2837">
        <f>1+E81</f>
        <v>1</v>
      </c>
      <c r="C79" s="804"/>
      <c r="D79" s="804"/>
      <c r="E79" s="805"/>
      <c r="F79" s="2839"/>
      <c r="G79" s="6"/>
      <c r="H79" s="6"/>
      <c r="I79" s="6"/>
      <c r="J79" s="7"/>
      <c r="K79" s="7"/>
      <c r="L79" s="7"/>
      <c r="M79" s="7"/>
      <c r="N79" s="7"/>
      <c r="Z79" s="2690"/>
      <c r="AA79" s="2758"/>
      <c r="AG79" s="1354"/>
      <c r="AK79" s="2758"/>
    </row>
    <row r="80" spans="1:37" ht="24.75">
      <c r="A80" s="2840" t="s">
        <v>2919</v>
      </c>
      <c r="B80" s="1789"/>
      <c r="C80" s="1789" t="s">
        <v>2921</v>
      </c>
      <c r="D80" s="1789" t="s">
        <v>2922</v>
      </c>
      <c r="E80" s="809" t="s">
        <v>2923</v>
      </c>
      <c r="F80" s="2841" t="s">
        <v>2939</v>
      </c>
      <c r="G80" s="1789" t="s">
        <v>754</v>
      </c>
      <c r="H80" s="2842" t="s">
        <v>2925</v>
      </c>
      <c r="I80" s="1789" t="s">
        <v>2926</v>
      </c>
      <c r="J80" s="602" t="s">
        <v>2585</v>
      </c>
      <c r="K80" s="602" t="s">
        <v>2586</v>
      </c>
      <c r="L80" s="602" t="s">
        <v>2587</v>
      </c>
      <c r="M80" s="602" t="s">
        <v>2588</v>
      </c>
      <c r="N80" s="602" t="s">
        <v>2589</v>
      </c>
      <c r="Z80" s="2690"/>
      <c r="AA80" s="2758"/>
      <c r="AG80" s="1354"/>
      <c r="AK80" s="2758"/>
    </row>
    <row r="81" spans="1:37" ht="38.25">
      <c r="A81" s="2840" t="s">
        <v>2946</v>
      </c>
      <c r="B81" s="2844" t="str">
        <f>估价对象房地状况!G15</f>
        <v>估价对象位于XX开发区，园区建设成熟度XX，产业集聚程度XX</v>
      </c>
      <c r="C81" s="2740"/>
      <c r="D81" s="1268">
        <f t="shared" ref="D81:D88" si="25">SUMIF($J$80:$N$80,C81,J81:N81)</f>
        <v>0</v>
      </c>
      <c r="E81" s="811">
        <f>ROUND(SUM(D81:D88),4)</f>
        <v>0</v>
      </c>
      <c r="F81" s="2473"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0"/>
      <c r="AA81" s="2758"/>
      <c r="AG81" s="1354"/>
      <c r="AK81" s="2758"/>
    </row>
    <row r="82" spans="1:37" ht="51">
      <c r="A82" s="2840" t="s">
        <v>2928</v>
      </c>
      <c r="B82" s="2844" t="str">
        <f>估价对象房地状况!G16</f>
        <v>估价对象周边道路状况、公共交通通达情况、停车便捷程度，综合评价交通便捷度较好</v>
      </c>
      <c r="C82" s="2740"/>
      <c r="D82" s="1268">
        <f t="shared" si="25"/>
        <v>0</v>
      </c>
      <c r="E82" s="816"/>
      <c r="F82" s="2473"/>
      <c r="G82" s="1266"/>
      <c r="H82" s="1270" t="str">
        <f t="shared" si="26"/>
        <v>——</v>
      </c>
      <c r="I82" s="810">
        <v>0.33</v>
      </c>
      <c r="J82" s="1267">
        <f t="shared" si="27"/>
        <v>0</v>
      </c>
      <c r="K82" s="1267">
        <f t="shared" si="28"/>
        <v>0</v>
      </c>
      <c r="L82" s="1267">
        <v>0</v>
      </c>
      <c r="M82" s="1267">
        <f t="shared" si="29"/>
        <v>0</v>
      </c>
      <c r="N82" s="1267">
        <f t="shared" si="29"/>
        <v>0</v>
      </c>
      <c r="Z82" s="2690"/>
      <c r="AA82" s="2758"/>
      <c r="AG82" s="1354"/>
      <c r="AK82" s="2758"/>
    </row>
    <row r="83" spans="1:37" ht="24">
      <c r="A83" s="2840" t="s">
        <v>2929</v>
      </c>
      <c r="B83" s="2844">
        <f>估价对象房地状况!G17</f>
        <v>0</v>
      </c>
      <c r="C83" s="2740"/>
      <c r="D83" s="1268">
        <f t="shared" si="25"/>
        <v>0</v>
      </c>
      <c r="E83" s="816"/>
      <c r="F83" s="2473"/>
      <c r="G83" s="1266"/>
      <c r="H83" s="1270" t="str">
        <f t="shared" si="26"/>
        <v>——</v>
      </c>
      <c r="I83" s="810">
        <v>0.05</v>
      </c>
      <c r="J83" s="1267">
        <f t="shared" si="27"/>
        <v>0</v>
      </c>
      <c r="K83" s="1267">
        <f t="shared" si="28"/>
        <v>0</v>
      </c>
      <c r="L83" s="1267">
        <v>0</v>
      </c>
      <c r="M83" s="1267">
        <f t="shared" si="29"/>
        <v>0</v>
      </c>
      <c r="N83" s="1267">
        <f t="shared" si="29"/>
        <v>0</v>
      </c>
      <c r="Z83" s="2690"/>
      <c r="AA83" s="2758"/>
      <c r="AG83" s="1354"/>
      <c r="AK83" s="2758"/>
    </row>
    <row r="84" spans="1:37" ht="14.25">
      <c r="A84" s="2840" t="s">
        <v>2943</v>
      </c>
      <c r="B84" s="2844">
        <f>估价对象房地状况!G22</f>
        <v>0</v>
      </c>
      <c r="C84" s="2740"/>
      <c r="D84" s="1268">
        <f t="shared" si="25"/>
        <v>0</v>
      </c>
      <c r="E84" s="816"/>
      <c r="F84" s="2473"/>
      <c r="G84" s="1266"/>
      <c r="H84" s="1270" t="str">
        <f t="shared" si="26"/>
        <v>——</v>
      </c>
      <c r="I84" s="810">
        <v>0.04</v>
      </c>
      <c r="J84" s="1267">
        <f t="shared" si="27"/>
        <v>0</v>
      </c>
      <c r="K84" s="1267">
        <f t="shared" si="28"/>
        <v>0</v>
      </c>
      <c r="L84" s="1267">
        <v>0</v>
      </c>
      <c r="M84" s="1267">
        <f t="shared" si="29"/>
        <v>0</v>
      </c>
      <c r="N84" s="1267">
        <f t="shared" si="29"/>
        <v>0</v>
      </c>
      <c r="Z84" s="2690"/>
      <c r="AA84" s="2758"/>
      <c r="AG84" s="1354"/>
      <c r="AK84" s="2758"/>
    </row>
    <row r="85" spans="1:37" ht="25.5">
      <c r="A85" s="2840" t="s">
        <v>2935</v>
      </c>
      <c r="B85" s="1705" t="str">
        <f>估价对象房地状况!G19</f>
        <v>估价对象所在区域公共配套设施齐备情况</v>
      </c>
      <c r="C85" s="2740"/>
      <c r="D85" s="1268">
        <f t="shared" si="25"/>
        <v>0</v>
      </c>
      <c r="E85" s="816"/>
      <c r="F85" s="2473"/>
      <c r="G85" s="1266"/>
      <c r="H85" s="1270" t="str">
        <f t="shared" si="26"/>
        <v>——</v>
      </c>
      <c r="I85" s="810">
        <v>0.06</v>
      </c>
      <c r="J85" s="1267">
        <f t="shared" si="27"/>
        <v>0</v>
      </c>
      <c r="K85" s="1267">
        <f t="shared" si="28"/>
        <v>0</v>
      </c>
      <c r="L85" s="1267">
        <v>0</v>
      </c>
      <c r="M85" s="1267">
        <f t="shared" si="29"/>
        <v>0</v>
      </c>
      <c r="N85" s="1267">
        <f t="shared" si="29"/>
        <v>0</v>
      </c>
      <c r="Z85" s="2690"/>
      <c r="AA85" s="2758"/>
      <c r="AG85" s="1354"/>
      <c r="AK85" s="2758"/>
    </row>
    <row r="86" spans="1:37" ht="25.5">
      <c r="A86" s="2840" t="s">
        <v>2936</v>
      </c>
      <c r="B86" s="1705" t="str">
        <f>估价对象房地状况!G20</f>
        <v>估价对象所在区域基础设施水平</v>
      </c>
      <c r="C86" s="2740"/>
      <c r="D86" s="1268">
        <f t="shared" si="25"/>
        <v>0</v>
      </c>
      <c r="E86" s="816"/>
      <c r="F86" s="2473"/>
      <c r="G86" s="1266"/>
      <c r="H86" s="1270" t="str">
        <f t="shared" si="26"/>
        <v>——</v>
      </c>
      <c r="I86" s="810">
        <v>0.15</v>
      </c>
      <c r="J86" s="1267">
        <f t="shared" si="27"/>
        <v>0</v>
      </c>
      <c r="K86" s="1267">
        <f t="shared" si="28"/>
        <v>0</v>
      </c>
      <c r="L86" s="1267">
        <v>0</v>
      </c>
      <c r="M86" s="1267">
        <f t="shared" si="29"/>
        <v>0</v>
      </c>
      <c r="N86" s="1267">
        <f t="shared" si="29"/>
        <v>0</v>
      </c>
      <c r="Z86" s="2690"/>
      <c r="AA86" s="2758"/>
      <c r="AG86" s="1354"/>
      <c r="AK86" s="2758"/>
    </row>
    <row r="87" spans="1:37" ht="24">
      <c r="A87" s="2840" t="s">
        <v>2933</v>
      </c>
      <c r="B87" s="2846" t="s">
        <v>2947</v>
      </c>
      <c r="C87" s="2740"/>
      <c r="D87" s="1268">
        <f t="shared" si="25"/>
        <v>0</v>
      </c>
      <c r="E87" s="816"/>
      <c r="F87" s="2473"/>
      <c r="G87" s="1266"/>
      <c r="H87" s="1270" t="str">
        <f t="shared" si="26"/>
        <v>——</v>
      </c>
      <c r="I87" s="810">
        <v>0.05</v>
      </c>
      <c r="J87" s="1267">
        <f t="shared" si="27"/>
        <v>0</v>
      </c>
      <c r="K87" s="1267">
        <f t="shared" si="28"/>
        <v>0</v>
      </c>
      <c r="L87" s="1267">
        <v>0</v>
      </c>
      <c r="M87" s="1267">
        <f t="shared" si="29"/>
        <v>0</v>
      </c>
      <c r="N87" s="1267">
        <f t="shared" si="29"/>
        <v>0</v>
      </c>
      <c r="Z87" s="2690"/>
      <c r="AA87" s="2758"/>
      <c r="AG87" s="1354"/>
      <c r="AK87" s="2758"/>
    </row>
    <row r="88" spans="1:37" ht="39" thickBot="1">
      <c r="A88" s="2848" t="s">
        <v>2948</v>
      </c>
      <c r="B88" s="2853" t="str">
        <f>估价对象房地状况!G18</f>
        <v>该园区内是否有污染型企业，绿化情况，卫生条件，整体环境状况判断</v>
      </c>
      <c r="C88" s="2740"/>
      <c r="D88" s="1268">
        <f t="shared" si="25"/>
        <v>0</v>
      </c>
      <c r="E88" s="817"/>
      <c r="F88" s="2473"/>
      <c r="G88" s="1266"/>
      <c r="H88" s="1270" t="str">
        <f t="shared" si="26"/>
        <v>——</v>
      </c>
      <c r="I88" s="814">
        <v>0.06</v>
      </c>
      <c r="J88" s="1267">
        <f t="shared" si="27"/>
        <v>0</v>
      </c>
      <c r="K88" s="1267">
        <f t="shared" si="28"/>
        <v>0</v>
      </c>
      <c r="L88" s="1267">
        <v>0</v>
      </c>
      <c r="M88" s="1267">
        <f t="shared" si="29"/>
        <v>0</v>
      </c>
      <c r="N88" s="1267">
        <f t="shared" si="29"/>
        <v>0</v>
      </c>
      <c r="Z88" s="2690"/>
      <c r="AA88" s="2758"/>
      <c r="AG88" s="1354"/>
      <c r="AK88" s="2758"/>
    </row>
    <row r="90" spans="1:37">
      <c r="A90" s="3764" t="s">
        <v>2949</v>
      </c>
      <c r="B90" s="3764"/>
      <c r="C90" s="3764"/>
      <c r="D90" s="3764"/>
      <c r="E90" s="3764"/>
      <c r="F90" s="3764"/>
      <c r="G90" s="3764"/>
      <c r="H90" s="3764"/>
      <c r="I90" s="3764"/>
      <c r="J90" s="3764"/>
      <c r="K90" s="2854"/>
      <c r="L90" s="2854"/>
      <c r="M90" s="2854"/>
      <c r="N90" s="2854"/>
    </row>
    <row r="91" spans="1:37">
      <c r="A91" s="3766" t="s">
        <v>2950</v>
      </c>
      <c r="B91" s="3766" t="s">
        <v>2951</v>
      </c>
      <c r="C91" s="2808" t="s">
        <v>2952</v>
      </c>
      <c r="D91" s="2809"/>
      <c r="E91" s="2809"/>
      <c r="F91" s="2809"/>
      <c r="G91" s="2809"/>
      <c r="H91" s="2809"/>
      <c r="I91" s="2809"/>
      <c r="J91" s="2855"/>
      <c r="K91" s="2856"/>
      <c r="L91" s="2856"/>
      <c r="M91" s="2856"/>
      <c r="N91" s="2856"/>
    </row>
    <row r="92" spans="1:37">
      <c r="A92" s="3766"/>
      <c r="B92" s="3766"/>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67" t="s">
        <v>2953</v>
      </c>
      <c r="B93" s="2857">
        <v>1</v>
      </c>
      <c r="C93" s="2858">
        <v>1.9361999999999999</v>
      </c>
      <c r="D93" s="2858">
        <v>1.9361999999999999</v>
      </c>
      <c r="E93" s="2858">
        <v>1.8629</v>
      </c>
      <c r="F93" s="2858">
        <v>1.8629</v>
      </c>
      <c r="G93" s="2858">
        <v>1.8629</v>
      </c>
      <c r="H93" s="2858">
        <v>1.8629</v>
      </c>
      <c r="I93" s="2858">
        <v>1.8629</v>
      </c>
      <c r="J93" s="2858">
        <v>1.9419999999999999</v>
      </c>
      <c r="K93" s="2858">
        <v>1.9419999999999999</v>
      </c>
      <c r="L93" s="2858">
        <v>1.9419999999999999</v>
      </c>
      <c r="M93" s="2858">
        <v>1.9419999999999999</v>
      </c>
      <c r="N93" s="2858">
        <v>1.9419999999999999</v>
      </c>
    </row>
    <row r="94" spans="1:37">
      <c r="A94" s="3768"/>
      <c r="B94" s="2857">
        <v>2</v>
      </c>
      <c r="C94" s="2858">
        <v>1.4198</v>
      </c>
      <c r="D94" s="2858">
        <v>1.4198</v>
      </c>
      <c r="E94" s="2858">
        <v>1.3371999999999999</v>
      </c>
      <c r="F94" s="2858">
        <v>1.3371999999999999</v>
      </c>
      <c r="G94" s="2858">
        <v>1.3371999999999999</v>
      </c>
      <c r="H94" s="2858">
        <v>1.3371999999999999</v>
      </c>
      <c r="I94" s="2858">
        <v>1.3371999999999999</v>
      </c>
      <c r="J94" s="2858">
        <v>1.2799</v>
      </c>
      <c r="K94" s="2858">
        <v>1.2799</v>
      </c>
      <c r="L94" s="2858">
        <v>1.2799</v>
      </c>
      <c r="M94" s="2858">
        <v>1.2799</v>
      </c>
      <c r="N94" s="2858">
        <v>1.2799</v>
      </c>
    </row>
    <row r="95" spans="1:37">
      <c r="A95" s="3768"/>
      <c r="B95" s="2857">
        <v>3</v>
      </c>
      <c r="C95" s="2858">
        <v>1.1594</v>
      </c>
      <c r="D95" s="2858">
        <v>1.1594</v>
      </c>
      <c r="E95" s="2858">
        <v>1.0788</v>
      </c>
      <c r="F95" s="2858">
        <v>1.0788</v>
      </c>
      <c r="G95" s="2858">
        <v>1.0788</v>
      </c>
      <c r="H95" s="2858">
        <v>1.0788</v>
      </c>
      <c r="I95" s="2858">
        <v>1.0788</v>
      </c>
      <c r="J95" s="2858">
        <v>1.0072000000000001</v>
      </c>
      <c r="K95" s="2858">
        <v>1.0072000000000001</v>
      </c>
      <c r="L95" s="2858">
        <v>1.0072000000000001</v>
      </c>
      <c r="M95" s="2858">
        <v>1.0072000000000001</v>
      </c>
      <c r="N95" s="2858">
        <v>1.0072000000000001</v>
      </c>
    </row>
    <row r="96" spans="1:37">
      <c r="A96" s="3768"/>
      <c r="B96" s="2857">
        <v>4</v>
      </c>
      <c r="C96" s="2858">
        <v>0.96220000000000006</v>
      </c>
      <c r="D96" s="2858">
        <v>0.96220000000000006</v>
      </c>
      <c r="E96" s="2858">
        <v>0.86560000000000004</v>
      </c>
      <c r="F96" s="2858">
        <v>0.86560000000000004</v>
      </c>
      <c r="G96" s="2858">
        <v>0.86560000000000004</v>
      </c>
      <c r="H96" s="2858">
        <v>0.86560000000000004</v>
      </c>
      <c r="I96" s="2858">
        <v>0.86560000000000004</v>
      </c>
      <c r="J96" s="2858">
        <v>0.75249999999999995</v>
      </c>
      <c r="K96" s="2858">
        <v>0.75249999999999995</v>
      </c>
      <c r="L96" s="2858">
        <v>0.75249999999999995</v>
      </c>
      <c r="M96" s="2858">
        <v>0.75249999999999995</v>
      </c>
      <c r="N96" s="2858">
        <v>0.75249999999999995</v>
      </c>
    </row>
    <row r="97" spans="1:14">
      <c r="A97" s="3768"/>
      <c r="B97" s="2857">
        <v>5</v>
      </c>
      <c r="C97" s="2858">
        <v>0.8417</v>
      </c>
      <c r="D97" s="2858">
        <v>0.8417</v>
      </c>
      <c r="E97" s="2858">
        <v>0.73709999999999998</v>
      </c>
      <c r="F97" s="2858">
        <v>0.73709999999999998</v>
      </c>
      <c r="G97" s="2858">
        <v>0.73709999999999998</v>
      </c>
      <c r="H97" s="2858">
        <v>0.73709999999999998</v>
      </c>
      <c r="I97" s="2858">
        <v>0.73709999999999998</v>
      </c>
      <c r="J97" s="2858">
        <v>0.56589999999999996</v>
      </c>
      <c r="K97" s="2858">
        <v>0.56589999999999996</v>
      </c>
      <c r="L97" s="2858">
        <v>0.56589999999999996</v>
      </c>
      <c r="M97" s="2858">
        <v>0.56589999999999996</v>
      </c>
      <c r="N97" s="2858">
        <v>0.56589999999999996</v>
      </c>
    </row>
    <row r="98" spans="1:14">
      <c r="A98" s="3768"/>
      <c r="B98" s="2857">
        <v>6</v>
      </c>
      <c r="C98" s="2858">
        <v>0.76080000000000003</v>
      </c>
      <c r="D98" s="2858">
        <v>0.76080000000000003</v>
      </c>
      <c r="E98" s="2858">
        <v>0.6482</v>
      </c>
      <c r="F98" s="2858">
        <v>0.6482</v>
      </c>
      <c r="G98" s="2858">
        <v>0.6482</v>
      </c>
      <c r="H98" s="2858">
        <v>0.6482</v>
      </c>
      <c r="I98" s="2858">
        <v>0.6482</v>
      </c>
      <c r="J98" s="2858">
        <v>0.45250000000000001</v>
      </c>
      <c r="K98" s="2858">
        <v>0.45250000000000001</v>
      </c>
      <c r="L98" s="2858">
        <v>0.45250000000000001</v>
      </c>
      <c r="M98" s="2858">
        <v>0.45250000000000001</v>
      </c>
      <c r="N98" s="2858">
        <v>0.45250000000000001</v>
      </c>
    </row>
    <row r="99" spans="1:14">
      <c r="A99" s="3768"/>
      <c r="B99" s="2857" t="s">
        <v>2835</v>
      </c>
      <c r="C99" s="2859">
        <f>$I$3</f>
        <v>0</v>
      </c>
      <c r="D99" s="2859">
        <f t="shared" ref="D99:M99" si="30">$I$3</f>
        <v>0</v>
      </c>
      <c r="E99" s="2859">
        <f t="shared" si="30"/>
        <v>0</v>
      </c>
      <c r="F99" s="2859">
        <f t="shared" si="30"/>
        <v>0</v>
      </c>
      <c r="G99" s="2859">
        <f t="shared" si="30"/>
        <v>0</v>
      </c>
      <c r="H99" s="2859">
        <f t="shared" si="30"/>
        <v>0</v>
      </c>
      <c r="I99" s="2859">
        <f t="shared" si="30"/>
        <v>0</v>
      </c>
      <c r="J99" s="2859">
        <f t="shared" si="30"/>
        <v>0</v>
      </c>
      <c r="K99" s="2859">
        <f t="shared" si="30"/>
        <v>0</v>
      </c>
      <c r="L99" s="2859">
        <f t="shared" si="30"/>
        <v>0</v>
      </c>
      <c r="M99" s="2859">
        <f t="shared" si="30"/>
        <v>0</v>
      </c>
      <c r="N99" s="2859">
        <f>$I$3</f>
        <v>0</v>
      </c>
    </row>
    <row r="100" spans="1:14">
      <c r="A100" s="3769"/>
      <c r="B100" s="2857">
        <v>7</v>
      </c>
      <c r="C100" s="2860">
        <f>(-0.163*(C99^2)-0.59*C99+7617)*(10^(-4))</f>
        <v>0.76170000000000004</v>
      </c>
      <c r="D100" s="2860">
        <f>(-0.163*(D99^2)-0.59*D99+7617)*(10^(-4))</f>
        <v>0.76170000000000004</v>
      </c>
      <c r="E100" s="2860">
        <f>(-0.161*(E99^2)-7.509*E99+6533)*(10^(-4))</f>
        <v>0.65329999999999999</v>
      </c>
      <c r="F100" s="2860">
        <f>(-0.161*(F99^2)-7.509*F99+6533)*(10^(-4))</f>
        <v>0.65329999999999999</v>
      </c>
      <c r="G100" s="2860">
        <f>(-0.161*(G99^2)-7.509*G99+6533)*(10^(-4))</f>
        <v>0.65329999999999999</v>
      </c>
      <c r="H100" s="2860">
        <f>(-0.161*(H99^2)-7.509*H99+6533)*(10^(-4))</f>
        <v>0.65329999999999999</v>
      </c>
      <c r="I100" s="2860">
        <f>(-0.161*(I99^2)-7.509*I99+6533)*(10^(-4))</f>
        <v>0.65329999999999999</v>
      </c>
      <c r="J100" s="2860">
        <f>(-0.214*(J99^2)-21.991*J99+4665)*(10^(-4))</f>
        <v>0.46650000000000003</v>
      </c>
      <c r="K100" s="2860">
        <f>(-0.214*(K99^2)-21.991*K99+4665)*(10^(-4))</f>
        <v>0.46650000000000003</v>
      </c>
      <c r="L100" s="2860">
        <f>(-0.214*(L99^2)-21.991*L99+4665)*(10^(-4))</f>
        <v>0.46650000000000003</v>
      </c>
      <c r="M100" s="2860">
        <f>(-0.214*(M99^2)-21.991*M99+4665)*(10^(-4))</f>
        <v>0.46650000000000003</v>
      </c>
      <c r="N100" s="2860">
        <f>(-0.214*(N99^2)-21.991*N99+4665)*(10^(-4))</f>
        <v>0.46650000000000003</v>
      </c>
    </row>
    <row r="101" spans="1:14">
      <c r="A101" s="3767" t="s">
        <v>2954</v>
      </c>
      <c r="B101" s="2861" t="s">
        <v>2955</v>
      </c>
      <c r="C101" s="2862">
        <f>$G$3</f>
        <v>1.61</v>
      </c>
      <c r="D101" s="2862">
        <f t="shared" ref="D101:N101" si="31">$G$3</f>
        <v>1.61</v>
      </c>
      <c r="E101" s="2862">
        <f t="shared" si="31"/>
        <v>1.61</v>
      </c>
      <c r="F101" s="2862">
        <f t="shared" si="31"/>
        <v>1.61</v>
      </c>
      <c r="G101" s="2862">
        <f t="shared" si="31"/>
        <v>1.61</v>
      </c>
      <c r="H101" s="2862">
        <f t="shared" si="31"/>
        <v>1.61</v>
      </c>
      <c r="I101" s="2862">
        <f t="shared" si="31"/>
        <v>1.61</v>
      </c>
      <c r="J101" s="2862">
        <f t="shared" si="31"/>
        <v>1.61</v>
      </c>
      <c r="K101" s="2862">
        <f t="shared" si="31"/>
        <v>1.61</v>
      </c>
      <c r="L101" s="2862">
        <f t="shared" si="31"/>
        <v>1.61</v>
      </c>
      <c r="M101" s="2862">
        <f t="shared" si="31"/>
        <v>1.61</v>
      </c>
      <c r="N101" s="2862">
        <f t="shared" si="31"/>
        <v>1.61</v>
      </c>
    </row>
    <row r="102" spans="1:14">
      <c r="A102" s="3768"/>
      <c r="B102" s="2857">
        <v>1</v>
      </c>
      <c r="C102" s="2858">
        <f>1.9362/C101</f>
        <v>1.2026086956521738</v>
      </c>
      <c r="D102" s="2858">
        <f>1.9362/D101</f>
        <v>1.2026086956521738</v>
      </c>
      <c r="E102" s="2858">
        <f>1.8629/E101</f>
        <v>1.1570807453416148</v>
      </c>
      <c r="F102" s="2858">
        <f>1.8629/F101</f>
        <v>1.1570807453416148</v>
      </c>
      <c r="G102" s="2858">
        <f>1.8629/G101</f>
        <v>1.1570807453416148</v>
      </c>
      <c r="H102" s="2858">
        <f>1.8629/H101</f>
        <v>1.1570807453416148</v>
      </c>
      <c r="I102" s="2858">
        <f>1.8629/I101</f>
        <v>1.1570807453416148</v>
      </c>
      <c r="J102" s="2858">
        <f>1.942/J101</f>
        <v>1.2062111801242235</v>
      </c>
      <c r="K102" s="2858">
        <f>1.942/K101</f>
        <v>1.2062111801242235</v>
      </c>
      <c r="L102" s="2858">
        <f>1.942/L101</f>
        <v>1.2062111801242235</v>
      </c>
      <c r="M102" s="2858">
        <f>1.942/M101</f>
        <v>1.2062111801242235</v>
      </c>
      <c r="N102" s="2858">
        <f>1.942/N101</f>
        <v>1.2062111801242235</v>
      </c>
    </row>
    <row r="103" spans="1:14">
      <c r="A103" s="3768"/>
      <c r="B103" s="2857">
        <v>2</v>
      </c>
      <c r="C103" s="2858">
        <f>1.4198/C101</f>
        <v>0.88186335403726701</v>
      </c>
      <c r="D103" s="2858">
        <f>1.4198/D101</f>
        <v>0.88186335403726701</v>
      </c>
      <c r="E103" s="2858">
        <f>1.3372/E101</f>
        <v>0.83055900621118006</v>
      </c>
      <c r="F103" s="2858">
        <f>1.3372/F101</f>
        <v>0.83055900621118006</v>
      </c>
      <c r="G103" s="2858">
        <f>1.3372/G101</f>
        <v>0.83055900621118006</v>
      </c>
      <c r="H103" s="2858">
        <f>1.3372/H101</f>
        <v>0.83055900621118006</v>
      </c>
      <c r="I103" s="2858">
        <f>1.3372/I101</f>
        <v>0.83055900621118006</v>
      </c>
      <c r="J103" s="2858">
        <f>1.2799/J101</f>
        <v>0.7949689440993789</v>
      </c>
      <c r="K103" s="2858">
        <f>1.2799/K101</f>
        <v>0.7949689440993789</v>
      </c>
      <c r="L103" s="2858">
        <f>1.2799/L101</f>
        <v>0.7949689440993789</v>
      </c>
      <c r="M103" s="2858">
        <f>1.2799/M101</f>
        <v>0.7949689440993789</v>
      </c>
      <c r="N103" s="2858">
        <f>1.2799/N101</f>
        <v>0.7949689440993789</v>
      </c>
    </row>
    <row r="104" spans="1:14">
      <c r="A104" s="3768"/>
      <c r="B104" s="2857">
        <v>3</v>
      </c>
      <c r="C104" s="2858">
        <f>1.1594/C101</f>
        <v>0.7201242236024844</v>
      </c>
      <c r="D104" s="2858">
        <f>1.1594/D101</f>
        <v>0.7201242236024844</v>
      </c>
      <c r="E104" s="2858">
        <f>1.0788/E101</f>
        <v>0.6700621118012422</v>
      </c>
      <c r="F104" s="2858">
        <f>1.0788/F101</f>
        <v>0.6700621118012422</v>
      </c>
      <c r="G104" s="2858">
        <f>1.0788/G101</f>
        <v>0.6700621118012422</v>
      </c>
      <c r="H104" s="2858">
        <f>1.0788/H101</f>
        <v>0.6700621118012422</v>
      </c>
      <c r="I104" s="2858">
        <f>1.0788/I101</f>
        <v>0.6700621118012422</v>
      </c>
      <c r="J104" s="2858">
        <f>1.0072/J101</f>
        <v>0.62559006211180124</v>
      </c>
      <c r="K104" s="2858">
        <f>1.0072/K101</f>
        <v>0.62559006211180124</v>
      </c>
      <c r="L104" s="2858">
        <f>1.0072/L101</f>
        <v>0.62559006211180124</v>
      </c>
      <c r="M104" s="2858">
        <f>1.0072/M101</f>
        <v>0.62559006211180124</v>
      </c>
      <c r="N104" s="2858">
        <f>1.0072/N101</f>
        <v>0.62559006211180124</v>
      </c>
    </row>
    <row r="105" spans="1:14">
      <c r="A105" s="3768"/>
      <c r="B105" s="2857">
        <v>4</v>
      </c>
      <c r="C105" s="2858">
        <f>0.9622/C101</f>
        <v>0.59763975155279503</v>
      </c>
      <c r="D105" s="2858">
        <f>0.9622/D101</f>
        <v>0.59763975155279503</v>
      </c>
      <c r="E105" s="2858">
        <f>0.8656/E101</f>
        <v>0.53763975155279498</v>
      </c>
      <c r="F105" s="2858">
        <f>0.8656/F101</f>
        <v>0.53763975155279498</v>
      </c>
      <c r="G105" s="2858">
        <f>0.8656/G101</f>
        <v>0.53763975155279498</v>
      </c>
      <c r="H105" s="2858">
        <f>0.8656/H101</f>
        <v>0.53763975155279498</v>
      </c>
      <c r="I105" s="2858">
        <f>0.8656/I101</f>
        <v>0.53763975155279498</v>
      </c>
      <c r="J105" s="2858">
        <f>0.7525/J101</f>
        <v>0.46739130434782605</v>
      </c>
      <c r="K105" s="2858">
        <f>0.7525/K101</f>
        <v>0.46739130434782605</v>
      </c>
      <c r="L105" s="2858">
        <f>0.7525/L101</f>
        <v>0.46739130434782605</v>
      </c>
      <c r="M105" s="2858">
        <f>0.7525/M101</f>
        <v>0.46739130434782605</v>
      </c>
      <c r="N105" s="2858">
        <f>0.7525/N101</f>
        <v>0.46739130434782605</v>
      </c>
    </row>
    <row r="106" spans="1:14">
      <c r="A106" s="3768"/>
      <c r="B106" s="2857">
        <v>5</v>
      </c>
      <c r="C106" s="2858">
        <f>0.8417/C101</f>
        <v>0.52279503105590064</v>
      </c>
      <c r="D106" s="2858">
        <f>0.8417/D101</f>
        <v>0.52279503105590064</v>
      </c>
      <c r="E106" s="2858">
        <f>0.7371/E101</f>
        <v>0.45782608695652172</v>
      </c>
      <c r="F106" s="2858">
        <f>0.7371/F101</f>
        <v>0.45782608695652172</v>
      </c>
      <c r="G106" s="2858">
        <f>0.7371/G101</f>
        <v>0.45782608695652172</v>
      </c>
      <c r="H106" s="2858">
        <f>0.7371/H101</f>
        <v>0.45782608695652172</v>
      </c>
      <c r="I106" s="2858">
        <f>0.7371/I101</f>
        <v>0.45782608695652172</v>
      </c>
      <c r="J106" s="2858">
        <f>0.5659/J101</f>
        <v>0.35149068322981364</v>
      </c>
      <c r="K106" s="2858">
        <f>0.5659/K101</f>
        <v>0.35149068322981364</v>
      </c>
      <c r="L106" s="2858">
        <f>0.5659/L101</f>
        <v>0.35149068322981364</v>
      </c>
      <c r="M106" s="2858">
        <f>0.5659/M101</f>
        <v>0.35149068322981364</v>
      </c>
      <c r="N106" s="2858">
        <f>0.5659/N101</f>
        <v>0.35149068322981364</v>
      </c>
    </row>
    <row r="107" spans="1:14">
      <c r="A107" s="3768"/>
      <c r="B107" s="2857">
        <v>6</v>
      </c>
      <c r="C107" s="2858">
        <f>0.7608/C101</f>
        <v>0.47254658385093168</v>
      </c>
      <c r="D107" s="2858">
        <f>0.7608/D101</f>
        <v>0.47254658385093168</v>
      </c>
      <c r="E107" s="2858">
        <f>0.6482/E101</f>
        <v>0.40260869565217389</v>
      </c>
      <c r="F107" s="2858">
        <f>0.6482/F101</f>
        <v>0.40260869565217389</v>
      </c>
      <c r="G107" s="2858">
        <f>0.6482/G101</f>
        <v>0.40260869565217389</v>
      </c>
      <c r="H107" s="2858">
        <f>0.6482/H101</f>
        <v>0.40260869565217389</v>
      </c>
      <c r="I107" s="2858">
        <f>0.6482/I101</f>
        <v>0.40260869565217389</v>
      </c>
      <c r="J107" s="2858">
        <f>0.4525/J101</f>
        <v>0.28105590062111802</v>
      </c>
      <c r="K107" s="2858">
        <f>0.4525/K101</f>
        <v>0.28105590062111802</v>
      </c>
      <c r="L107" s="2858">
        <f>0.4525/L101</f>
        <v>0.28105590062111802</v>
      </c>
      <c r="M107" s="2858">
        <f>0.4525/M101</f>
        <v>0.28105590062111802</v>
      </c>
      <c r="N107" s="2858">
        <f>0.4525/N101</f>
        <v>0.28105590062111802</v>
      </c>
    </row>
    <row r="108" spans="1:14">
      <c r="A108" s="3768"/>
      <c r="B108" s="3590" t="s">
        <v>2956</v>
      </c>
      <c r="C108" s="2859">
        <f>C99</f>
        <v>0</v>
      </c>
      <c r="D108" s="2859">
        <f t="shared" ref="D108:N108" si="32">D99</f>
        <v>0</v>
      </c>
      <c r="E108" s="2859">
        <f t="shared" si="32"/>
        <v>0</v>
      </c>
      <c r="F108" s="2859">
        <f t="shared" si="32"/>
        <v>0</v>
      </c>
      <c r="G108" s="2859">
        <f t="shared" si="32"/>
        <v>0</v>
      </c>
      <c r="H108" s="2859">
        <f t="shared" si="32"/>
        <v>0</v>
      </c>
      <c r="I108" s="2859">
        <f t="shared" si="32"/>
        <v>0</v>
      </c>
      <c r="J108" s="2859">
        <f t="shared" si="32"/>
        <v>0</v>
      </c>
      <c r="K108" s="2859">
        <f t="shared" si="32"/>
        <v>0</v>
      </c>
      <c r="L108" s="2859">
        <f t="shared" si="32"/>
        <v>0</v>
      </c>
      <c r="M108" s="2859">
        <f t="shared" si="32"/>
        <v>0</v>
      </c>
      <c r="N108" s="2859">
        <f t="shared" si="32"/>
        <v>0</v>
      </c>
    </row>
    <row r="109" spans="1:14">
      <c r="A109" s="3769"/>
      <c r="B109" s="3591"/>
      <c r="C109" s="2860">
        <f>(-0.163*(C108^2)-0.59*C108+7617)*(10^(-4))/C101</f>
        <v>0.47310559006211178</v>
      </c>
      <c r="D109" s="2860">
        <f>(-0.163*(D108^2)-0.59*D108+7617)*(10^(-4))/D101</f>
        <v>0.47310559006211178</v>
      </c>
      <c r="E109" s="2860">
        <f>(-0.161*(E108^2)-7.509*E108+6533)*(10^(-4))/E101</f>
        <v>0.40577639751552791</v>
      </c>
      <c r="F109" s="2860">
        <f>(-0.161*(F108^2)-7.509*F108+6533)*(10^(-4))/F101</f>
        <v>0.40577639751552791</v>
      </c>
      <c r="G109" s="2860">
        <f>(-0.161*(G108^2)-7.509*G108+6533)*(10^(-4))/G101</f>
        <v>0.40577639751552791</v>
      </c>
      <c r="H109" s="2860">
        <f>(-0.161*(H108^2)-7.509*H108+6533)*(10^(-4))/H101</f>
        <v>0.40577639751552791</v>
      </c>
      <c r="I109" s="2860">
        <f>(-0.161*(I108^2)-7.509*I108+6533)*(10^(-4))/I101</f>
        <v>0.40577639751552791</v>
      </c>
      <c r="J109" s="2860">
        <f>(-0.214*(J108^2)-21.991*J108+4665)*(10^(-4))/J101</f>
        <v>0.28975155279503106</v>
      </c>
      <c r="K109" s="2860">
        <f>(-0.214*(K108^2)-21.991*K108+4665)*(10^(-4))/K101</f>
        <v>0.28975155279503106</v>
      </c>
      <c r="L109" s="2860">
        <f>(-0.214*(L108^2)-21.991*L108+4665)*(10^(-4))/L101</f>
        <v>0.28975155279503106</v>
      </c>
      <c r="M109" s="2860">
        <f>(-0.214*(M108^2)-21.991*M108+4665)*(10^(-4))/M101</f>
        <v>0.28975155279503106</v>
      </c>
      <c r="N109" s="2860">
        <f>(-0.214*(N108^2)-21.991*N108+4665)*(10^(-4))/N101</f>
        <v>0.28975155279503106</v>
      </c>
    </row>
    <row r="110" spans="1:14">
      <c r="A110" s="3765" t="s">
        <v>2957</v>
      </c>
      <c r="B110" s="3765"/>
      <c r="C110" s="3765"/>
      <c r="D110" s="3765"/>
      <c r="E110" s="3765"/>
      <c r="F110" s="3765"/>
      <c r="G110" s="3765"/>
      <c r="H110" s="3765"/>
      <c r="I110" s="3765"/>
      <c r="J110" s="3765"/>
      <c r="K110" s="2863"/>
      <c r="L110" s="2863"/>
      <c r="M110" s="2863"/>
      <c r="N110" s="2863"/>
    </row>
    <row r="112" spans="1:14" ht="13.5" thickBot="1"/>
    <row r="113" spans="1:13" ht="25.5" thickBot="1">
      <c r="A113" s="893" t="s">
        <v>2958</v>
      </c>
      <c r="B113" s="1269">
        <f>G3</f>
        <v>1.61</v>
      </c>
      <c r="C113" s="894" t="s">
        <v>2959</v>
      </c>
      <c r="D113" s="895">
        <f>SUMPRODUCT((A115:A118=F113)*(B114:M114=H113)*B115:M118)</f>
        <v>0.83579999999999999</v>
      </c>
      <c r="E113" s="2694" t="s">
        <v>2792</v>
      </c>
      <c r="F113" s="2865" t="str">
        <f>E2</f>
        <v>办公</v>
      </c>
      <c r="G113" s="2694" t="s">
        <v>2793</v>
      </c>
      <c r="H113" s="2865" t="str">
        <f>G2</f>
        <v>四级</v>
      </c>
      <c r="I113" s="2694"/>
      <c r="J113" s="2866"/>
      <c r="K113" s="2866"/>
      <c r="L113" s="2866"/>
      <c r="M113" s="2866"/>
    </row>
    <row r="114" spans="1:13">
      <c r="A114" s="898"/>
      <c r="B114" s="2867" t="s">
        <v>2960</v>
      </c>
      <c r="C114" s="2867" t="s">
        <v>2961</v>
      </c>
      <c r="D114" s="2867" t="s">
        <v>2962</v>
      </c>
      <c r="E114" s="2868" t="s">
        <v>2963</v>
      </c>
      <c r="F114" s="2868" t="s">
        <v>2964</v>
      </c>
      <c r="G114" s="2868" t="s">
        <v>2965</v>
      </c>
      <c r="H114" s="2869" t="s">
        <v>2966</v>
      </c>
      <c r="I114" s="2869" t="s">
        <v>2967</v>
      </c>
      <c r="J114" s="2870" t="s">
        <v>2968</v>
      </c>
      <c r="K114" s="2870" t="s">
        <v>2969</v>
      </c>
      <c r="L114" s="2870" t="s">
        <v>2970</v>
      </c>
      <c r="M114" s="2871" t="s">
        <v>2971</v>
      </c>
    </row>
    <row r="115" spans="1:13">
      <c r="A115" s="899" t="s">
        <v>2857</v>
      </c>
      <c r="B115" s="900">
        <f>ROUND(0.9335-0.0094*B113,4)</f>
        <v>0.91839999999999999</v>
      </c>
      <c r="C115" s="900">
        <f>B115</f>
        <v>0.91839999999999999</v>
      </c>
      <c r="D115" s="900">
        <f>ROUND(0.8331-0.0109*B113,4)</f>
        <v>0.81559999999999999</v>
      </c>
      <c r="E115" s="900">
        <f>D115</f>
        <v>0.81559999999999999</v>
      </c>
      <c r="F115" s="900">
        <f>E115</f>
        <v>0.81559999999999999</v>
      </c>
      <c r="G115" s="900">
        <f>F115</f>
        <v>0.81559999999999999</v>
      </c>
      <c r="H115" s="900">
        <f>G115</f>
        <v>0.81559999999999999</v>
      </c>
      <c r="I115" s="900">
        <f>ROUND(0.689-0.0155*B113,4)</f>
        <v>0.66400000000000003</v>
      </c>
      <c r="J115" s="900">
        <f t="shared" ref="J115:M118" si="33">I115</f>
        <v>0.66400000000000003</v>
      </c>
      <c r="K115" s="900">
        <f t="shared" si="33"/>
        <v>0.66400000000000003</v>
      </c>
      <c r="L115" s="900">
        <f t="shared" si="33"/>
        <v>0.66400000000000003</v>
      </c>
      <c r="M115" s="901">
        <f t="shared" si="33"/>
        <v>0.66400000000000003</v>
      </c>
    </row>
    <row r="116" spans="1:13">
      <c r="A116" s="899" t="s">
        <v>2858</v>
      </c>
      <c r="B116" s="900">
        <f>ROUND(0.949-0.012*B113,4)</f>
        <v>0.92969999999999997</v>
      </c>
      <c r="C116" s="900">
        <f>B116</f>
        <v>0.92969999999999997</v>
      </c>
      <c r="D116" s="900">
        <f>ROUND(0.8567-0.013*B113,4)</f>
        <v>0.83579999999999999</v>
      </c>
      <c r="E116" s="900">
        <f t="shared" ref="E116:H117" si="34">D116</f>
        <v>0.83579999999999999</v>
      </c>
      <c r="F116" s="900">
        <f t="shared" si="34"/>
        <v>0.83579999999999999</v>
      </c>
      <c r="G116" s="900">
        <f t="shared" si="34"/>
        <v>0.83579999999999999</v>
      </c>
      <c r="H116" s="900">
        <f t="shared" si="34"/>
        <v>0.83579999999999999</v>
      </c>
      <c r="I116" s="900">
        <f>ROUND(0.7694-0.014*B113,4)</f>
        <v>0.74690000000000001</v>
      </c>
      <c r="J116" s="900">
        <f t="shared" si="33"/>
        <v>0.74690000000000001</v>
      </c>
      <c r="K116" s="900">
        <f t="shared" si="33"/>
        <v>0.74690000000000001</v>
      </c>
      <c r="L116" s="900">
        <f t="shared" si="33"/>
        <v>0.74690000000000001</v>
      </c>
      <c r="M116" s="901">
        <f t="shared" si="33"/>
        <v>0.74690000000000001</v>
      </c>
    </row>
    <row r="117" spans="1:13">
      <c r="A117" s="899" t="s">
        <v>2859</v>
      </c>
      <c r="B117" s="900">
        <f>ROUND(0.8808-0.006*B113,4)</f>
        <v>0.87109999999999999</v>
      </c>
      <c r="C117" s="900">
        <f>B117</f>
        <v>0.87109999999999999</v>
      </c>
      <c r="D117" s="900">
        <f>ROUND(0.8748-0.008*B113,4)</f>
        <v>0.8619</v>
      </c>
      <c r="E117" s="900">
        <f t="shared" si="34"/>
        <v>0.8619</v>
      </c>
      <c r="F117" s="900">
        <f t="shared" si="34"/>
        <v>0.8619</v>
      </c>
      <c r="G117" s="900">
        <f t="shared" si="34"/>
        <v>0.8619</v>
      </c>
      <c r="H117" s="900">
        <f t="shared" si="34"/>
        <v>0.8619</v>
      </c>
      <c r="I117" s="900">
        <f>ROUND(0.7412-0.0095*B113,4)</f>
        <v>0.72589999999999999</v>
      </c>
      <c r="J117" s="900">
        <f t="shared" si="33"/>
        <v>0.72589999999999999</v>
      </c>
      <c r="K117" s="900">
        <f t="shared" si="33"/>
        <v>0.72589999999999999</v>
      </c>
      <c r="L117" s="900">
        <f t="shared" si="33"/>
        <v>0.72589999999999999</v>
      </c>
      <c r="M117" s="901">
        <f t="shared" si="33"/>
        <v>0.72589999999999999</v>
      </c>
    </row>
    <row r="118" spans="1:13" ht="13.5" thickBot="1">
      <c r="A118" s="711" t="s">
        <v>2860</v>
      </c>
      <c r="B118" s="902">
        <f>ROUND(0.7275-0.01*B113,4)</f>
        <v>0.71140000000000003</v>
      </c>
      <c r="C118" s="902">
        <f>B118</f>
        <v>0.71140000000000003</v>
      </c>
      <c r="D118" s="902">
        <f>ROUND(0.7043-0.012*B113,4)</f>
        <v>0.68500000000000005</v>
      </c>
      <c r="E118" s="902">
        <f>D118</f>
        <v>0.68500000000000005</v>
      </c>
      <c r="F118" s="902">
        <f>E118</f>
        <v>0.68500000000000005</v>
      </c>
      <c r="G118" s="902">
        <f>ROUND(0.6299-0.0122*B113,4)</f>
        <v>0.61029999999999995</v>
      </c>
      <c r="H118" s="902">
        <f>G118</f>
        <v>0.61029999999999995</v>
      </c>
      <c r="I118" s="902">
        <f>ROUND(0.5667-0.0136*B113,4)</f>
        <v>0.54479999999999995</v>
      </c>
      <c r="J118" s="902">
        <f t="shared" si="33"/>
        <v>0.54479999999999995</v>
      </c>
      <c r="K118" s="902">
        <f t="shared" si="33"/>
        <v>0.54479999999999995</v>
      </c>
      <c r="L118" s="902">
        <f t="shared" si="33"/>
        <v>0.54479999999999995</v>
      </c>
      <c r="M118" s="903">
        <f t="shared" si="33"/>
        <v>0.54479999999999995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75" t="s">
        <v>183</v>
      </c>
      <c r="B18" s="872" t="s">
        <v>560</v>
      </c>
      <c r="C18" s="873" t="s">
        <v>561</v>
      </c>
      <c r="D18" s="874"/>
      <c r="E18" s="872">
        <v>1</v>
      </c>
      <c r="F18" s="875" t="s">
        <v>562</v>
      </c>
      <c r="G18" s="876"/>
      <c r="H18" s="868"/>
      <c r="I18" s="868"/>
    </row>
    <row r="19" spans="1:9" s="877" customFormat="1" ht="19.5" customHeight="1">
      <c r="A19" s="3775"/>
      <c r="B19" s="3775" t="s">
        <v>563</v>
      </c>
      <c r="C19" s="873" t="s">
        <v>564</v>
      </c>
      <c r="D19" s="874"/>
      <c r="E19" s="872">
        <v>0.9</v>
      </c>
      <c r="F19" s="875" t="s">
        <v>565</v>
      </c>
      <c r="G19" s="876"/>
      <c r="H19" s="868"/>
      <c r="I19" s="868"/>
    </row>
    <row r="20" spans="1:9" s="877" customFormat="1" ht="19.5" customHeight="1">
      <c r="A20" s="3775"/>
      <c r="B20" s="3775"/>
      <c r="C20" s="873" t="s">
        <v>566</v>
      </c>
      <c r="D20" s="874"/>
      <c r="E20" s="872">
        <v>1.1000000000000001</v>
      </c>
      <c r="F20" s="875" t="s">
        <v>567</v>
      </c>
      <c r="G20" s="876"/>
      <c r="H20" s="868"/>
      <c r="I20" s="868"/>
    </row>
    <row r="21" spans="1:9" s="877" customFormat="1" ht="19.5" customHeight="1">
      <c r="A21" s="3775"/>
      <c r="B21" s="3775"/>
      <c r="C21" s="873" t="s">
        <v>568</v>
      </c>
      <c r="D21" s="874"/>
      <c r="E21" s="872">
        <v>0.8</v>
      </c>
      <c r="F21" s="875" t="s">
        <v>569</v>
      </c>
      <c r="G21" s="876"/>
      <c r="H21" s="868"/>
      <c r="I21" s="868"/>
    </row>
    <row r="22" spans="1:9" s="877" customFormat="1" ht="19.5" customHeight="1">
      <c r="A22" s="3775"/>
      <c r="B22" s="3775"/>
      <c r="C22" s="873" t="s">
        <v>570</v>
      </c>
      <c r="D22" s="874"/>
      <c r="E22" s="872">
        <v>0.5</v>
      </c>
      <c r="F22" s="875"/>
      <c r="G22" s="876"/>
      <c r="H22" s="868"/>
      <c r="I22" s="868"/>
    </row>
    <row r="23" spans="1:9" s="877" customFormat="1" ht="19.5" customHeight="1">
      <c r="A23" s="3775" t="s">
        <v>184</v>
      </c>
      <c r="B23" s="872" t="s">
        <v>560</v>
      </c>
      <c r="C23" s="873" t="s">
        <v>571</v>
      </c>
      <c r="D23" s="874"/>
      <c r="E23" s="872">
        <v>1</v>
      </c>
      <c r="F23" s="875" t="s">
        <v>572</v>
      </c>
      <c r="G23" s="876"/>
      <c r="H23" s="868"/>
      <c r="I23" s="868"/>
    </row>
    <row r="24" spans="1:9" s="877" customFormat="1" ht="19.5" customHeight="1">
      <c r="A24" s="3775"/>
      <c r="B24" s="3775" t="s">
        <v>563</v>
      </c>
      <c r="C24" s="873" t="s">
        <v>573</v>
      </c>
      <c r="D24" s="874"/>
      <c r="E24" s="872">
        <v>0.5</v>
      </c>
      <c r="F24" s="875"/>
      <c r="G24" s="876"/>
      <c r="H24" s="868"/>
      <c r="I24" s="868"/>
    </row>
    <row r="25" spans="1:9" s="877" customFormat="1" ht="19.5" customHeight="1">
      <c r="A25" s="3775"/>
      <c r="B25" s="3775"/>
      <c r="C25" s="873" t="s">
        <v>574</v>
      </c>
      <c r="D25" s="874"/>
      <c r="E25" s="872">
        <v>1.1000000000000001</v>
      </c>
      <c r="F25" s="875"/>
      <c r="G25" s="876"/>
      <c r="H25" s="868"/>
      <c r="I25" s="868"/>
    </row>
    <row r="26" spans="1:9" s="877" customFormat="1" ht="19.5" customHeight="1">
      <c r="A26" s="3775"/>
      <c r="B26" s="3775"/>
      <c r="C26" s="873" t="s">
        <v>575</v>
      </c>
      <c r="D26" s="874"/>
      <c r="E26" s="872">
        <v>1.1000000000000001</v>
      </c>
      <c r="F26" s="875"/>
      <c r="G26" s="876"/>
      <c r="H26" s="868"/>
      <c r="I26" s="868"/>
    </row>
    <row r="27" spans="1:9" s="877" customFormat="1" ht="19.5" customHeight="1">
      <c r="A27" s="3775"/>
      <c r="B27" s="3775"/>
      <c r="C27" s="873" t="s">
        <v>576</v>
      </c>
      <c r="D27" s="874"/>
      <c r="E27" s="872">
        <v>0.9</v>
      </c>
      <c r="F27" s="875" t="s">
        <v>577</v>
      </c>
      <c r="G27" s="876"/>
      <c r="H27" s="868"/>
      <c r="I27" s="868"/>
    </row>
    <row r="28" spans="1:9" s="877" customFormat="1" ht="19.5" customHeight="1">
      <c r="A28" s="3775"/>
      <c r="B28" s="3775"/>
      <c r="C28" s="873" t="s">
        <v>578</v>
      </c>
      <c r="D28" s="874"/>
      <c r="E28" s="872">
        <v>0.9</v>
      </c>
      <c r="F28" s="875" t="s">
        <v>579</v>
      </c>
      <c r="G28" s="876"/>
      <c r="H28" s="868"/>
      <c r="I28" s="868"/>
    </row>
    <row r="29" spans="1:9" s="877" customFormat="1" ht="19.5" customHeight="1">
      <c r="A29" s="3775"/>
      <c r="B29" s="3775"/>
      <c r="C29" s="873" t="s">
        <v>580</v>
      </c>
      <c r="D29" s="874"/>
      <c r="E29" s="872">
        <v>0.9</v>
      </c>
      <c r="F29" s="875" t="s">
        <v>581</v>
      </c>
      <c r="G29" s="876"/>
      <c r="H29" s="868"/>
      <c r="I29" s="868"/>
    </row>
    <row r="30" spans="1:9" s="877" customFormat="1" ht="19.5" customHeight="1">
      <c r="A30" s="3775"/>
      <c r="B30" s="3775"/>
      <c r="C30" s="873" t="s">
        <v>582</v>
      </c>
      <c r="D30" s="874"/>
      <c r="E30" s="872">
        <v>0.9</v>
      </c>
      <c r="F30" s="875" t="s">
        <v>583</v>
      </c>
      <c r="G30" s="876"/>
      <c r="H30" s="868"/>
      <c r="I30" s="868"/>
    </row>
    <row r="31" spans="1:9" s="877" customFormat="1" ht="19.5" customHeight="1">
      <c r="A31" s="3775"/>
      <c r="B31" s="3775"/>
      <c r="C31" s="873" t="s">
        <v>584</v>
      </c>
      <c r="D31" s="874"/>
      <c r="E31" s="872">
        <v>0.8</v>
      </c>
      <c r="F31" s="875" t="s">
        <v>585</v>
      </c>
      <c r="G31" s="876"/>
      <c r="H31" s="868"/>
      <c r="I31" s="868"/>
    </row>
    <row r="32" spans="1:9" s="877" customFormat="1" ht="19.5" customHeight="1">
      <c r="A32" s="3775"/>
      <c r="B32" s="3775"/>
      <c r="C32" s="873" t="s">
        <v>586</v>
      </c>
      <c r="D32" s="874"/>
      <c r="E32" s="872">
        <v>0.8</v>
      </c>
      <c r="F32" s="875" t="s">
        <v>587</v>
      </c>
      <c r="G32" s="876"/>
      <c r="H32" s="868"/>
      <c r="I32" s="868"/>
    </row>
    <row r="33" spans="1:9" s="877" customFormat="1" ht="19.5" customHeight="1">
      <c r="A33" s="3775" t="s">
        <v>185</v>
      </c>
      <c r="B33" s="872" t="s">
        <v>560</v>
      </c>
      <c r="C33" s="873" t="s">
        <v>588</v>
      </c>
      <c r="D33" s="874"/>
      <c r="E33" s="872">
        <v>1</v>
      </c>
      <c r="F33" s="875" t="s">
        <v>589</v>
      </c>
      <c r="G33" s="876"/>
      <c r="H33" s="868"/>
      <c r="I33" s="868"/>
    </row>
    <row r="34" spans="1:9" s="877" customFormat="1" ht="19.5" customHeight="1">
      <c r="A34" s="3775"/>
      <c r="B34" s="872" t="s">
        <v>563</v>
      </c>
      <c r="C34" s="873" t="s">
        <v>590</v>
      </c>
      <c r="D34" s="874"/>
      <c r="E34" s="872">
        <v>1.5</v>
      </c>
      <c r="F34" s="875" t="s">
        <v>591</v>
      </c>
      <c r="G34" s="876"/>
      <c r="H34" s="868"/>
      <c r="I34" s="868"/>
    </row>
    <row r="35" spans="1:9" s="877" customFormat="1" ht="19.5" customHeight="1">
      <c r="A35" s="3775" t="s">
        <v>186</v>
      </c>
      <c r="B35" s="872" t="s">
        <v>560</v>
      </c>
      <c r="C35" s="873" t="s">
        <v>592</v>
      </c>
      <c r="D35" s="874"/>
      <c r="E35" s="872">
        <v>1</v>
      </c>
      <c r="F35" s="875" t="s">
        <v>593</v>
      </c>
      <c r="G35" s="876"/>
      <c r="H35" s="868"/>
      <c r="I35" s="868"/>
    </row>
    <row r="36" spans="1:9" s="877" customFormat="1" ht="19.5" customHeight="1">
      <c r="A36" s="3775"/>
      <c r="B36" s="3775" t="s">
        <v>563</v>
      </c>
      <c r="C36" s="873" t="s">
        <v>594</v>
      </c>
      <c r="D36" s="874"/>
      <c r="E36" s="872">
        <v>1</v>
      </c>
      <c r="F36" s="875" t="s">
        <v>595</v>
      </c>
      <c r="G36" s="876"/>
      <c r="H36" s="868"/>
      <c r="I36" s="868"/>
    </row>
    <row r="37" spans="1:9" s="877" customFormat="1" ht="19.5" customHeight="1">
      <c r="A37" s="3775"/>
      <c r="B37" s="3775"/>
      <c r="C37" s="873" t="s">
        <v>596</v>
      </c>
      <c r="D37" s="874"/>
      <c r="E37" s="872">
        <v>1.5</v>
      </c>
      <c r="F37" s="875" t="s">
        <v>597</v>
      </c>
      <c r="G37" s="876"/>
      <c r="H37" s="868"/>
      <c r="I37" s="868"/>
    </row>
    <row r="38" spans="1:9" s="877" customFormat="1" ht="19.5" customHeight="1">
      <c r="A38" s="3775"/>
      <c r="B38" s="3775"/>
      <c r="C38" s="873" t="s">
        <v>598</v>
      </c>
      <c r="D38" s="874"/>
      <c r="E38" s="872">
        <v>1</v>
      </c>
      <c r="F38" s="875" t="s">
        <v>599</v>
      </c>
      <c r="G38" s="876"/>
      <c r="H38" s="868"/>
      <c r="I38" s="868"/>
    </row>
    <row r="39" spans="1:9" s="877" customFormat="1" ht="19.5" customHeight="1">
      <c r="A39" s="3775"/>
      <c r="B39" s="3775"/>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75" t="s">
        <v>614</v>
      </c>
      <c r="C61" s="808" t="s">
        <v>615</v>
      </c>
      <c r="D61" s="808" t="s">
        <v>616</v>
      </c>
      <c r="E61" s="885">
        <v>0.5</v>
      </c>
      <c r="F61" s="872">
        <v>80</v>
      </c>
    </row>
    <row r="62" spans="1:8" s="868" customFormat="1" ht="24">
      <c r="A62" s="872">
        <v>2</v>
      </c>
      <c r="B62" s="3775"/>
      <c r="C62" s="808" t="s">
        <v>617</v>
      </c>
      <c r="D62" s="808" t="s">
        <v>618</v>
      </c>
      <c r="E62" s="885">
        <v>0.5</v>
      </c>
      <c r="F62" s="872">
        <v>80</v>
      </c>
    </row>
    <row r="63" spans="1:8" s="868" customFormat="1" ht="36">
      <c r="A63" s="872">
        <v>3</v>
      </c>
      <c r="B63" s="3775"/>
      <c r="C63" s="808" t="s">
        <v>619</v>
      </c>
      <c r="D63" s="808" t="s">
        <v>620</v>
      </c>
      <c r="E63" s="885">
        <v>0.5</v>
      </c>
      <c r="F63" s="872">
        <v>80</v>
      </c>
    </row>
    <row r="64" spans="1:8" s="868" customFormat="1" ht="36">
      <c r="A64" s="872">
        <v>4</v>
      </c>
      <c r="B64" s="3775"/>
      <c r="C64" s="808" t="s">
        <v>621</v>
      </c>
      <c r="D64" s="808" t="s">
        <v>622</v>
      </c>
      <c r="E64" s="885">
        <v>0.4</v>
      </c>
      <c r="F64" s="872">
        <v>60</v>
      </c>
    </row>
    <row r="65" spans="1:6" s="868" customFormat="1" ht="36">
      <c r="A65" s="872">
        <v>5</v>
      </c>
      <c r="B65" s="3775"/>
      <c r="C65" s="808" t="s">
        <v>623</v>
      </c>
      <c r="D65" s="808" t="s">
        <v>624</v>
      </c>
      <c r="E65" s="885">
        <v>0.2</v>
      </c>
      <c r="F65" s="872">
        <v>30</v>
      </c>
    </row>
    <row r="66" spans="1:6" s="868" customFormat="1" ht="36">
      <c r="A66" s="872">
        <v>6</v>
      </c>
      <c r="B66" s="3775"/>
      <c r="C66" s="808" t="s">
        <v>625</v>
      </c>
      <c r="D66" s="808" t="s">
        <v>626</v>
      </c>
      <c r="E66" s="885">
        <v>0.3</v>
      </c>
      <c r="F66" s="872">
        <v>50</v>
      </c>
    </row>
    <row r="67" spans="1:6" s="868" customFormat="1" ht="36">
      <c r="A67" s="872">
        <v>7</v>
      </c>
      <c r="B67" s="3775"/>
      <c r="C67" s="808" t="s">
        <v>627</v>
      </c>
      <c r="D67" s="808" t="s">
        <v>628</v>
      </c>
      <c r="E67" s="885">
        <v>0.2</v>
      </c>
      <c r="F67" s="872">
        <v>30</v>
      </c>
    </row>
    <row r="68" spans="1:6" s="868" customFormat="1" ht="36">
      <c r="A68" s="872">
        <v>8</v>
      </c>
      <c r="B68" s="3775"/>
      <c r="C68" s="808" t="s">
        <v>629</v>
      </c>
      <c r="D68" s="808" t="s">
        <v>630</v>
      </c>
      <c r="E68" s="885">
        <v>0.2</v>
      </c>
      <c r="F68" s="872">
        <v>30</v>
      </c>
    </row>
    <row r="69" spans="1:6" s="868" customFormat="1" ht="36">
      <c r="A69" s="872">
        <v>9</v>
      </c>
      <c r="B69" s="3775"/>
      <c r="C69" s="808" t="s">
        <v>631</v>
      </c>
      <c r="D69" s="808" t="s">
        <v>632</v>
      </c>
      <c r="E69" s="885">
        <v>0.2</v>
      </c>
      <c r="F69" s="872">
        <v>30</v>
      </c>
    </row>
    <row r="70" spans="1:6" s="868" customFormat="1" ht="48">
      <c r="A70" s="872">
        <v>10</v>
      </c>
      <c r="B70" s="3775"/>
      <c r="C70" s="808" t="s">
        <v>633</v>
      </c>
      <c r="D70" s="808" t="s">
        <v>634</v>
      </c>
      <c r="E70" s="885">
        <v>0.2</v>
      </c>
      <c r="F70" s="872">
        <v>30</v>
      </c>
    </row>
    <row r="71" spans="1:6" s="868" customFormat="1" ht="48">
      <c r="A71" s="872">
        <v>11</v>
      </c>
      <c r="B71" s="3775"/>
      <c r="C71" s="808" t="s">
        <v>635</v>
      </c>
      <c r="D71" s="808" t="s">
        <v>636</v>
      </c>
      <c r="E71" s="885">
        <v>0.2</v>
      </c>
      <c r="F71" s="872">
        <v>30</v>
      </c>
    </row>
    <row r="72" spans="1:6" s="868" customFormat="1" ht="36">
      <c r="A72" s="872">
        <v>12</v>
      </c>
      <c r="B72" s="3775"/>
      <c r="C72" s="808" t="s">
        <v>637</v>
      </c>
      <c r="D72" s="808" t="s">
        <v>638</v>
      </c>
      <c r="E72" s="885">
        <v>0.5</v>
      </c>
      <c r="F72" s="872">
        <v>80</v>
      </c>
    </row>
    <row r="73" spans="1:6" s="868" customFormat="1" ht="24">
      <c r="A73" s="872">
        <v>13</v>
      </c>
      <c r="B73" s="3775"/>
      <c r="C73" s="808" t="s">
        <v>639</v>
      </c>
      <c r="D73" s="808" t="s">
        <v>640</v>
      </c>
      <c r="E73" s="885">
        <v>0.4</v>
      </c>
      <c r="F73" s="872">
        <v>60</v>
      </c>
    </row>
    <row r="74" spans="1:6" s="868" customFormat="1" ht="24">
      <c r="A74" s="872">
        <v>14</v>
      </c>
      <c r="B74" s="3775"/>
      <c r="C74" s="808" t="s">
        <v>641</v>
      </c>
      <c r="D74" s="808" t="s">
        <v>642</v>
      </c>
      <c r="E74" s="885">
        <v>0.2</v>
      </c>
      <c r="F74" s="872">
        <v>30</v>
      </c>
    </row>
    <row r="75" spans="1:6" s="868" customFormat="1" ht="24">
      <c r="A75" s="872">
        <v>15</v>
      </c>
      <c r="B75" s="3775"/>
      <c r="C75" s="808" t="s">
        <v>643</v>
      </c>
      <c r="D75" s="808" t="s">
        <v>644</v>
      </c>
      <c r="E75" s="885">
        <v>0.2</v>
      </c>
      <c r="F75" s="872">
        <v>30</v>
      </c>
    </row>
    <row r="76" spans="1:6" s="868" customFormat="1" ht="24">
      <c r="A76" s="872">
        <v>16</v>
      </c>
      <c r="B76" s="3775" t="s">
        <v>645</v>
      </c>
      <c r="C76" s="808" t="s">
        <v>646</v>
      </c>
      <c r="D76" s="808" t="s">
        <v>647</v>
      </c>
      <c r="E76" s="885">
        <v>0.5</v>
      </c>
      <c r="F76" s="872">
        <v>80</v>
      </c>
    </row>
    <row r="77" spans="1:6" s="868" customFormat="1" ht="24">
      <c r="A77" s="872">
        <v>17</v>
      </c>
      <c r="B77" s="3775"/>
      <c r="C77" s="808" t="s">
        <v>648</v>
      </c>
      <c r="D77" s="808" t="s">
        <v>649</v>
      </c>
      <c r="E77" s="885">
        <v>0.5</v>
      </c>
      <c r="F77" s="872">
        <v>80</v>
      </c>
    </row>
    <row r="78" spans="1:6" s="868" customFormat="1" ht="24">
      <c r="A78" s="872">
        <v>18</v>
      </c>
      <c r="B78" s="3775"/>
      <c r="C78" s="808" t="s">
        <v>650</v>
      </c>
      <c r="D78" s="808" t="s">
        <v>651</v>
      </c>
      <c r="E78" s="885">
        <v>0.2</v>
      </c>
      <c r="F78" s="872">
        <v>30</v>
      </c>
    </row>
    <row r="79" spans="1:6" s="868" customFormat="1" ht="24">
      <c r="A79" s="872">
        <v>19</v>
      </c>
      <c r="B79" s="3775"/>
      <c r="C79" s="808" t="s">
        <v>652</v>
      </c>
      <c r="D79" s="808" t="s">
        <v>653</v>
      </c>
      <c r="E79" s="885">
        <v>0.5</v>
      </c>
      <c r="F79" s="872">
        <v>80</v>
      </c>
    </row>
    <row r="80" spans="1:6" s="868" customFormat="1" ht="36">
      <c r="A80" s="872">
        <v>20</v>
      </c>
      <c r="B80" s="3775"/>
      <c r="C80" s="808" t="s">
        <v>654</v>
      </c>
      <c r="D80" s="808" t="s">
        <v>655</v>
      </c>
      <c r="E80" s="885">
        <v>0.2</v>
      </c>
      <c r="F80" s="872">
        <v>30</v>
      </c>
    </row>
    <row r="81" spans="1:6" s="868" customFormat="1" ht="36">
      <c r="A81" s="872">
        <v>21</v>
      </c>
      <c r="B81" s="3775"/>
      <c r="C81" s="808" t="s">
        <v>656</v>
      </c>
      <c r="D81" s="808" t="s">
        <v>657</v>
      </c>
      <c r="E81" s="885">
        <v>0.2</v>
      </c>
      <c r="F81" s="872">
        <v>30</v>
      </c>
    </row>
    <row r="82" spans="1:6" s="868" customFormat="1" ht="48">
      <c r="A82" s="872">
        <v>22</v>
      </c>
      <c r="B82" s="3775"/>
      <c r="C82" s="808" t="s">
        <v>658</v>
      </c>
      <c r="D82" s="808" t="s">
        <v>659</v>
      </c>
      <c r="E82" s="885">
        <v>0.2</v>
      </c>
      <c r="F82" s="872">
        <v>30</v>
      </c>
    </row>
    <row r="83" spans="1:6" s="868" customFormat="1" ht="48">
      <c r="A83" s="872">
        <v>23</v>
      </c>
      <c r="B83" s="3775"/>
      <c r="C83" s="808" t="s">
        <v>660</v>
      </c>
      <c r="D83" s="808" t="s">
        <v>661</v>
      </c>
      <c r="E83" s="885">
        <v>0.2</v>
      </c>
      <c r="F83" s="872">
        <v>30</v>
      </c>
    </row>
    <row r="84" spans="1:6" s="868" customFormat="1" ht="36">
      <c r="A84" s="872">
        <v>24</v>
      </c>
      <c r="B84" s="3775"/>
      <c r="C84" s="808" t="s">
        <v>662</v>
      </c>
      <c r="D84" s="808" t="s">
        <v>663</v>
      </c>
      <c r="E84" s="885">
        <v>0.2</v>
      </c>
      <c r="F84" s="872">
        <v>30</v>
      </c>
    </row>
    <row r="85" spans="1:6" s="868" customFormat="1" ht="36">
      <c r="A85" s="872">
        <v>25</v>
      </c>
      <c r="B85" s="3775"/>
      <c r="C85" s="808" t="s">
        <v>664</v>
      </c>
      <c r="D85" s="808" t="s">
        <v>665</v>
      </c>
      <c r="E85" s="885">
        <v>0.5</v>
      </c>
      <c r="F85" s="872">
        <v>80</v>
      </c>
    </row>
    <row r="86" spans="1:6" s="868" customFormat="1" ht="36">
      <c r="A86" s="872">
        <v>26</v>
      </c>
      <c r="B86" s="3775"/>
      <c r="C86" s="808" t="s">
        <v>666</v>
      </c>
      <c r="D86" s="808" t="s">
        <v>667</v>
      </c>
      <c r="E86" s="885">
        <v>0.2</v>
      </c>
      <c r="F86" s="872">
        <v>30</v>
      </c>
    </row>
    <row r="87" spans="1:6" s="868" customFormat="1" ht="36">
      <c r="A87" s="872">
        <v>27</v>
      </c>
      <c r="B87" s="3775"/>
      <c r="C87" s="808" t="s">
        <v>668</v>
      </c>
      <c r="D87" s="808" t="s">
        <v>669</v>
      </c>
      <c r="E87" s="885">
        <v>0.2</v>
      </c>
      <c r="F87" s="872">
        <v>30</v>
      </c>
    </row>
    <row r="88" spans="1:6" s="868" customFormat="1" ht="36">
      <c r="A88" s="872">
        <v>28</v>
      </c>
      <c r="B88" s="3775"/>
      <c r="C88" s="808" t="s">
        <v>670</v>
      </c>
      <c r="D88" s="808" t="s">
        <v>671</v>
      </c>
      <c r="E88" s="885">
        <v>0.2</v>
      </c>
      <c r="F88" s="872">
        <v>30</v>
      </c>
    </row>
    <row r="89" spans="1:6" s="868" customFormat="1" ht="24">
      <c r="A89" s="872">
        <v>29</v>
      </c>
      <c r="B89" s="3775"/>
      <c r="C89" s="808" t="s">
        <v>672</v>
      </c>
      <c r="D89" s="808" t="s">
        <v>673</v>
      </c>
      <c r="E89" s="885">
        <v>0.2</v>
      </c>
      <c r="F89" s="872">
        <v>30</v>
      </c>
    </row>
    <row r="90" spans="1:6" s="868" customFormat="1" ht="24">
      <c r="A90" s="872">
        <v>30</v>
      </c>
      <c r="B90" s="3775"/>
      <c r="C90" s="808" t="s">
        <v>674</v>
      </c>
      <c r="D90" s="808" t="s">
        <v>675</v>
      </c>
      <c r="E90" s="885">
        <v>0.2</v>
      </c>
      <c r="F90" s="872">
        <v>30</v>
      </c>
    </row>
    <row r="91" spans="1:6" s="868" customFormat="1" ht="36">
      <c r="A91" s="872">
        <v>31</v>
      </c>
      <c r="B91" s="3775"/>
      <c r="C91" s="808" t="s">
        <v>676</v>
      </c>
      <c r="D91" s="808" t="s">
        <v>677</v>
      </c>
      <c r="E91" s="885">
        <v>0.2</v>
      </c>
      <c r="F91" s="872">
        <v>30</v>
      </c>
    </row>
    <row r="92" spans="1:6" s="868" customFormat="1" ht="24">
      <c r="A92" s="872">
        <v>32</v>
      </c>
      <c r="B92" s="3775" t="s">
        <v>678</v>
      </c>
      <c r="C92" s="872" t="s">
        <v>679</v>
      </c>
      <c r="D92" s="808" t="s">
        <v>680</v>
      </c>
      <c r="E92" s="885">
        <v>0.2</v>
      </c>
      <c r="F92" s="872">
        <v>30</v>
      </c>
    </row>
    <row r="93" spans="1:6" s="868" customFormat="1" ht="36">
      <c r="A93" s="872">
        <v>33</v>
      </c>
      <c r="B93" s="3775"/>
      <c r="C93" s="872" t="s">
        <v>681</v>
      </c>
      <c r="D93" s="808" t="s">
        <v>682</v>
      </c>
      <c r="E93" s="885">
        <v>0.2</v>
      </c>
      <c r="F93" s="872">
        <v>30</v>
      </c>
    </row>
    <row r="94" spans="1:6" s="868" customFormat="1" ht="48">
      <c r="A94" s="872">
        <v>34</v>
      </c>
      <c r="B94" s="3775"/>
      <c r="C94" s="872" t="s">
        <v>683</v>
      </c>
      <c r="D94" s="808" t="s">
        <v>684</v>
      </c>
      <c r="E94" s="885">
        <v>0.2</v>
      </c>
      <c r="F94" s="872">
        <v>30</v>
      </c>
    </row>
    <row r="95" spans="1:6" s="868" customFormat="1" ht="36">
      <c r="A95" s="872">
        <v>35</v>
      </c>
      <c r="B95" s="3775"/>
      <c r="C95" s="872" t="s">
        <v>685</v>
      </c>
      <c r="D95" s="808" t="s">
        <v>686</v>
      </c>
      <c r="E95" s="885">
        <v>0.2</v>
      </c>
      <c r="F95" s="872">
        <v>30</v>
      </c>
    </row>
    <row r="96" spans="1:6" s="868" customFormat="1" ht="48">
      <c r="A96" s="872">
        <v>36</v>
      </c>
      <c r="B96" s="3775"/>
      <c r="C96" s="808" t="s">
        <v>687</v>
      </c>
      <c r="D96" s="808" t="s">
        <v>688</v>
      </c>
      <c r="E96" s="885">
        <v>0.2</v>
      </c>
      <c r="F96" s="872">
        <v>30</v>
      </c>
    </row>
    <row r="97" spans="1:6" s="868" customFormat="1" ht="36">
      <c r="A97" s="872">
        <v>37</v>
      </c>
      <c r="B97" s="3775"/>
      <c r="C97" s="872" t="s">
        <v>689</v>
      </c>
      <c r="D97" s="808" t="s">
        <v>690</v>
      </c>
      <c r="E97" s="885">
        <v>0.2</v>
      </c>
      <c r="F97" s="872">
        <v>30</v>
      </c>
    </row>
    <row r="98" spans="1:6" s="868" customFormat="1" ht="36">
      <c r="A98" s="872">
        <v>38</v>
      </c>
      <c r="B98" s="3775"/>
      <c r="C98" s="872" t="s">
        <v>691</v>
      </c>
      <c r="D98" s="808" t="s">
        <v>692</v>
      </c>
      <c r="E98" s="885">
        <v>0.2</v>
      </c>
      <c r="F98" s="872">
        <v>30</v>
      </c>
    </row>
    <row r="99" spans="1:6" s="868" customFormat="1" ht="36">
      <c r="A99" s="872">
        <v>39</v>
      </c>
      <c r="B99" s="3775" t="s">
        <v>693</v>
      </c>
      <c r="C99" s="872" t="s">
        <v>694</v>
      </c>
      <c r="D99" s="808" t="s">
        <v>695</v>
      </c>
      <c r="E99" s="885">
        <v>0.3</v>
      </c>
      <c r="F99" s="872">
        <v>50</v>
      </c>
    </row>
    <row r="100" spans="1:6" s="868" customFormat="1" ht="24">
      <c r="A100" s="872">
        <v>40</v>
      </c>
      <c r="B100" s="3775"/>
      <c r="C100" s="872" t="s">
        <v>696</v>
      </c>
      <c r="D100" s="808" t="s">
        <v>697</v>
      </c>
      <c r="E100" s="885">
        <v>0.2</v>
      </c>
      <c r="F100" s="872">
        <v>30</v>
      </c>
    </row>
    <row r="101" spans="1:6" s="868" customFormat="1" ht="36">
      <c r="A101" s="872">
        <v>41</v>
      </c>
      <c r="B101" s="3775"/>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75" t="s">
        <v>708</v>
      </c>
      <c r="C105" s="872" t="s">
        <v>709</v>
      </c>
      <c r="D105" s="808" t="s">
        <v>710</v>
      </c>
      <c r="E105" s="885">
        <v>0.2</v>
      </c>
      <c r="F105" s="872">
        <v>30</v>
      </c>
    </row>
    <row r="106" spans="1:6" s="868" customFormat="1" ht="36">
      <c r="A106" s="872">
        <v>46</v>
      </c>
      <c r="B106" s="3775"/>
      <c r="C106" s="872" t="s">
        <v>711</v>
      </c>
      <c r="D106" s="808" t="s">
        <v>712</v>
      </c>
      <c r="E106" s="885">
        <v>0.2</v>
      </c>
      <c r="F106" s="872">
        <v>30</v>
      </c>
    </row>
    <row r="107" spans="1:6" s="868" customFormat="1" ht="36">
      <c r="A107" s="872">
        <v>47</v>
      </c>
      <c r="B107" s="3775" t="s">
        <v>713</v>
      </c>
      <c r="C107" s="872" t="s">
        <v>714</v>
      </c>
      <c r="D107" s="808" t="s">
        <v>715</v>
      </c>
      <c r="E107" s="885">
        <v>0.3</v>
      </c>
      <c r="F107" s="872">
        <v>50</v>
      </c>
    </row>
    <row r="108" spans="1:6" s="868" customFormat="1" ht="36">
      <c r="A108" s="872">
        <v>48</v>
      </c>
      <c r="B108" s="3775"/>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75" t="s">
        <v>724</v>
      </c>
      <c r="C111" s="872" t="s">
        <v>725</v>
      </c>
      <c r="D111" s="808" t="s">
        <v>726</v>
      </c>
      <c r="E111" s="885">
        <v>0.2</v>
      </c>
      <c r="F111" s="872">
        <v>30</v>
      </c>
    </row>
    <row r="112" spans="1:6" s="868" customFormat="1" ht="24">
      <c r="A112" s="872">
        <v>52</v>
      </c>
      <c r="B112" s="3775"/>
      <c r="C112" s="872" t="s">
        <v>727</v>
      </c>
      <c r="D112" s="808" t="s">
        <v>728</v>
      </c>
      <c r="E112" s="885">
        <v>0.2</v>
      </c>
      <c r="F112" s="872">
        <v>30</v>
      </c>
    </row>
    <row r="113" spans="1:6" s="868" customFormat="1" ht="24">
      <c r="A113" s="872">
        <v>53</v>
      </c>
      <c r="B113" s="3775"/>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75" t="s">
        <v>737</v>
      </c>
      <c r="C116" s="872" t="s">
        <v>738</v>
      </c>
      <c r="D116" s="808" t="s">
        <v>739</v>
      </c>
      <c r="E116" s="885">
        <v>0.2</v>
      </c>
      <c r="F116" s="872">
        <v>30</v>
      </c>
    </row>
    <row r="117" spans="1:6" ht="36">
      <c r="A117" s="872">
        <v>57</v>
      </c>
      <c r="B117" s="3775"/>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1.1453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43" t="str">
        <f>IF(项目基本情况!B9="房地产市场价值","估价结果一览表","结果表-2")</f>
        <v>结果表-2</v>
      </c>
      <c r="B1" s="3443"/>
      <c r="C1" s="3443"/>
      <c r="D1" s="3443"/>
      <c r="E1" s="3443"/>
      <c r="F1" s="3443"/>
      <c r="G1" s="3443"/>
      <c r="H1" s="3443"/>
      <c r="I1" s="3443"/>
    </row>
    <row r="2" spans="1:9" ht="30" customHeight="1" thickTop="1">
      <c r="A2" s="3444" t="s">
        <v>1629</v>
      </c>
      <c r="B2" s="3444" t="s">
        <v>1630</v>
      </c>
      <c r="C2" s="3444" t="s">
        <v>1631</v>
      </c>
      <c r="D2" s="3444" t="str">
        <f>结果表!D116</f>
        <v>出让国有建设用地使用权价值</v>
      </c>
      <c r="E2" s="3444"/>
      <c r="F2" s="3444" t="str">
        <f>结果表!F116</f>
        <v>在建建筑物价值</v>
      </c>
      <c r="G2" s="3444"/>
      <c r="H2" s="3444" t="str">
        <f>IF(项目基本情况!B9="房地产市场价值","房地产市场价值","房地产价值")</f>
        <v>房地产价值</v>
      </c>
      <c r="I2" s="3444"/>
    </row>
    <row r="3" spans="1:9" ht="15">
      <c r="A3" s="3438"/>
      <c r="B3" s="3438"/>
      <c r="C3" s="3438"/>
      <c r="D3" s="1034" t="s">
        <v>1626</v>
      </c>
      <c r="E3" s="1034" t="s">
        <v>1632</v>
      </c>
      <c r="F3" s="1034" t="s">
        <v>1626</v>
      </c>
      <c r="G3" s="1034" t="s">
        <v>1627</v>
      </c>
      <c r="H3" s="1034" t="s">
        <v>1626</v>
      </c>
      <c r="I3" s="1034" t="s">
        <v>1627</v>
      </c>
    </row>
    <row r="4" spans="1:9" ht="30">
      <c r="A4" s="1952" t="str">
        <f>项目基本情况!S2</f>
        <v>山东省聊城万达欢乐小镇（万达广场）二层房地产</v>
      </c>
      <c r="B4" s="1034">
        <f>项目基本情况!C17</f>
        <v>24348.570000000003</v>
      </c>
      <c r="C4" s="1034">
        <f>项目基本情况!C18</f>
        <v>15134.65</v>
      </c>
      <c r="D4" s="1034" t="e">
        <f ca="1">结果表!D118</f>
        <v>#REF!</v>
      </c>
      <c r="E4" s="1034" t="e">
        <f ca="1">结果表!E118</f>
        <v>#REF!</v>
      </c>
      <c r="F4" s="1034" t="e">
        <f ca="1">结果表!F118</f>
        <v>#REF!</v>
      </c>
      <c r="G4" s="1034" t="e">
        <f ca="1">结果表!G118</f>
        <v>#REF!</v>
      </c>
      <c r="H4" s="1034">
        <f ca="1">结果表!H118</f>
        <v>41072</v>
      </c>
      <c r="I4" s="1034">
        <f ca="1">结果表!I118</f>
        <v>16868</v>
      </c>
    </row>
    <row r="5" spans="1:9" ht="30" customHeight="1">
      <c r="A5" s="3438" t="s">
        <v>1628</v>
      </c>
      <c r="B5" s="3438"/>
      <c r="C5" s="3438"/>
      <c r="D5" s="3439" t="e">
        <f ca="1">结果表!D119</f>
        <v>#REF!</v>
      </c>
      <c r="E5" s="3439"/>
      <c r="F5" s="3439" t="e">
        <f ca="1">结果表!F119</f>
        <v>#REF!</v>
      </c>
      <c r="G5" s="3439"/>
      <c r="H5" s="3439" t="str">
        <f ca="1">结果表!H119</f>
        <v>肆亿壹仟零柒拾贰万元整</v>
      </c>
      <c r="I5" s="3439"/>
    </row>
    <row r="6" spans="1:9" ht="15.75">
      <c r="A6" s="3437" t="str">
        <f>结果表!A120</f>
        <v>估价师知悉的法定优先受偿款</v>
      </c>
      <c r="B6" s="3437"/>
      <c r="C6" s="3437"/>
      <c r="D6" s="3437">
        <f>结果表!D120</f>
        <v>0</v>
      </c>
      <c r="E6" s="3437"/>
      <c r="F6" s="3437"/>
      <c r="G6" s="3437"/>
      <c r="H6" s="3437"/>
      <c r="I6" s="3437"/>
    </row>
    <row r="7" spans="1:9" ht="15">
      <c r="A7" s="3438" t="s">
        <v>1628</v>
      </c>
      <c r="B7" s="3438"/>
      <c r="C7" s="3438"/>
      <c r="D7" s="3440" t="str">
        <f>结果表!D121</f>
        <v>零元整</v>
      </c>
      <c r="E7" s="3441"/>
      <c r="F7" s="3441"/>
      <c r="G7" s="3441"/>
      <c r="H7" s="3441"/>
      <c r="I7" s="3442"/>
    </row>
    <row r="8" spans="1:9" ht="15.75">
      <c r="A8" s="3437" t="str">
        <f>结果表!A122</f>
        <v>房地产抵押价值</v>
      </c>
      <c r="B8" s="3437"/>
      <c r="C8" s="3437"/>
      <c r="D8" s="3437">
        <f ca="1">结果表!D122</f>
        <v>41072</v>
      </c>
      <c r="E8" s="3437"/>
      <c r="F8" s="3437"/>
      <c r="G8" s="3437"/>
      <c r="H8" s="3437"/>
      <c r="I8" s="3437"/>
    </row>
    <row r="9" spans="1:9" ht="15">
      <c r="A9" s="3438" t="s">
        <v>1628</v>
      </c>
      <c r="B9" s="3438"/>
      <c r="C9" s="3438"/>
      <c r="D9" s="3439" t="str">
        <f ca="1">结果表!D123</f>
        <v>肆亿壹仟零柒拾贰万元整</v>
      </c>
      <c r="E9" s="3439"/>
      <c r="F9" s="3439"/>
      <c r="G9" s="3439"/>
      <c r="H9" s="3439"/>
      <c r="I9" s="3439"/>
    </row>
    <row r="10" spans="1:9" ht="15.75">
      <c r="A10" s="3437" t="str">
        <f>结果表!A124</f>
        <v/>
      </c>
      <c r="B10" s="3437"/>
      <c r="C10" s="3437"/>
      <c r="D10" s="3437" t="str">
        <f>结果表!D124</f>
        <v>——</v>
      </c>
      <c r="E10" s="3437"/>
      <c r="F10" s="3437"/>
      <c r="G10" s="3437"/>
      <c r="H10" s="3437"/>
      <c r="I10" s="3437"/>
    </row>
    <row r="11" spans="1:9" ht="15">
      <c r="A11" s="3438" t="s">
        <v>1628</v>
      </c>
      <c r="B11" s="3438"/>
      <c r="C11" s="3438"/>
      <c r="D11" s="3439" t="e">
        <f>结果表!D125</f>
        <v>#VALUE!</v>
      </c>
      <c r="E11" s="3439"/>
      <c r="F11" s="3439"/>
      <c r="G11" s="3439"/>
      <c r="H11" s="3439"/>
      <c r="I11" s="3439"/>
    </row>
    <row r="12" spans="1:9" ht="15.75">
      <c r="A12" s="3437" t="str">
        <f>结果表!A126</f>
        <v/>
      </c>
      <c r="B12" s="3437"/>
      <c r="C12" s="3437"/>
      <c r="D12" s="3437" t="str">
        <f>结果表!D126</f>
        <v>——</v>
      </c>
      <c r="E12" s="3437"/>
      <c r="F12" s="3437"/>
      <c r="G12" s="3437"/>
      <c r="H12" s="3437"/>
      <c r="I12" s="3437"/>
    </row>
    <row r="13" spans="1:9" ht="15.75" thickBot="1">
      <c r="A13" s="3434" t="s">
        <v>1628</v>
      </c>
      <c r="B13" s="3434"/>
      <c r="C13" s="3434"/>
      <c r="D13" s="3435" t="e">
        <f>结果表!D127</f>
        <v>#VALUE!</v>
      </c>
      <c r="E13" s="3435"/>
      <c r="F13" s="3435"/>
      <c r="G13" s="3435"/>
      <c r="H13" s="3435"/>
      <c r="I13" s="3435"/>
    </row>
    <row r="14" spans="1:9" ht="15" thickTop="1">
      <c r="A14" s="3436" t="s">
        <v>1633</v>
      </c>
      <c r="B14" s="3436"/>
      <c r="C14" s="3436"/>
      <c r="D14" s="3436"/>
      <c r="E14" s="3436"/>
      <c r="F14" s="3436"/>
      <c r="G14" s="3436"/>
      <c r="H14" s="3436"/>
      <c r="I14" s="3436"/>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3" t="s">
        <v>2980</v>
      </c>
    </row>
    <row r="2" spans="1:5" ht="15.75">
      <c r="A2" s="2872" t="s">
        <v>2972</v>
      </c>
      <c r="B2" s="2873" t="e">
        <f ca="1">SUMIF(B6:B13,"&lt;&gt;#ref!",B6:B13)</f>
        <v>#DIV/0!</v>
      </c>
      <c r="C2" s="2872" t="s">
        <v>2973</v>
      </c>
      <c r="D2" s="2872" t="s">
        <v>2974</v>
      </c>
      <c r="E2" s="2873">
        <f ca="1">SUMIF(E6:E13,"&lt;&gt;#ref!",E6:E13)</f>
        <v>0</v>
      </c>
    </row>
    <row r="3" spans="1:5" ht="15.75">
      <c r="A3" s="2872" t="s">
        <v>2975</v>
      </c>
      <c r="B3" s="2873" t="e">
        <f ca="1">ROUND(B2*10000/E2,0)</f>
        <v>#DIV/0!</v>
      </c>
      <c r="C3" s="2872" t="s">
        <v>2981</v>
      </c>
      <c r="D3" s="2874"/>
      <c r="E3" s="2874"/>
    </row>
    <row r="4" spans="1:5" ht="15.75">
      <c r="A4" s="2875"/>
      <c r="B4" s="2874"/>
      <c r="C4" s="2874"/>
      <c r="D4" s="2874"/>
      <c r="E4" s="2874"/>
    </row>
    <row r="5" spans="1:5" ht="28.5">
      <c r="A5" s="2876" t="s">
        <v>2976</v>
      </c>
      <c r="B5" s="2872" t="s">
        <v>2977</v>
      </c>
      <c r="C5" s="2873"/>
      <c r="D5" s="2874"/>
      <c r="E5" s="2872" t="s">
        <v>2978</v>
      </c>
    </row>
    <row r="6" spans="1:5" ht="15.75">
      <c r="A6" s="2877" t="s">
        <v>2979</v>
      </c>
      <c r="B6" s="2873" t="e">
        <f ca="1">SUMIF(INDIRECT("'"&amp;A6&amp;"'"&amp;"!A:A"),"总价",INDIRECT("'"&amp;A6&amp;"'"&amp;"!B:B"))</f>
        <v>#DIV/0!</v>
      </c>
      <c r="C6" s="2872" t="s">
        <v>2973</v>
      </c>
      <c r="D6" s="2874"/>
      <c r="E6" s="2547">
        <f ca="1">SUMIF(INDIRECT("'"&amp;A6&amp;"'"&amp;"!C:C"),"建筑面积",INDIRECT("'"&amp;A6&amp;"'"&amp;"!D:D"))</f>
        <v>0</v>
      </c>
    </row>
    <row r="7" spans="1:5" ht="15.75">
      <c r="A7" s="2877"/>
      <c r="B7" s="2873" t="e">
        <f ca="1">SUMIF(INDIRECT("'"&amp;A7&amp;"'"&amp;"!A:A"),"总价",INDIRECT("'"&amp;A7&amp;"'"&amp;"!B:B"))</f>
        <v>#REF!</v>
      </c>
      <c r="C7" s="2872" t="s">
        <v>2973</v>
      </c>
      <c r="D7" s="2874"/>
      <c r="E7" s="2547" t="e">
        <f t="shared" ref="E7:E13" ca="1" si="0">SUMIF(INDIRECT("'"&amp;A7&amp;"'"&amp;"!C:C"),"建筑面积",INDIRECT("'"&amp;A7&amp;"'"&amp;"!D:D"))</f>
        <v>#REF!</v>
      </c>
    </row>
    <row r="8" spans="1:5" ht="15.75">
      <c r="A8" s="2877"/>
      <c r="B8" s="2873" t="e">
        <f t="shared" ref="B8:B13" ca="1" si="1">SUMIF(INDIRECT("'"&amp;A8&amp;"'"&amp;"!A:A"),"总价",INDIRECT("'"&amp;A8&amp;"'"&amp;"!B:B"))</f>
        <v>#REF!</v>
      </c>
      <c r="C8" s="2872" t="s">
        <v>2973</v>
      </c>
      <c r="D8" s="2874"/>
      <c r="E8" s="2547" t="e">
        <f t="shared" ca="1" si="0"/>
        <v>#REF!</v>
      </c>
    </row>
    <row r="9" spans="1:5" ht="15.75">
      <c r="A9" s="2877"/>
      <c r="B9" s="2873" t="e">
        <f t="shared" ca="1" si="1"/>
        <v>#REF!</v>
      </c>
      <c r="C9" s="2872" t="s">
        <v>2973</v>
      </c>
      <c r="D9" s="2874"/>
      <c r="E9" s="2547" t="e">
        <f t="shared" ca="1" si="0"/>
        <v>#REF!</v>
      </c>
    </row>
    <row r="10" spans="1:5" ht="15.75">
      <c r="A10" s="2877"/>
      <c r="B10" s="2873" t="e">
        <f t="shared" ca="1" si="1"/>
        <v>#REF!</v>
      </c>
      <c r="C10" s="2872" t="s">
        <v>2973</v>
      </c>
      <c r="D10" s="2874"/>
      <c r="E10" s="2547" t="e">
        <f t="shared" ca="1" si="0"/>
        <v>#REF!</v>
      </c>
    </row>
    <row r="11" spans="1:5" ht="15.75">
      <c r="A11" s="2877"/>
      <c r="B11" s="2873" t="e">
        <f t="shared" ca="1" si="1"/>
        <v>#REF!</v>
      </c>
      <c r="C11" s="2872" t="s">
        <v>2973</v>
      </c>
      <c r="D11" s="2874"/>
      <c r="E11" s="2547" t="e">
        <f t="shared" ca="1" si="0"/>
        <v>#REF!</v>
      </c>
    </row>
    <row r="12" spans="1:5" ht="15.75">
      <c r="A12" s="2877"/>
      <c r="B12" s="2873" t="e">
        <f t="shared" ca="1" si="1"/>
        <v>#REF!</v>
      </c>
      <c r="C12" s="2872" t="s">
        <v>2973</v>
      </c>
      <c r="D12" s="2874"/>
      <c r="E12" s="2547" t="e">
        <f t="shared" ca="1" si="0"/>
        <v>#REF!</v>
      </c>
    </row>
    <row r="13" spans="1:5" ht="15.75">
      <c r="A13" s="2877"/>
      <c r="B13" s="2873" t="e">
        <f t="shared" ca="1" si="1"/>
        <v>#REF!</v>
      </c>
      <c r="C13" s="2872" t="s">
        <v>2973</v>
      </c>
      <c r="D13" s="2874"/>
      <c r="E13" s="254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3600</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294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3631</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2929" t="s">
        <v>1406</v>
      </c>
      <c r="E14" s="2924"/>
      <c r="F14" s="364"/>
      <c r="G14" s="1831"/>
      <c r="H14" s="1183" t="s">
        <v>1032</v>
      </c>
      <c r="I14" s="347" t="s">
        <v>1407</v>
      </c>
      <c r="J14" s="24" t="e">
        <f ca="1">C29</f>
        <v>#N/A</v>
      </c>
      <c r="K14" s="294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2931"/>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2929" t="s">
        <v>1418</v>
      </c>
      <c r="L17" s="292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292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2938"/>
      <c r="F19" s="26"/>
      <c r="G19" s="1831"/>
      <c r="H19" s="1183" t="s">
        <v>1033</v>
      </c>
      <c r="I19" s="347" t="s">
        <v>1425</v>
      </c>
      <c r="J19" s="24" t="e">
        <f ca="1">IF(K19="按租金收入计税",ROUND(J6*M19/(1+'数据-取费表'!C42),2),ROUND(C29*M19*0.7,2))</f>
        <v>#N/A</v>
      </c>
      <c r="K19" s="1808" t="s">
        <v>1426</v>
      </c>
      <c r="L19" s="347" t="s">
        <v>1410</v>
      </c>
      <c r="M19" s="367">
        <f>IF(K19="按租金收入计税",'数据-取费表'!B51,'数据-取费表'!B50)</f>
        <v>1.2E-2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8"/>
      <c r="F22" s="26"/>
      <c r="G22" s="1831"/>
      <c r="H22" s="1183" t="s">
        <v>1036</v>
      </c>
      <c r="I22" s="347" t="s">
        <v>1437</v>
      </c>
      <c r="J22" s="24" t="e">
        <f ca="1">ROUND(J14*M22,1)</f>
        <v>#N/A</v>
      </c>
      <c r="K22" s="2927"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2927"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2931"/>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2929" t="s">
        <v>1418</v>
      </c>
      <c r="E31" s="292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292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3642</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2927"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2927" t="s">
        <v>1442</v>
      </c>
      <c r="E37" s="347" t="s">
        <v>1410</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293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2933"/>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2933"/>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792" t="s">
        <v>1073</v>
      </c>
      <c r="B1" s="3793"/>
      <c r="C1" s="3794"/>
      <c r="D1" s="3795">
        <f>SUM(I10,I15,I20,I21,I23)</f>
        <v>5522</v>
      </c>
      <c r="E1" s="3795"/>
      <c r="F1" s="3795"/>
      <c r="G1" s="3795"/>
      <c r="H1" s="3795"/>
      <c r="I1" s="3796"/>
    </row>
    <row r="2" spans="1:16">
      <c r="A2" s="3782" t="s">
        <v>1074</v>
      </c>
      <c r="B2" s="3783" t="s">
        <v>1075</v>
      </c>
      <c r="C2" s="3783"/>
      <c r="D2" s="1283" t="s">
        <v>1076</v>
      </c>
      <c r="E2" s="1283" t="s">
        <v>1077</v>
      </c>
      <c r="F2" s="1283" t="s">
        <v>1078</v>
      </c>
      <c r="G2" s="1283" t="s">
        <v>1079</v>
      </c>
      <c r="H2" s="1283" t="s">
        <v>1080</v>
      </c>
      <c r="I2" s="1284" t="s">
        <v>1081</v>
      </c>
    </row>
    <row r="3" spans="1:16" ht="15.75">
      <c r="A3" s="3782"/>
      <c r="B3" s="3797" t="s">
        <v>3608</v>
      </c>
      <c r="C3" s="3798"/>
      <c r="D3" s="3389">
        <v>198</v>
      </c>
      <c r="E3" s="3389">
        <v>500</v>
      </c>
      <c r="F3" s="3390">
        <v>1</v>
      </c>
      <c r="G3" s="3390">
        <v>0.9</v>
      </c>
      <c r="H3" s="1287">
        <v>365</v>
      </c>
      <c r="I3" s="1288">
        <f>ROUND(D3*E3*F3*G3*H3/10000,0)</f>
        <v>3252</v>
      </c>
    </row>
    <row r="4" spans="1:16" ht="15.75">
      <c r="A4" s="3782"/>
      <c r="B4" s="3797" t="s">
        <v>3609</v>
      </c>
      <c r="C4" s="3798"/>
      <c r="D4" s="3389">
        <v>86</v>
      </c>
      <c r="E4" s="3389">
        <v>520</v>
      </c>
      <c r="F4" s="3390">
        <v>1</v>
      </c>
      <c r="G4" s="3390">
        <v>0.85</v>
      </c>
      <c r="H4" s="1287">
        <v>365</v>
      </c>
      <c r="I4" s="1288">
        <f t="shared" ref="I4:I9" si="0">ROUND(D4*E4*F4*G4*H4/10000,0)</f>
        <v>1387</v>
      </c>
    </row>
    <row r="5" spans="1:16" ht="15.75">
      <c r="A5" s="3782"/>
      <c r="B5" s="3797" t="s">
        <v>3610</v>
      </c>
      <c r="C5" s="3798"/>
      <c r="D5" s="3389">
        <v>9</v>
      </c>
      <c r="E5" s="3389">
        <v>900</v>
      </c>
      <c r="F5" s="3390">
        <v>1</v>
      </c>
      <c r="G5" s="3390">
        <v>0.77</v>
      </c>
      <c r="H5" s="1287">
        <v>365</v>
      </c>
      <c r="I5" s="1288">
        <f t="shared" si="0"/>
        <v>228</v>
      </c>
      <c r="K5" s="3385" t="s">
        <v>3601</v>
      </c>
      <c r="L5" s="3385" t="s">
        <v>3602</v>
      </c>
      <c r="M5" s="3385" t="s">
        <v>3603</v>
      </c>
      <c r="N5" s="3385" t="s">
        <v>3604</v>
      </c>
      <c r="O5" s="3385" t="s">
        <v>3605</v>
      </c>
      <c r="P5" s="3385" t="s">
        <v>3606</v>
      </c>
    </row>
    <row r="6" spans="1:16" ht="15.75">
      <c r="A6" s="3782"/>
      <c r="B6" s="3797" t="s">
        <v>3611</v>
      </c>
      <c r="C6" s="3798"/>
      <c r="D6" s="3389">
        <v>20</v>
      </c>
      <c r="E6" s="3389">
        <v>580</v>
      </c>
      <c r="F6" s="3390">
        <v>1</v>
      </c>
      <c r="G6" s="3390">
        <v>0.85</v>
      </c>
      <c r="H6" s="1287">
        <v>365</v>
      </c>
      <c r="I6" s="1288">
        <f t="shared" si="0"/>
        <v>360</v>
      </c>
      <c r="K6" s="3385">
        <v>2016</v>
      </c>
      <c r="L6" s="3385">
        <v>311</v>
      </c>
      <c r="M6" s="3386">
        <v>0.88800000000000001</v>
      </c>
      <c r="N6" s="3385">
        <v>414.84</v>
      </c>
      <c r="O6" s="3387">
        <v>5026.97</v>
      </c>
      <c r="P6" s="3388">
        <v>2381.44</v>
      </c>
    </row>
    <row r="7" spans="1:16">
      <c r="A7" s="3782"/>
      <c r="B7" s="3783"/>
      <c r="C7" s="3783"/>
      <c r="D7" s="1285"/>
      <c r="E7" s="1283"/>
      <c r="F7" s="1286"/>
      <c r="G7" s="1286"/>
      <c r="H7" s="1287"/>
      <c r="I7" s="1288">
        <f t="shared" si="0"/>
        <v>0</v>
      </c>
      <c r="K7" s="3385">
        <v>2017</v>
      </c>
      <c r="L7" s="3385">
        <v>313</v>
      </c>
      <c r="M7" s="3386">
        <v>0.86260000000000003</v>
      </c>
      <c r="N7" s="3385">
        <v>432.99</v>
      </c>
      <c r="O7" s="3387">
        <v>4763.54</v>
      </c>
      <c r="P7" s="3388">
        <v>2186.4299999999998</v>
      </c>
    </row>
    <row r="8" spans="1:16">
      <c r="A8" s="3782"/>
      <c r="B8" s="3783"/>
      <c r="C8" s="3783"/>
      <c r="D8" s="1285"/>
      <c r="E8" s="1283"/>
      <c r="F8" s="1286"/>
      <c r="G8" s="1286"/>
      <c r="H8" s="1287"/>
      <c r="I8" s="1288">
        <f t="shared" si="0"/>
        <v>0</v>
      </c>
      <c r="K8" s="3385">
        <v>2018</v>
      </c>
      <c r="L8" s="3385">
        <v>313</v>
      </c>
      <c r="M8" s="3386">
        <v>0.85750000000000004</v>
      </c>
      <c r="N8" s="3385">
        <v>490.61</v>
      </c>
      <c r="O8" s="3387">
        <v>5636.54</v>
      </c>
      <c r="P8" s="3388">
        <v>2910.75</v>
      </c>
    </row>
    <row r="9" spans="1:16">
      <c r="A9" s="3782"/>
      <c r="B9" s="3783"/>
      <c r="C9" s="3783"/>
      <c r="D9" s="1285"/>
      <c r="E9" s="1283"/>
      <c r="F9" s="1286"/>
      <c r="G9" s="1286"/>
      <c r="H9" s="1287"/>
      <c r="I9" s="1288">
        <f t="shared" si="0"/>
        <v>0</v>
      </c>
      <c r="K9" s="3385" t="s">
        <v>3607</v>
      </c>
      <c r="L9" s="3385">
        <v>313</v>
      </c>
      <c r="M9" s="3386">
        <v>0.89019999999999999</v>
      </c>
      <c r="N9" s="3385">
        <v>489.52</v>
      </c>
      <c r="O9" s="3387">
        <v>4419.04</v>
      </c>
      <c r="P9" s="3388">
        <v>2299.9899999999998</v>
      </c>
    </row>
    <row r="10" spans="1:16">
      <c r="A10" s="3782"/>
      <c r="B10" s="3784" t="s">
        <v>1082</v>
      </c>
      <c r="C10" s="3784"/>
      <c r="D10" s="1289"/>
      <c r="E10" s="1289" t="e">
        <f>ROUND(D1*10000/D10/H9,0)</f>
        <v>#DIV/0!</v>
      </c>
      <c r="F10" s="1290"/>
      <c r="G10" s="1290"/>
      <c r="H10" s="1291">
        <v>365</v>
      </c>
      <c r="I10" s="1292">
        <f>SUM(I3:I9)</f>
        <v>5227</v>
      </c>
    </row>
    <row r="11" spans="1:16" ht="14.25">
      <c r="A11" s="3782" t="s">
        <v>1083</v>
      </c>
      <c r="B11" s="3783" t="s">
        <v>1084</v>
      </c>
      <c r="C11" s="3783"/>
      <c r="D11" s="1285" t="s">
        <v>1085</v>
      </c>
      <c r="E11" s="1285" t="s">
        <v>1086</v>
      </c>
      <c r="F11" s="1286" t="s">
        <v>1087</v>
      </c>
      <c r="G11" s="1286" t="s">
        <v>1080</v>
      </c>
      <c r="H11" s="1293" t="s">
        <v>1</v>
      </c>
      <c r="I11" s="1284" t="s">
        <v>1081</v>
      </c>
    </row>
    <row r="12" spans="1:16">
      <c r="A12" s="3782"/>
      <c r="B12" s="3783" t="s">
        <v>1089</v>
      </c>
      <c r="C12" s="3783"/>
      <c r="D12" s="1285">
        <f>40*2</f>
        <v>80</v>
      </c>
      <c r="E12" s="1285">
        <v>108</v>
      </c>
      <c r="F12" s="1286">
        <v>0.8</v>
      </c>
      <c r="G12" s="1287">
        <v>365</v>
      </c>
      <c r="H12" s="1294"/>
      <c r="I12" s="1284">
        <f>ROUND(D12*E12*F12*G12/10000,0)</f>
        <v>252</v>
      </c>
    </row>
    <row r="13" spans="1:16">
      <c r="A13" s="3782"/>
      <c r="B13" s="3783" t="s">
        <v>1090</v>
      </c>
      <c r="C13" s="3783"/>
      <c r="D13" s="1285"/>
      <c r="E13" s="1285"/>
      <c r="F13" s="1286"/>
      <c r="G13" s="1287"/>
      <c r="H13" s="1294"/>
      <c r="I13" s="1284">
        <f>ROUND(D13*E13*F13*G13/10000,0)</f>
        <v>0</v>
      </c>
    </row>
    <row r="14" spans="1:16">
      <c r="A14" s="3782"/>
      <c r="B14" s="3783" t="s">
        <v>1091</v>
      </c>
      <c r="C14" s="3783"/>
      <c r="D14" s="1285"/>
      <c r="E14" s="1285"/>
      <c r="F14" s="1286"/>
      <c r="G14" s="1287"/>
      <c r="H14" s="1294"/>
      <c r="I14" s="1284">
        <f>ROUND(D14*E14*F14*G14/10000,0)</f>
        <v>0</v>
      </c>
      <c r="N14">
        <f>D3*G3+D4*G4+D5*G5+D6*G6</f>
        <v>275.23</v>
      </c>
    </row>
    <row r="15" spans="1:16">
      <c r="A15" s="3782"/>
      <c r="B15" s="3784" t="s">
        <v>1082</v>
      </c>
      <c r="C15" s="3784"/>
      <c r="D15" s="1289"/>
      <c r="E15" s="1289">
        <f>SUM(E12:E14)</f>
        <v>108</v>
      </c>
      <c r="F15" s="1290"/>
      <c r="G15" s="1287"/>
      <c r="H15" s="1294"/>
      <c r="I15" s="1295">
        <f>SUM(I12:I14)</f>
        <v>252</v>
      </c>
      <c r="N15">
        <f>N14/L9</f>
        <v>0.87932907348242817</v>
      </c>
    </row>
    <row r="16" spans="1:16" ht="24">
      <c r="A16" s="3782" t="s">
        <v>1092</v>
      </c>
      <c r="B16" s="3783" t="s">
        <v>1093</v>
      </c>
      <c r="C16" s="3783"/>
      <c r="D16" s="1285" t="s">
        <v>1076</v>
      </c>
      <c r="E16" s="1296" t="s">
        <v>1094</v>
      </c>
      <c r="F16" s="1286" t="s">
        <v>1095</v>
      </c>
      <c r="G16" s="1287" t="s">
        <v>1080</v>
      </c>
      <c r="H16" s="1293" t="s">
        <v>1088</v>
      </c>
      <c r="I16" s="1284" t="s">
        <v>1081</v>
      </c>
    </row>
    <row r="17" spans="1:9" ht="14.25">
      <c r="A17" s="3782"/>
      <c r="B17" s="3783" t="s">
        <v>1096</v>
      </c>
      <c r="C17" s="3783"/>
      <c r="D17" s="1285">
        <v>1</v>
      </c>
      <c r="E17" s="1285">
        <v>6000</v>
      </c>
      <c r="F17" s="1286">
        <f>6*12/365</f>
        <v>0.19726027397260273</v>
      </c>
      <c r="G17" s="1287">
        <v>365</v>
      </c>
      <c r="H17" s="1297"/>
      <c r="I17" s="1298">
        <f>ROUND(D17*E17*F17*G17/10000,0)</f>
        <v>43</v>
      </c>
    </row>
    <row r="18" spans="1:9" ht="14.25">
      <c r="A18" s="3782"/>
      <c r="B18" s="3783" t="s">
        <v>1097</v>
      </c>
      <c r="C18" s="3783"/>
      <c r="D18" s="1285"/>
      <c r="E18" s="1285"/>
      <c r="F18" s="1286"/>
      <c r="G18" s="1287"/>
      <c r="H18" s="1297"/>
      <c r="I18" s="1298">
        <f>ROUND(D18*E18*F18*G18/10000,0)</f>
        <v>0</v>
      </c>
    </row>
    <row r="19" spans="1:9" ht="14.25">
      <c r="A19" s="3782"/>
      <c r="B19" s="3783" t="s">
        <v>1098</v>
      </c>
      <c r="C19" s="3783"/>
      <c r="D19" s="1285"/>
      <c r="E19" s="1285"/>
      <c r="F19" s="1286"/>
      <c r="G19" s="1287"/>
      <c r="H19" s="1297"/>
      <c r="I19" s="1298">
        <f>ROUND(D19*E19*F19*G19/10000,0)</f>
        <v>0</v>
      </c>
    </row>
    <row r="20" spans="1:9">
      <c r="A20" s="3782"/>
      <c r="B20" s="3784" t="s">
        <v>1082</v>
      </c>
      <c r="C20" s="3784"/>
      <c r="D20" s="1289">
        <f>SUM(D17:D19)</f>
        <v>1</v>
      </c>
      <c r="E20" s="1289"/>
      <c r="F20" s="1290"/>
      <c r="G20" s="1287"/>
      <c r="H20" s="1294"/>
      <c r="I20" s="1295">
        <f>SUM(I17:I19)</f>
        <v>43</v>
      </c>
    </row>
    <row r="21" spans="1:9">
      <c r="A21" s="3782" t="s">
        <v>1099</v>
      </c>
      <c r="B21" s="3785"/>
      <c r="C21" s="3785"/>
      <c r="D21" s="3785"/>
      <c r="E21" s="3785"/>
      <c r="F21" s="3785"/>
      <c r="G21" s="3785"/>
      <c r="H21" s="1745"/>
      <c r="I21" s="1292">
        <f>ROUND(I10*H21,0)</f>
        <v>0</v>
      </c>
    </row>
    <row r="22" spans="1:9" ht="14.25">
      <c r="A22" s="3786" t="s">
        <v>1100</v>
      </c>
      <c r="B22" s="3787"/>
      <c r="C22" s="3788"/>
      <c r="D22" s="1299" t="s">
        <v>1101</v>
      </c>
      <c r="E22" s="1299" t="s">
        <v>1102</v>
      </c>
      <c r="F22" s="1300" t="s">
        <v>1103</v>
      </c>
      <c r="G22" s="1300" t="s">
        <v>1104</v>
      </c>
      <c r="H22" s="1293" t="s">
        <v>1105</v>
      </c>
      <c r="I22" s="1284" t="s">
        <v>1106</v>
      </c>
    </row>
    <row r="23" spans="1:9" ht="14.25" thickBot="1">
      <c r="A23" s="3789"/>
      <c r="B23" s="3790"/>
      <c r="C23" s="3791"/>
      <c r="D23" s="1301"/>
      <c r="E23" s="1301"/>
      <c r="F23" s="1301"/>
      <c r="G23" s="1302"/>
      <c r="H23" s="1303"/>
      <c r="I23" s="1304">
        <f>ROUND(E23*D23*F23*(1-G23)/10000,0)</f>
        <v>0</v>
      </c>
    </row>
    <row r="26" spans="1:9">
      <c r="A26" s="1305" t="s">
        <v>1107</v>
      </c>
      <c r="B26" s="1305"/>
      <c r="C26" s="1305"/>
      <c r="D26" s="1305"/>
      <c r="E26" s="3779">
        <f>C27-C30-C31-C32</f>
        <v>3313.2000000000003</v>
      </c>
      <c r="F26" s="3779"/>
      <c r="G26" s="3779"/>
      <c r="H26" s="1717" t="s">
        <v>1329</v>
      </c>
    </row>
    <row r="27" spans="1:9">
      <c r="A27" s="1306">
        <v>1</v>
      </c>
      <c r="B27" s="1307" t="s">
        <v>1108</v>
      </c>
      <c r="C27" s="1307">
        <f>C28+C29</f>
        <v>5522</v>
      </c>
      <c r="D27" s="1307"/>
      <c r="E27" s="3780"/>
      <c r="F27" s="3780"/>
      <c r="G27" s="3780"/>
    </row>
    <row r="28" spans="1:9">
      <c r="A28" s="1308" t="s">
        <v>1109</v>
      </c>
      <c r="B28" s="1307" t="s">
        <v>1110</v>
      </c>
      <c r="C28" s="1307">
        <f>I10</f>
        <v>5227</v>
      </c>
      <c r="D28" s="1307"/>
      <c r="E28" s="3780"/>
      <c r="F28" s="3780"/>
      <c r="G28" s="3780"/>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81"/>
      <c r="F32" s="3781"/>
      <c r="G32" s="3781"/>
    </row>
    <row r="33" spans="1:7" hidden="1">
      <c r="A33" s="3776" t="s">
        <v>1119</v>
      </c>
      <c r="B33" s="3777"/>
      <c r="C33" s="3777"/>
      <c r="D33" s="3778"/>
      <c r="E33" s="3779"/>
      <c r="F33" s="3779"/>
      <c r="G33" s="3779"/>
    </row>
    <row r="34" spans="1:7" hidden="1">
      <c r="A34" s="1310">
        <v>1</v>
      </c>
      <c r="B34" s="1307" t="s">
        <v>1120</v>
      </c>
      <c r="C34" s="1307"/>
      <c r="D34" s="1307"/>
      <c r="E34" s="3780"/>
      <c r="F34" s="3780"/>
      <c r="G34" s="3780"/>
    </row>
    <row r="35" spans="1:7" hidden="1">
      <c r="A35" s="1310">
        <v>2</v>
      </c>
      <c r="B35" s="1307" t="s">
        <v>1121</v>
      </c>
      <c r="C35" s="1307"/>
      <c r="D35" s="1307"/>
      <c r="E35" s="3780"/>
      <c r="F35" s="3780"/>
      <c r="G35" s="3780"/>
    </row>
    <row r="36" spans="1:7" hidden="1">
      <c r="A36" s="1310">
        <v>3</v>
      </c>
      <c r="B36" s="1307" t="s">
        <v>1122</v>
      </c>
      <c r="C36" s="1307"/>
      <c r="D36" s="1307"/>
      <c r="E36" s="3780"/>
      <c r="F36" s="3780"/>
      <c r="G36" s="3780"/>
    </row>
    <row r="37" spans="1:7" hidden="1">
      <c r="A37" s="1310">
        <v>4</v>
      </c>
      <c r="B37" s="1307" t="s">
        <v>1123</v>
      </c>
      <c r="C37" s="1307"/>
      <c r="D37" s="1307"/>
      <c r="E37" s="3780"/>
      <c r="F37" s="3780"/>
      <c r="G37" s="3780"/>
    </row>
    <row r="38" spans="1:7" hidden="1">
      <c r="A38" s="3776" t="s">
        <v>1124</v>
      </c>
      <c r="B38" s="3777"/>
      <c r="C38" s="3777"/>
      <c r="D38" s="3778"/>
      <c r="E38" s="3779"/>
      <c r="F38" s="3779"/>
      <c r="G38" s="37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04" t="s">
        <v>1139</v>
      </c>
      <c r="C1" s="3804"/>
      <c r="D1" s="3804"/>
      <c r="E1" s="3804"/>
      <c r="F1" s="3804"/>
      <c r="G1" s="3803" t="s">
        <v>1140</v>
      </c>
      <c r="H1" s="3803"/>
      <c r="I1" s="3803"/>
      <c r="J1" s="3803"/>
      <c r="K1" s="3803"/>
      <c r="L1" s="3803"/>
      <c r="N1" s="3803" t="s">
        <v>1141</v>
      </c>
      <c r="O1" s="3803"/>
      <c r="P1" s="3803"/>
      <c r="Q1" s="3803"/>
      <c r="R1" s="1427"/>
      <c r="S1" s="3803" t="s">
        <v>1142</v>
      </c>
      <c r="T1" s="3803"/>
      <c r="U1" s="3803"/>
      <c r="V1" s="3803"/>
      <c r="X1" s="3802" t="s">
        <v>1143</v>
      </c>
      <c r="Y1" s="3803"/>
      <c r="Z1" s="3803"/>
      <c r="AA1" s="3803"/>
      <c r="AB1" s="3803"/>
      <c r="AD1" s="3802" t="s">
        <v>1144</v>
      </c>
      <c r="AE1" s="3803"/>
      <c r="AF1" s="3803"/>
      <c r="AG1" s="3803"/>
      <c r="AH1" s="3803"/>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8" customFormat="1" ht="14.25">
      <c r="A3" s="2897" t="s">
        <v>3010</v>
      </c>
      <c r="B3" s="2889"/>
      <c r="C3" s="2889"/>
      <c r="D3" s="2890"/>
      <c r="E3" s="2890"/>
      <c r="F3" s="2889"/>
      <c r="G3" s="2891"/>
      <c r="H3" s="2892"/>
      <c r="I3" s="2893">
        <f>ROUND(AVERAGE($I4:$I28),2)</f>
        <v>1.98</v>
      </c>
      <c r="J3" s="2893">
        <f>ROUND(AVERAGE($J4:$J28),2)</f>
        <v>1.41</v>
      </c>
      <c r="K3" s="2893">
        <f>ROUND(AVERAGE($K4:$K28),2)</f>
        <v>2.16</v>
      </c>
      <c r="L3" s="2893">
        <f>ROUND(AVERAGE($L4:$L28),2)</f>
        <v>1.38</v>
      </c>
      <c r="N3" s="2891"/>
      <c r="O3" s="2894"/>
      <c r="P3" s="2894"/>
      <c r="Q3" s="2894"/>
      <c r="R3" s="2894"/>
      <c r="S3" s="2891"/>
      <c r="T3" s="2894"/>
      <c r="U3" s="2894"/>
      <c r="V3" s="2894"/>
      <c r="W3" s="2886"/>
      <c r="X3" s="2895">
        <f>ROUND(SUMPRODUCT(PRODUCT(1+N3:N$27)),4)</f>
        <v>1.5516000000000001</v>
      </c>
      <c r="Y3" s="2895">
        <f>ROUND(SUMPRODUCT(PRODUCT(1+O3:O$27)),4)</f>
        <v>1.3649</v>
      </c>
      <c r="Z3" s="2895">
        <f t="shared" ref="Z3:Z25" si="0">Y3</f>
        <v>1.3649</v>
      </c>
      <c r="AA3" s="2895">
        <f>ROUND(SUMPRODUCT(PRODUCT(1+P3:P$27)),4)</f>
        <v>1.6133999999999999</v>
      </c>
      <c r="AB3" s="2895">
        <f>ROUND(SUMPRODUCT(PRODUCT(1+Q3:Q$27)),4)</f>
        <v>1.3713</v>
      </c>
      <c r="AD3" s="2896">
        <f>ROUND(AVERAGE(I3:I$28)/100,4)</f>
        <v>1.9800000000000002E-2</v>
      </c>
      <c r="AE3" s="2896">
        <f>ROUND(AVERAGE(J3:J$28)/100,4)</f>
        <v>1.41E-2</v>
      </c>
      <c r="AF3" s="2896">
        <f t="shared" ref="AF3:AF26" si="1">AE3</f>
        <v>1.41E-2</v>
      </c>
      <c r="AG3" s="2896">
        <f>ROUND(AVERAGE(K3:K$28)/100,4)</f>
        <v>2.1600000000000001E-2</v>
      </c>
      <c r="AH3" s="2896">
        <f>ROUND(AVERAGE(L3:L$28)/100,4)</f>
        <v>1.38E-2</v>
      </c>
    </row>
    <row r="4" spans="1:34" s="1434" customFormat="1" ht="14.25">
      <c r="B4" s="1435"/>
      <c r="C4" s="1435"/>
      <c r="D4" s="1436"/>
      <c r="E4" s="1436"/>
      <c r="F4" s="1435"/>
      <c r="G4" s="1437"/>
      <c r="H4" s="1438"/>
      <c r="I4" s="2883"/>
      <c r="J4" s="2883"/>
      <c r="K4" s="2883"/>
      <c r="L4" s="2883"/>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1">
        <v>2019</v>
      </c>
      <c r="H5" s="1710">
        <v>4</v>
      </c>
      <c r="I5" s="2884">
        <v>0</v>
      </c>
      <c r="J5" s="2884">
        <v>0</v>
      </c>
      <c r="K5" s="2884">
        <v>0</v>
      </c>
      <c r="L5" s="2884">
        <v>0</v>
      </c>
      <c r="N5" s="1448">
        <f t="shared" ref="N5:N10" si="7">I5/100</f>
        <v>0</v>
      </c>
      <c r="O5" s="1448">
        <f t="shared" ref="O5" si="8">J5/100</f>
        <v>0</v>
      </c>
      <c r="P5" s="1448">
        <f t="shared" ref="P5" si="9">K5/100</f>
        <v>0</v>
      </c>
      <c r="Q5" s="1448">
        <f t="shared" ref="Q5" si="10">L5/100</f>
        <v>0</v>
      </c>
      <c r="R5" s="1712"/>
      <c r="S5" s="1713"/>
      <c r="T5" s="1712"/>
      <c r="U5" s="1712"/>
      <c r="V5" s="1712"/>
      <c r="W5" s="2887"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1">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7">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1">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8">
        <f t="shared" ref="B9" si="46">B10*(1+N9)</f>
        <v>464.37293017158942</v>
      </c>
      <c r="C9" s="2918">
        <f t="shared" ref="C9" si="47">C10*(1+O9)</f>
        <v>344.73679941385956</v>
      </c>
      <c r="D9" s="2918">
        <f t="shared" ref="D9" si="48">C9</f>
        <v>344.73679941385956</v>
      </c>
      <c r="E9" s="2918">
        <f t="shared" ref="E9" si="49">E10*(1+P9)</f>
        <v>663.2377795103107</v>
      </c>
      <c r="F9" s="2919">
        <f t="shared" ref="F9" si="50">F10*(1+Q9)</f>
        <v>304.75936311478398</v>
      </c>
      <c r="G9" s="3800">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0"/>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0"/>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09"/>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05">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0"/>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00"/>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09"/>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05">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0"/>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0"/>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1"/>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799">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0"/>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0"/>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1"/>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799">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0"/>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0"/>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1"/>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06">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07"/>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07"/>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08"/>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799">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00"/>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00"/>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01"/>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799">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0">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00">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01">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799">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0">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00">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01">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799">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0">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00">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01">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799">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0">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00">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01">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799">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0">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00">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01">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799">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0">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00">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01">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799">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0">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00">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01">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799">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0">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00">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01">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799">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00">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00">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01">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799">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00">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00">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01">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41601</v>
      </c>
      <c r="C2" s="2" t="s">
        <v>133</v>
      </c>
      <c r="D2" s="243"/>
      <c r="E2" s="243"/>
      <c r="F2" s="243"/>
      <c r="G2" s="243"/>
    </row>
    <row r="3" spans="1:7" s="244" customFormat="1" ht="18" customHeight="1" thickBot="1">
      <c r="A3" s="247" t="s">
        <v>85</v>
      </c>
      <c r="B3" s="248">
        <f ca="1">ROUND(B2*10000/'数据-汇总表'!E3,0)</f>
        <v>17086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100</v>
      </c>
      <c r="F9" s="265"/>
      <c r="G9" s="270"/>
    </row>
    <row r="10" spans="1:7" s="258" customFormat="1" ht="13.5" customHeight="1">
      <c r="A10" s="940" t="s">
        <v>801</v>
      </c>
      <c r="B10" s="268" t="s">
        <v>94</v>
      </c>
      <c r="C10" s="269">
        <f>ROUND(D10*E10/10000,0)</f>
        <v>243</v>
      </c>
      <c r="D10" s="1022">
        <f>'数据-汇总表'!E6</f>
        <v>24348.570000000003</v>
      </c>
      <c r="E10" s="269">
        <f>'数据-取费表'!B28</f>
        <v>100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365</v>
      </c>
      <c r="D19" s="1026">
        <f>'数据-汇总表'!E3</f>
        <v>24348.570000000003</v>
      </c>
      <c r="E19" s="255">
        <f>'数据-取费表'!B31</f>
        <v>150</v>
      </c>
      <c r="F19" s="275"/>
      <c r="G19" s="1" t="s">
        <v>1071</v>
      </c>
    </row>
    <row r="20" spans="1:7" s="258" customFormat="1" ht="13.5" customHeight="1">
      <c r="A20" s="938" t="s">
        <v>1054</v>
      </c>
      <c r="B20" s="254" t="s">
        <v>104</v>
      </c>
      <c r="C20" s="276">
        <f>ROUND((C5+C19)*F20,0)</f>
        <v>420</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2059</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35</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4279</v>
      </c>
      <c r="D27" s="279">
        <f>C29</f>
        <v>4.0000000000000001E-3</v>
      </c>
      <c r="E27" s="280" t="s">
        <v>126</v>
      </c>
      <c r="F27" s="290">
        <f>'数据-取费表'!Q16</f>
        <v>0.2</v>
      </c>
      <c r="G27" s="291" t="s">
        <v>1066</v>
      </c>
    </row>
    <row r="28" spans="1:7" s="258" customFormat="1" ht="13.5" customHeight="1">
      <c r="A28" s="941" t="s">
        <v>794</v>
      </c>
      <c r="B28" s="292" t="s">
        <v>1059</v>
      </c>
      <c r="C28" s="293">
        <f>ROUND((C5+C19+C20)*F27*'数据-取费表'!B21/'数据-取费表'!B20,0)</f>
        <v>4279</v>
      </c>
      <c r="D28" s="279"/>
      <c r="E28" s="280"/>
      <c r="F28" s="290"/>
      <c r="G28" s="291"/>
    </row>
    <row r="29" spans="1:7" s="258" customFormat="1" ht="13.5" customHeight="1">
      <c r="A29" s="941" t="s">
        <v>792</v>
      </c>
      <c r="B29" s="292" t="s">
        <v>1060</v>
      </c>
      <c r="C29" s="282">
        <f>ROUND(C21*F27*'数据-取费表'!B21/'数据-取费表'!B20,4)</f>
        <v>4.0000000000000001E-3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30090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8508</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7792</v>
      </c>
      <c r="D34" s="261"/>
      <c r="E34" s="264"/>
      <c r="F34" s="301">
        <f>IF('数据-取费表'!B24=0,1,'数据-取费表'!N16)</f>
        <v>1</v>
      </c>
      <c r="G34" s="263" t="s">
        <v>116</v>
      </c>
    </row>
    <row r="35" spans="1:7" ht="13.5" customHeight="1">
      <c r="A35" s="941" t="s">
        <v>796</v>
      </c>
      <c r="B35" s="259" t="s">
        <v>60</v>
      </c>
      <c r="C35" s="264">
        <f>ROUND(C34*F35,0)</f>
        <v>234</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365</v>
      </c>
      <c r="D37" s="261">
        <f>'数据-汇总表'!E3</f>
        <v>24348.570000000003</v>
      </c>
      <c r="E37" s="293">
        <f>'数据-取费表'!B35</f>
        <v>150</v>
      </c>
      <c r="F37" s="303"/>
      <c r="G37" s="305" t="s">
        <v>119</v>
      </c>
    </row>
    <row r="38" spans="1:7" ht="13.5" customHeight="1">
      <c r="A38" s="941" t="s">
        <v>799</v>
      </c>
      <c r="B38" s="259" t="s">
        <v>63</v>
      </c>
      <c r="C38" s="264">
        <f>ROUND(C34*F38,0)</f>
        <v>117</v>
      </c>
      <c r="D38" s="264"/>
      <c r="E38" s="264"/>
      <c r="F38" s="303">
        <f>'数据-取费表'!B36</f>
        <v>1.4999999999999999E-2</v>
      </c>
      <c r="G38" s="263" t="s">
        <v>117</v>
      </c>
    </row>
    <row r="39" spans="1:7" s="258" customFormat="1" ht="13.5" customHeight="1">
      <c r="A39" s="938" t="s">
        <v>783</v>
      </c>
      <c r="B39" s="254" t="s">
        <v>104</v>
      </c>
      <c r="C39" s="276">
        <f>ROUND(C33*F20,0)</f>
        <v>170</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412</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404</v>
      </c>
      <c r="D42" s="282"/>
      <c r="E42" s="282"/>
      <c r="F42" s="283"/>
      <c r="G42" s="3661" t="s">
        <v>121</v>
      </c>
    </row>
    <row r="43" spans="1:7" ht="13.5" customHeight="1">
      <c r="A43" s="941" t="s">
        <v>792</v>
      </c>
      <c r="B43" s="259" t="s">
        <v>1061</v>
      </c>
      <c r="C43" s="282">
        <f ca="1">ROUND(IF('数据-取费表'!B22&lt;=1,C39*F22*'数据-取费表'!B21/2,C39*(POWER((1+F22),'数据-取费表'!B21/2)-1)),0)</f>
        <v>8</v>
      </c>
      <c r="D43" s="282"/>
      <c r="E43" s="282"/>
      <c r="F43" s="283"/>
      <c r="G43" s="3662"/>
    </row>
    <row r="44" spans="1:7" ht="13.5" customHeight="1">
      <c r="A44" s="941" t="s">
        <v>793</v>
      </c>
      <c r="B44" s="259" t="s">
        <v>1063</v>
      </c>
      <c r="C44" s="282">
        <f ca="1">ROUND(IF('数据-取费表'!B22&lt;=1,C40*F22*'数据-取费表'!B21/2,C40*(POWER((1+F22),'数据-取费表'!B21/2)-1)),4)</f>
        <v>1E-3</v>
      </c>
      <c r="D44" s="282"/>
      <c r="E44" s="282"/>
      <c r="F44" s="283"/>
      <c r="G44" s="3663"/>
    </row>
    <row r="45" spans="1:7" s="258" customFormat="1" ht="13.5" customHeight="1">
      <c r="A45" s="938" t="s">
        <v>786</v>
      </c>
      <c r="B45" s="288" t="s">
        <v>112</v>
      </c>
      <c r="C45" s="289">
        <f>C46</f>
        <v>1736</v>
      </c>
      <c r="D45" s="279">
        <f>C47</f>
        <v>4.0000000000000001E-3</v>
      </c>
      <c r="E45" s="280" t="s">
        <v>129</v>
      </c>
      <c r="F45" s="290"/>
      <c r="G45" s="291" t="s">
        <v>1069</v>
      </c>
    </row>
    <row r="46" spans="1:7" s="258" customFormat="1" ht="13.5" customHeight="1">
      <c r="A46" s="941" t="s">
        <v>794</v>
      </c>
      <c r="B46" s="292" t="s">
        <v>1062</v>
      </c>
      <c r="C46" s="293">
        <f>ROUND((C33+C39)*F27,0)</f>
        <v>1736</v>
      </c>
      <c r="D46" s="307"/>
      <c r="E46" s="280"/>
      <c r="F46" s="290"/>
      <c r="G46" s="291"/>
    </row>
    <row r="47" spans="1:7" s="258" customFormat="1" ht="13.5" customHeight="1">
      <c r="A47" s="941" t="s">
        <v>792</v>
      </c>
      <c r="B47" s="292" t="s">
        <v>1064</v>
      </c>
      <c r="C47" s="282">
        <f>ROUND(C40*F27,4)</f>
        <v>4.0000000000000001E-3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11746</v>
      </c>
      <c r="D49" s="276"/>
      <c r="E49" s="276"/>
      <c r="F49" s="308"/>
      <c r="G49" s="278" t="s">
        <v>1070</v>
      </c>
    </row>
    <row r="50" spans="1:7" s="302" customFormat="1" ht="24">
      <c r="A50" s="938" t="s">
        <v>789</v>
      </c>
      <c r="B50" s="254" t="s">
        <v>124</v>
      </c>
      <c r="C50" s="276"/>
      <c r="D50" s="276"/>
      <c r="E50" s="276"/>
      <c r="F50" s="308">
        <f>IF('数据-取费表'!B24=0,'数据-取费表'!N16,1)</f>
        <v>0.98</v>
      </c>
      <c r="G50" s="291" t="s">
        <v>125</v>
      </c>
    </row>
    <row r="51" spans="1:7" ht="16.5" customHeight="1">
      <c r="A51" s="938" t="s">
        <v>790</v>
      </c>
      <c r="B51" s="254" t="s">
        <v>132</v>
      </c>
      <c r="C51" s="276">
        <f ca="1">ROUND(C49*F50,0)</f>
        <v>11511</v>
      </c>
      <c r="D51" s="276"/>
      <c r="E51" s="276"/>
      <c r="F51" s="308"/>
      <c r="G51" s="278" t="s">
        <v>64</v>
      </c>
    </row>
    <row r="52" spans="1:7" s="252" customFormat="1" ht="16.5" thickBot="1">
      <c r="A52" s="309" t="s">
        <v>65</v>
      </c>
      <c r="B52" s="310"/>
      <c r="C52" s="311">
        <f ca="1">C31+C51</f>
        <v>41601</v>
      </c>
      <c r="D52" s="310"/>
      <c r="E52" s="310"/>
      <c r="F52" s="310"/>
      <c r="G52" s="312"/>
    </row>
    <row r="55" spans="1:7" ht="15">
      <c r="B55" s="314" t="s">
        <v>66</v>
      </c>
      <c r="C55" s="315"/>
    </row>
    <row r="56" spans="1:7">
      <c r="B56" s="317" t="s">
        <v>67</v>
      </c>
      <c r="C56" s="318">
        <f ca="1">ROUND(C51/C52,3)</f>
        <v>0.27700000000000002</v>
      </c>
    </row>
    <row r="57" spans="1:7">
      <c r="B57" s="317" t="s">
        <v>68</v>
      </c>
      <c r="C57" s="319">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10" t="s">
        <v>156</v>
      </c>
      <c r="B1" s="3810"/>
      <c r="C1" s="3810"/>
      <c r="D1" s="3810"/>
      <c r="E1" s="3810"/>
      <c r="F1" s="3810"/>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1" t="s">
        <v>169</v>
      </c>
      <c r="B2" s="3811"/>
      <c r="C2" s="3811"/>
      <c r="D2" s="3811"/>
      <c r="E2" s="3811"/>
      <c r="F2" s="3811"/>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12"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13"/>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10" t="s">
        <v>868</v>
      </c>
      <c r="B1" s="3810"/>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43840</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51" t="s">
        <v>1650</v>
      </c>
      <c r="B1" s="3451"/>
      <c r="C1" s="3451"/>
      <c r="D1" s="3451"/>
    </row>
    <row r="2" spans="1:4" ht="18">
      <c r="A2" s="3452" t="s">
        <v>1634</v>
      </c>
      <c r="B2" s="3452"/>
      <c r="C2" s="3452"/>
      <c r="D2" s="3452"/>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52" t="s">
        <v>1640</v>
      </c>
      <c r="B6" s="3452"/>
      <c r="C6" s="3452"/>
      <c r="D6" s="3452"/>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53" t="s">
        <v>1643</v>
      </c>
      <c r="B11" s="3445"/>
      <c r="C11" s="3445"/>
      <c r="D11" s="3445"/>
    </row>
    <row r="12" spans="1:4" ht="15.75">
      <c r="A12" s="34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0"/>
      <c r="C12" s="3450"/>
      <c r="D12" s="3450"/>
    </row>
    <row r="13" spans="1:4" ht="30" customHeight="1">
      <c r="A13" s="34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0"/>
      <c r="C13" s="3450"/>
      <c r="D13" s="3450"/>
    </row>
    <row r="14" spans="1:4" ht="15.75" customHeight="1">
      <c r="A14" s="3445" t="str">
        <f>IF(项目基本情况!B8="抵押","4.本次评估估价师所知悉的法定优先受偿款情况说明如下：","——")</f>
        <v>4.本次评估估价师所知悉的法定优先受偿款情况说明如下：</v>
      </c>
      <c r="B14" s="3450"/>
      <c r="C14" s="3450"/>
      <c r="D14" s="3450"/>
    </row>
    <row r="15" spans="1:4" ht="42" customHeight="1">
      <c r="A15" s="34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5"/>
      <c r="C15" s="3445"/>
      <c r="D15" s="3445"/>
    </row>
    <row r="16" spans="1:4" ht="30" customHeight="1">
      <c r="A16" s="3447" t="s">
        <v>1644</v>
      </c>
      <c r="B16" s="3447"/>
      <c r="C16" s="3447"/>
      <c r="D16" s="3447"/>
    </row>
    <row r="17" spans="1:4" ht="144" customHeight="1">
      <c r="A17" s="3447" t="s">
        <v>1645</v>
      </c>
      <c r="B17" s="3447"/>
      <c r="C17" s="3447"/>
      <c r="D17" s="3447"/>
    </row>
    <row r="18" spans="1:4" ht="15.75" customHeight="1">
      <c r="A18" s="3445" t="str">
        <f>IF(项目基本情况!B8="抵押",结果表!K120,"——")</f>
        <v>故，本次评估不存在估价师知悉的法定优先受偿款</v>
      </c>
      <c r="B18" s="3445"/>
      <c r="C18" s="3445"/>
      <c r="D18" s="3445"/>
    </row>
    <row r="19" spans="1:4" ht="46.5" customHeight="1">
      <c r="A19" s="34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5"/>
      <c r="C19" s="3445"/>
      <c r="D19" s="3445"/>
    </row>
    <row r="20" spans="1:4" ht="57.75" customHeight="1">
      <c r="A20" s="34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5"/>
      <c r="C20" s="3445"/>
      <c r="D20" s="3445"/>
    </row>
    <row r="21" spans="1:4" ht="57.75" customHeight="1">
      <c r="A21" s="34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48"/>
      <c r="C21" s="3448"/>
      <c r="D21" s="3448"/>
    </row>
    <row r="22" spans="1:4" ht="18.75" customHeight="1">
      <c r="A22" s="3449" t="s">
        <v>1646</v>
      </c>
      <c r="B22" s="3449"/>
      <c r="C22" s="3449"/>
      <c r="D22" s="3449"/>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46">
        <v>42551</v>
      </c>
      <c r="D31" s="34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59" t="s">
        <v>1657</v>
      </c>
      <c r="B15" s="3454" t="s">
        <v>136</v>
      </c>
      <c r="C15" s="3455"/>
    </row>
    <row r="16" spans="1:7" ht="13.5">
      <c r="A16" s="3460"/>
      <c r="B16" s="3454" t="s">
        <v>69</v>
      </c>
      <c r="C16" s="3455"/>
    </row>
    <row r="17" spans="1:3" ht="13.5">
      <c r="A17" s="3460"/>
      <c r="B17" s="3457" t="s">
        <v>1658</v>
      </c>
      <c r="C17" s="1979" t="s">
        <v>1657</v>
      </c>
    </row>
    <row r="18" spans="1:3" ht="13.5">
      <c r="A18" s="3460"/>
      <c r="B18" s="3457"/>
      <c r="C18" s="1979" t="s">
        <v>1659</v>
      </c>
    </row>
    <row r="19" spans="1:3" ht="13.5">
      <c r="A19" s="3460"/>
      <c r="B19" s="3457"/>
      <c r="C19" s="1979" t="s">
        <v>1660</v>
      </c>
    </row>
    <row r="20" spans="1:3" ht="13.5">
      <c r="A20" s="3461"/>
      <c r="B20" s="3456" t="s">
        <v>1661</v>
      </c>
      <c r="C20" s="3455"/>
    </row>
    <row r="21" spans="1:3" ht="13.5">
      <c r="A21" s="1980" t="s">
        <v>1662</v>
      </c>
      <c r="B21" s="1981"/>
      <c r="C21" s="1982"/>
    </row>
    <row r="22" spans="1:3" ht="13.5">
      <c r="A22" s="3458" t="s">
        <v>1663</v>
      </c>
      <c r="B22" s="3456" t="s">
        <v>1664</v>
      </c>
      <c r="C22" s="3455"/>
    </row>
    <row r="23" spans="1:3" ht="13.5">
      <c r="A23" s="3458"/>
      <c r="B23" s="3456" t="s">
        <v>1665</v>
      </c>
      <c r="C23" s="3455"/>
    </row>
    <row r="24" spans="1:3" ht="13.5">
      <c r="A24" s="3458"/>
      <c r="B24" s="3456" t="s">
        <v>1666</v>
      </c>
      <c r="C24" s="3455"/>
    </row>
    <row r="25" spans="1:3" ht="13.5">
      <c r="A25" s="3458"/>
      <c r="B25" s="3457" t="s">
        <v>1667</v>
      </c>
      <c r="C25" s="1979" t="s">
        <v>1668</v>
      </c>
    </row>
    <row r="26" spans="1:3" ht="13.5">
      <c r="A26" s="3458"/>
      <c r="B26" s="3457"/>
      <c r="C26" s="1979" t="s">
        <v>1669</v>
      </c>
    </row>
    <row r="27" spans="1:3" ht="13.5">
      <c r="A27" s="3458"/>
      <c r="B27" s="3457"/>
      <c r="C27" s="1979" t="s">
        <v>1670</v>
      </c>
    </row>
    <row r="28" spans="1:3" ht="13.5">
      <c r="A28" s="3458"/>
      <c r="B28" s="3457"/>
      <c r="C28" s="1979" t="s">
        <v>1671</v>
      </c>
    </row>
    <row r="29" spans="1:3" ht="13.5">
      <c r="A29" s="3458"/>
      <c r="B29" s="3457"/>
      <c r="C29" s="1979" t="s">
        <v>1672</v>
      </c>
    </row>
    <row r="30" spans="1:3" ht="13.5">
      <c r="A30" s="3458"/>
      <c r="B30" s="3457"/>
      <c r="C30" s="1979" t="s">
        <v>1673</v>
      </c>
    </row>
    <row r="31" spans="1:3" ht="13.5">
      <c r="A31" s="3458"/>
      <c r="B31" s="3457"/>
      <c r="C31" s="1979" t="s">
        <v>1674</v>
      </c>
    </row>
    <row r="32" spans="1:3" ht="13.5">
      <c r="A32" s="3458"/>
      <c r="B32" s="3457"/>
      <c r="C32" s="1979" t="s">
        <v>1675</v>
      </c>
    </row>
    <row r="33" spans="1:3" ht="13.5">
      <c r="A33" s="3458"/>
      <c r="B33" s="3457"/>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43844</v>
      </c>
      <c r="C2" s="1009" t="s">
        <v>826</v>
      </c>
      <c r="D2" s="1009"/>
    </row>
    <row r="3" spans="1:6" ht="24" customHeight="1">
      <c r="A3" s="1010" t="s">
        <v>827</v>
      </c>
      <c r="B3" s="1011" t="s">
        <v>828</v>
      </c>
      <c r="C3" s="2320" t="s">
        <v>829</v>
      </c>
      <c r="D3" s="2323" t="s">
        <v>830</v>
      </c>
      <c r="E3" s="1012" t="s">
        <v>831</v>
      </c>
      <c r="F3" s="1011" t="s">
        <v>829</v>
      </c>
    </row>
    <row r="4" spans="1:6" ht="24" customHeight="1">
      <c r="A4" s="1682" t="s">
        <v>832</v>
      </c>
      <c r="B4" s="1012">
        <f ca="1">IF(C4&lt;B2,"已过期",1119970066)</f>
        <v>1119970066</v>
      </c>
      <c r="C4" s="2321">
        <v>43849</v>
      </c>
      <c r="D4" s="2324" t="s">
        <v>832</v>
      </c>
      <c r="E4" s="1012">
        <f ca="1">IF(F4&lt;B2,"已过期",96010014)</f>
        <v>96010014</v>
      </c>
      <c r="F4" s="1020">
        <v>47118</v>
      </c>
    </row>
    <row r="5" spans="1:6" ht="24" customHeight="1">
      <c r="A5" s="1682" t="s">
        <v>833</v>
      </c>
      <c r="B5" s="1012">
        <f ca="1">IF(C5&lt;B2,"已过期",1119970074)</f>
        <v>1119970074</v>
      </c>
      <c r="C5" s="2321">
        <v>43849</v>
      </c>
      <c r="D5" s="2324" t="s">
        <v>833</v>
      </c>
      <c r="E5" s="1012">
        <f ca="1">IF(F5&lt;B2,"已过期",2002110027)</f>
        <v>2002110027</v>
      </c>
      <c r="F5" s="1020">
        <v>46752</v>
      </c>
    </row>
    <row r="6" spans="1:6" ht="24" customHeight="1">
      <c r="A6" s="1682" t="s">
        <v>834</v>
      </c>
      <c r="B6" s="1012">
        <f ca="1">IF(C6&lt;B2,"已过期",1119970111)</f>
        <v>1119970111</v>
      </c>
      <c r="C6" s="2321">
        <v>43849</v>
      </c>
      <c r="D6" s="2324" t="s">
        <v>834</v>
      </c>
      <c r="E6" s="1012">
        <f ca="1">IF(F6&lt;B2,"已过期",94010078)</f>
        <v>94010078</v>
      </c>
      <c r="F6" s="1020">
        <v>46387</v>
      </c>
    </row>
    <row r="7" spans="1:6" ht="24" customHeight="1">
      <c r="A7" s="1682" t="s">
        <v>835</v>
      </c>
      <c r="B7" s="1012">
        <f ca="1">IF(C7&lt;B2,"已过期",1120050019)</f>
        <v>1120050019</v>
      </c>
      <c r="C7" s="2321">
        <v>44395</v>
      </c>
      <c r="D7" s="2324" t="s">
        <v>835</v>
      </c>
      <c r="E7" s="1012">
        <f ca="1">IF(F7&lt;B2,"已过期",2002110030)</f>
        <v>2002110030</v>
      </c>
      <c r="F7" s="1020">
        <v>46387</v>
      </c>
    </row>
    <row r="8" spans="1:6" ht="24" customHeight="1">
      <c r="A8" s="1682" t="s">
        <v>836</v>
      </c>
      <c r="B8" s="1012">
        <f ca="1">IF(C8&lt;B2,"已过期",1120000080)</f>
        <v>1120000080</v>
      </c>
      <c r="C8" s="2321">
        <v>43849</v>
      </c>
      <c r="D8" s="2324" t="s">
        <v>836</v>
      </c>
      <c r="E8" s="1012">
        <f ca="1">IF(F8&lt;B2,"已过期",2000110082)</f>
        <v>2000110082</v>
      </c>
      <c r="F8" s="1020">
        <v>46387</v>
      </c>
    </row>
    <row r="9" spans="1:6" ht="24" customHeight="1">
      <c r="A9" s="1682" t="s">
        <v>837</v>
      </c>
      <c r="B9" s="1012">
        <f ca="1">IF(C9&lt;B2,"已过期",1419970001)</f>
        <v>1419970001</v>
      </c>
      <c r="C9" s="2321">
        <v>43867</v>
      </c>
      <c r="D9" s="2324" t="s">
        <v>837</v>
      </c>
      <c r="E9" s="1012">
        <f ca="1">IF(F9&lt;B2,"已过期",2002110125)</f>
        <v>2002110125</v>
      </c>
      <c r="F9" s="1020">
        <v>47118</v>
      </c>
    </row>
    <row r="10" spans="1:6" ht="24" customHeight="1">
      <c r="A10" s="1682" t="s">
        <v>838</v>
      </c>
      <c r="B10" s="1012">
        <f ca="1">IF(C10&lt;B2,"已过期",1120060040)</f>
        <v>1120060040</v>
      </c>
      <c r="C10" s="2321">
        <v>44554</v>
      </c>
      <c r="D10" s="2324" t="s">
        <v>838</v>
      </c>
      <c r="E10" s="1012">
        <f ca="1">IF(F10&lt;B2,"已过期",2004110096)</f>
        <v>2004110096</v>
      </c>
      <c r="F10" s="1020">
        <v>47118</v>
      </c>
    </row>
    <row r="11" spans="1:6" ht="24" customHeight="1">
      <c r="A11" s="1682" t="s">
        <v>839</v>
      </c>
      <c r="B11" s="1012">
        <f ca="1">IF(C11&lt;B2,"已过期",1120100036)</f>
        <v>1120100036</v>
      </c>
      <c r="C11" s="2321">
        <v>44675</v>
      </c>
      <c r="D11" s="2324" t="s">
        <v>839</v>
      </c>
      <c r="E11" s="1012">
        <f ca="1">IF(F11&lt;B2,"已过期",2010110070)</f>
        <v>2010110070</v>
      </c>
      <c r="F11" s="1020">
        <v>47907</v>
      </c>
    </row>
    <row r="12" spans="1:6" ht="24" customHeight="1">
      <c r="A12" s="1682"/>
      <c r="B12" s="1012"/>
      <c r="C12" s="2898"/>
      <c r="D12" s="1682"/>
      <c r="E12" s="1012"/>
      <c r="F12" s="1020"/>
    </row>
    <row r="13" spans="1:6" ht="24" customHeight="1">
      <c r="A13" s="1682" t="s">
        <v>840</v>
      </c>
      <c r="B13" s="1012" t="str">
        <f ca="1">IF(C13&lt;B2,"已过期",1120070131)</f>
        <v>已过期</v>
      </c>
      <c r="C13" s="2321">
        <v>43814</v>
      </c>
      <c r="D13" s="2324" t="s">
        <v>840</v>
      </c>
      <c r="E13" s="1012">
        <f ca="1">IF(F13&lt;B2,"已过期",2014110011)</f>
        <v>2014110011</v>
      </c>
      <c r="F13" s="1020">
        <v>49302</v>
      </c>
    </row>
    <row r="14" spans="1:6" ht="24" customHeight="1">
      <c r="A14" s="1682" t="s">
        <v>3018</v>
      </c>
      <c r="B14" s="1012" t="str">
        <f ca="1">IF(C14&lt;B2,"已过期",1120040230)</f>
        <v>已过期</v>
      </c>
      <c r="C14" s="2321">
        <v>43835</v>
      </c>
      <c r="D14" s="2324" t="s">
        <v>3018</v>
      </c>
      <c r="E14" s="1012">
        <f ca="1">IF(F14&lt;B2,"已过期",98030020)</f>
        <v>98030020</v>
      </c>
      <c r="F14" s="1020">
        <v>47118</v>
      </c>
    </row>
    <row r="15" spans="1:6" ht="24" customHeight="1">
      <c r="A15" s="1683" t="s">
        <v>3019</v>
      </c>
      <c r="B15" s="1012" t="str">
        <f ca="1">IF(C15&lt;B2,"已过期",1120070085)</f>
        <v>已过期</v>
      </c>
      <c r="C15" s="2321">
        <v>43814</v>
      </c>
      <c r="D15" s="2325" t="s">
        <v>3019</v>
      </c>
      <c r="E15" s="1012">
        <f ca="1">IF(F15&lt;B2,"已过期",2004110128)</f>
        <v>2004110128</v>
      </c>
      <c r="F15" s="1013">
        <v>47118</v>
      </c>
    </row>
    <row r="16" spans="1:6" ht="24" customHeight="1">
      <c r="A16" s="1682" t="s">
        <v>3020</v>
      </c>
      <c r="B16" s="1012">
        <f ca="1">IF(C16&lt;B2,"已过期",1120140022)</f>
        <v>1120140022</v>
      </c>
      <c r="C16" s="2898">
        <v>44029</v>
      </c>
      <c r="D16" s="2324" t="s">
        <v>3020</v>
      </c>
      <c r="E16" s="1012">
        <f ca="1">IF(F16&lt;B2,"已过期",2008110059)</f>
        <v>2008110059</v>
      </c>
      <c r="F16" s="1020">
        <v>47177</v>
      </c>
    </row>
    <row r="17" spans="1:7" ht="24" customHeight="1">
      <c r="A17" s="1682"/>
      <c r="B17" s="1012"/>
      <c r="C17" s="2321"/>
      <c r="D17" s="2324" t="s">
        <v>3021</v>
      </c>
      <c r="E17" s="1012">
        <f ca="1">IF(F17&lt;B2,"已过期",2014110076)</f>
        <v>2014110076</v>
      </c>
      <c r="F17" s="1020">
        <v>49302</v>
      </c>
    </row>
    <row r="18" spans="1:7" ht="24" customHeight="1">
      <c r="A18" s="1682" t="s">
        <v>3029</v>
      </c>
      <c r="B18" s="1012">
        <v>1120190079</v>
      </c>
      <c r="C18" s="2898">
        <v>44826</v>
      </c>
      <c r="D18" s="2324"/>
      <c r="E18" s="1012"/>
      <c r="F18" s="1020"/>
    </row>
    <row r="19" spans="1:7" ht="24" customHeight="1">
      <c r="A19" s="1682"/>
      <c r="B19" s="1012"/>
      <c r="C19" s="2321"/>
      <c r="D19" s="2324"/>
      <c r="E19" s="1012"/>
      <c r="F19" s="1012"/>
    </row>
    <row r="20" spans="1:7" ht="24" customHeight="1">
      <c r="A20" s="1682"/>
      <c r="B20" s="1012"/>
      <c r="C20" s="2321"/>
      <c r="D20" s="2324"/>
      <c r="E20" s="1012"/>
      <c r="F20" s="1012"/>
    </row>
    <row r="21" spans="1:7" ht="24" customHeight="1">
      <c r="A21" s="1682"/>
      <c r="B21" s="1012"/>
      <c r="C21" s="2321"/>
      <c r="D21" s="2324" t="s">
        <v>841</v>
      </c>
      <c r="E21" s="1012">
        <f ca="1">IF(F21&lt;B2,"已过期",2011110090)</f>
        <v>2011110090</v>
      </c>
      <c r="F21" s="1020">
        <v>48302</v>
      </c>
    </row>
    <row r="22" spans="1:7" ht="24" customHeight="1">
      <c r="A22" s="1682" t="s">
        <v>842</v>
      </c>
      <c r="B22" s="1012">
        <f ca="1">IF(C22&lt;B2,"已过期",1120020033)</f>
        <v>1120020033</v>
      </c>
      <c r="C22" s="2898">
        <v>44339</v>
      </c>
      <c r="D22" s="2324" t="s">
        <v>842</v>
      </c>
      <c r="E22" s="1012">
        <f ca="1">IF(F22&lt;B2,"已过期",2000110137)</f>
        <v>2000110137</v>
      </c>
      <c r="F22" s="1020">
        <v>46387</v>
      </c>
    </row>
    <row r="23" spans="1:7" ht="24" customHeight="1">
      <c r="A23" s="1682"/>
      <c r="B23" s="1012"/>
      <c r="C23" s="2321"/>
      <c r="D23" s="2324"/>
      <c r="E23" s="1012"/>
      <c r="F23" s="1012"/>
    </row>
    <row r="24" spans="1:7" s="1014" customFormat="1" ht="24" customHeight="1">
      <c r="A24" s="1683" t="s">
        <v>1322</v>
      </c>
      <c r="B24" s="1683" t="s">
        <v>1322</v>
      </c>
      <c r="C24" s="2322" t="s">
        <v>1322</v>
      </c>
      <c r="D24" s="2325" t="s">
        <v>1322</v>
      </c>
      <c r="E24" s="1683" t="s">
        <v>1322</v>
      </c>
      <c r="F24" s="1683" t="s">
        <v>1322</v>
      </c>
    </row>
    <row r="25" spans="1:7" ht="24" customHeight="1">
      <c r="A25" s="3462" t="s">
        <v>843</v>
      </c>
      <c r="B25" s="3462"/>
      <c r="C25" s="3462"/>
      <c r="D25" s="3462"/>
      <c r="E25" s="3462"/>
      <c r="F25" s="3462"/>
      <c r="G25" s="3462"/>
    </row>
    <row r="26" spans="1:7" s="1015" customFormat="1" ht="24" customHeight="1">
      <c r="A26" s="3463" t="s">
        <v>844</v>
      </c>
      <c r="B26" s="3463"/>
      <c r="C26" s="3464"/>
      <c r="D26" s="3465" t="s">
        <v>845</v>
      </c>
      <c r="E26" s="3463"/>
      <c r="F26" s="3463"/>
    </row>
    <row r="27" spans="1:7" s="1017" customFormat="1" ht="24" customHeight="1">
      <c r="A27" s="1016" t="s">
        <v>846</v>
      </c>
      <c r="B27" s="1011" t="s">
        <v>847</v>
      </c>
      <c r="C27" s="2320" t="s">
        <v>848</v>
      </c>
      <c r="D27" s="2327" t="s">
        <v>846</v>
      </c>
      <c r="E27" s="1011" t="s">
        <v>847</v>
      </c>
      <c r="F27" s="1011" t="s">
        <v>848</v>
      </c>
    </row>
    <row r="28" spans="1:7" s="1017" customFormat="1" ht="24" customHeight="1">
      <c r="A28" s="1018" t="s">
        <v>849</v>
      </c>
      <c r="B28" s="1019" t="s">
        <v>850</v>
      </c>
      <c r="C28" s="1020">
        <v>44820</v>
      </c>
      <c r="D28" s="2328" t="s">
        <v>851</v>
      </c>
      <c r="E28" s="1018" t="s">
        <v>852</v>
      </c>
      <c r="F28" s="1048">
        <v>44377</v>
      </c>
    </row>
    <row r="29" spans="1:7" s="1017" customFormat="1" ht="24" customHeight="1">
      <c r="A29" s="1018"/>
      <c r="B29" s="1018"/>
      <c r="C29" s="2326"/>
      <c r="D29" s="2328"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146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数据-取费表</vt:lpstr>
      <vt:lpstr>估价对象房地状况</vt:lpstr>
      <vt:lpstr>系统读取表</vt:lpstr>
      <vt:lpstr>结果一览表</vt:lpstr>
      <vt:lpstr>结果表</vt:lpstr>
      <vt:lpstr>土地案例</vt:lpstr>
      <vt:lpstr>土地比较法-住宅、综合</vt:lpstr>
      <vt:lpstr>成本法</vt:lpstr>
      <vt:lpstr>比较法-商业</vt:lpstr>
      <vt:lpstr>典型户型修正</vt:lpstr>
      <vt:lpstr>收益法</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收益法办自!Print_Area</vt:lpstr>
      <vt:lpstr>收益法办租!Print_Area</vt:lpstr>
      <vt:lpstr>收益法车库!Print_Area</vt:lpstr>
      <vt:lpstr>收益法酒店!Print_Area</vt:lpstr>
      <vt:lpstr>收益法商自!Print_Area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2020-01-14T06:30:15Z</dcterms:modified>
</cp:coreProperties>
</file>