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96" i="33" l="1"/>
  <c r="O96" i="33"/>
  <c r="O95" i="33"/>
  <c r="P92" i="33" s="1"/>
  <c r="E51" i="33" s="1"/>
  <c r="P93" i="33" l="1"/>
  <c r="J49" i="67" l="1"/>
  <c r="O19" i="1" l="1"/>
  <c r="N18" i="1"/>
  <c r="N20"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E12" i="76"/>
  <c r="C76" i="15"/>
  <c r="M8" i="67"/>
  <c r="F40" i="15"/>
  <c r="B11" i="76"/>
  <c r="F6" i="73"/>
  <c r="B7" i="76"/>
  <c r="F8" i="67"/>
  <c r="F38" i="15"/>
  <c r="F16" i="67"/>
  <c r="F37" i="15"/>
  <c r="F42" i="67"/>
  <c r="F7" i="15"/>
  <c r="M23" i="15"/>
  <c r="F36" i="67"/>
  <c r="F5" i="73"/>
  <c r="L47" i="67"/>
  <c r="F7" i="73"/>
  <c r="E2" i="68"/>
  <c r="F6" i="67"/>
  <c r="J15" i="67"/>
  <c r="E9" i="76"/>
  <c r="C76" i="67"/>
  <c r="B12" i="76"/>
  <c r="M28" i="15"/>
  <c r="AO13" i="1"/>
  <c r="F7" i="67"/>
  <c r="M24" i="15"/>
  <c r="M22" i="67"/>
  <c r="F36" i="15"/>
  <c r="F9" i="67"/>
  <c r="F38" i="67"/>
  <c r="M6" i="15"/>
  <c r="F4" i="73"/>
  <c r="M28" i="67"/>
  <c r="B10" i="76"/>
  <c r="D6" i="73"/>
  <c r="F43" i="67"/>
  <c r="M9" i="15"/>
  <c r="F40" i="67"/>
  <c r="F6" i="15"/>
  <c r="M9" i="67"/>
  <c r="E11" i="76"/>
  <c r="L48" i="15"/>
  <c r="E13" i="76"/>
  <c r="F13" i="67"/>
  <c r="F43" i="15"/>
  <c r="F9" i="15"/>
  <c r="F3" i="73"/>
  <c r="M8" i="15"/>
  <c r="E8" i="76"/>
  <c r="M29" i="67"/>
  <c r="J15" i="15"/>
  <c r="M26" i="67"/>
  <c r="M26" i="15"/>
  <c r="F13" i="15"/>
  <c r="E2" i="69"/>
  <c r="M23" i="67"/>
  <c r="F16" i="15"/>
  <c r="E10" i="76"/>
  <c r="F8" i="15"/>
  <c r="M6" i="67"/>
  <c r="F42" i="15"/>
  <c r="B8" i="76"/>
  <c r="M24" i="67"/>
  <c r="M29" i="15"/>
  <c r="L47" i="15"/>
  <c r="F37" i="67"/>
  <c r="B13" i="76"/>
  <c r="F26" i="67"/>
  <c r="B9" i="76"/>
  <c r="E7" i="76"/>
  <c r="F26" i="15"/>
  <c r="F20" i="31"/>
  <c r="W26" i="33" l="1"/>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4" i="73"/>
  <c r="C16" i="67"/>
  <c r="C16" i="15"/>
  <c r="D7" i="73"/>
  <c r="L48" i="67"/>
  <c r="D5" i="73"/>
  <c r="D3" i="73"/>
  <c r="S38" i="33" l="1"/>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Q73" i="67" l="1"/>
  <c r="H6" i="3"/>
  <c r="S10" i="39"/>
  <c r="Q52" i="67"/>
  <c r="F67" i="39"/>
  <c r="H10" i="40"/>
  <c r="AB10" i="40" s="1"/>
  <c r="J10" i="40"/>
  <c r="AC10" i="40" s="1"/>
  <c r="H10" i="39"/>
  <c r="U10" i="39" s="1"/>
  <c r="F10" i="40"/>
  <c r="S10" i="40" s="1"/>
  <c r="E3" i="6"/>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5" i="9"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M27" i="67"/>
  <c r="F41" i="15"/>
  <c r="AB10" i="39" l="1"/>
  <c r="AC10" i="39"/>
  <c r="B14" i="74"/>
  <c r="B1" i="74" s="1"/>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F41" i="68" l="1"/>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U36" i="33"/>
  <c r="AB36" i="3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4"/>
  <c r="L51" i="15"/>
  <c r="D2" i="36"/>
  <c r="D19" i="9"/>
  <c r="D2" i="37"/>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11" i="1"/>
  <c r="D35" i="9"/>
  <c r="AO6" i="1"/>
  <c r="AO8" i="1"/>
  <c r="AO7" i="1"/>
  <c r="C20" i="9"/>
  <c r="AO9" i="1"/>
  <c r="AO10" i="1"/>
  <c r="AO12" i="1"/>
  <c r="D20" i="9"/>
  <c r="C103" i="9" l="1"/>
  <c r="G20" i="9"/>
  <c r="G27"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<sst xmlns="http://schemas.openxmlformats.org/spreadsheetml/2006/main" count="7924" uniqueCount="3470">
  <si>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</si>
  <si>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</si>
  <si>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</si>
  <si>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</si>
  <si>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</si>
  <si>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</si>
  <si>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</si>
  <si>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</si>
  <si>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</si>
  <si>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</si>
  <si>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</si>
  <si>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</si>
  <si>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</si>
  <si>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</si>
  <si>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</si>
  <si>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</si>
  <si>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</si>
  <si>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</si>
  <si>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</si>
  <si>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</si>
  <si>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</si>
  <si>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</si>
  <si>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</si>
  <si>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</si>
  <si>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</si>
  <si>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</si>
  <si>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</si>
  <si>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</si>
  <si>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</si>
  <si>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</si>
  <si>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</si>
  <si>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</si>
  <si>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</si>
  <si>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</si>
  <si>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</si>
  <si>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</si>
  <si>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</si>
  <si>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</si>
  <si>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</si>
  <si>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</si>
  <si>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</si>
  <si>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</si>
  <si>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</si>
  <si>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</si>
  <si>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</si>
  <si>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</si>
  <si>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</si>
  <si>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</si>
  <si>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</si>
  <si>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</si>
  <si>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</si>
  <si>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</si>
  <si>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</si>
  <si>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</si>
  <si>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</si>
  <si>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</si>
  <si>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</si>
  <si>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</si>
  <si>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</si>
  <si>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</si>
  <si>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</si>
  <si>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</si>
  <si>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</si>
  <si>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</si>
  <si>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</si>
  <si>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</si>
  <si>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</si>
  <si>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</si>
  <si>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</si>
  <si>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</si>
  <si>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</si>
  <si>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</si>
  <si>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</si>
  <si>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</si>
  <si>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</si>
  <si>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</si>
  <si>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</si>
  <si>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</si>
  <si>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</si>
  <si>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</si>
  <si>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</si>
  <si>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</si>
  <si>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</si>
  <si>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</si>
  <si>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</si>
  <si>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</si>
  <si>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</si>
  <si>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</si>
  <si>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</si>
  <si>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</si>
  <si>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</si>
  <si>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</si>
  <si>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</si>
  <si>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</si>
  <si>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</si>
  <si>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</si>
  <si>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</si>
  <si>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</si>
  <si>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</si>
  <si>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</si>
  <si>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</si>
  <si>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</si>
  <si>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</si>
  <si>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</si>
  <si>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</si>
  <si>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</si>
  <si>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</si>
  <si>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</si>
  <si>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</si>
  <si>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</si>
  <si>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</si>
  <si>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</si>
  <si>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</si>
  <si>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</si>
  <si>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</si>
  <si>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</si>
  <si>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</si>
  <si>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</si>
  <si>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</si>
  <si>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</si>
  <si>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</si>
  <si>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</si>
  <si>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</si>
  <si>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</si>
  <si>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</si>
  <si>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</si>
  <si>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</si>
  <si>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</si>
  <si>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</si>
  <si>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</si>
  <si>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</si>
  <si>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</si>
  <si>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</si>
  <si>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</si>
  <si>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</si>
  <si>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</si>
  <si>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</si>
  <si>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</si>
  <si>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</si>
  <si>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</si>
  <si>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</si>
  <si>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</si>
  <si>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</si>
  <si>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</si>
  <si>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</si>
  <si>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</si>
  <si>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</si>
  <si>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</si>
  <si>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</si>
  <si>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</si>
  <si>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</si>
  <si>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</si>
  <si>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</si>
  <si>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</si>
  <si>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</si>
  <si>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</si>
  <si>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</si>
  <si>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</si>
  <si>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</si>
  <si>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</si>
  <si>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</si>
  <si>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</si>
  <si>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</si>
  <si>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</si>
  <si>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</si>
  <si>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</si>
  <si>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</si>
  <si>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</si>
  <si>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</si>
  <si>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</si>
  <si>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</si>
  <si>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</si>
  <si>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</si>
  <si>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</si>
  <si>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</si>
  <si>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</si>
  <si>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</si>
  <si>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</si>
  <si>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</si>
  <si>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</si>
  <si>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</si>
  <si>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</si>
  <si>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</si>
  <si>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</si>
  <si>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</si>
  <si>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</si>
  <si>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</si>
  <si>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</si>
  <si>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</si>
  <si>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</si>
  <si>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</si>
  <si>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</si>
  <si>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</si>
  <si>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</si>
  <si>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</si>
  <si>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</si>
  <si>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</si>
  <si>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</si>
  <si>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</si>
  <si>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</si>
  <si>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</si>
  <si>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</si>
  <si>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</si>
  <si>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</si>
  <si>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</si>
  <si>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</si>
  <si>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</si>
  <si>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</si>
  <si>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</si>
  <si>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</si>
  <si>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</si>
  <si>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</si>
  <si>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</si>
  <si>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</si>
  <si>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</si>
  <si>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</si>
  <si>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</si>
  <si>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</si>
  <si>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</si>
  <si>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</si>
  <si>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</si>
  <si>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</si>
  <si>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</si>
  <si>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</si>
  <si>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</si>
  <si>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</si>
  <si>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</si>
  <si>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</si>
  <si>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</si>
  <si>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</si>
  <si>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</si>
  <si>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</si>
  <si>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</si>
  <si>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</si>
  <si>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</si>
  <si>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</si>
  <si>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</si>
  <si>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</si>
  <si>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</si>
  <si>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</si>
  <si>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</si>
  <si>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</si>
  <si>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</si>
  <si>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</si>
  <si>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</si>
  <si>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</si>
  <si>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</si>
  <si>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</si>
  <si>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</si>
  <si>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</si>
  <si>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</si>
  <si>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</si>
  <si>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</si>
  <si>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</si>
  <si>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</si>
  <si>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</si>
  <si>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</si>
  <si>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</si>
  <si>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</si>
  <si>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</si>
  <si>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</si>
  <si>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</si>
  <si>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</si>
  <si>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</si>
  <si>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</si>
  <si>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</si>
  <si>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</si>
  <si>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</si>
  <si>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</si>
  <si>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</si>
  <si>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</si>
  <si>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</si>
  <si>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</si>
  <si>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</si>
  <si>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</si>
  <si>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</si>
  <si>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</si>
  <si>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</si>
  <si>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</si>
  <si>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</si>
  <si>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</si>
  <si>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</si>
  <si>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</si>
  <si>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</si>
  <si>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</si>
  <si>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</si>
  <si>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</si>
  <si>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</si>
  <si>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</si>
  <si>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</si>
  <si>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</si>
  <si>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</si>
  <si>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</si>
  <si>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</si>
  <si>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</si>
  <si>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</si>
  <si>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</si>
  <si>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</si>
  <si>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</si>
  <si>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</si>
  <si>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</si>
  <si>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</si>
  <si>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</si>
  <si>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</si>
  <si>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</si>
  <si>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</si>
  <si>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</si>
  <si>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</si>
  <si>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</si>
  <si>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</si>
  <si>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</si>
  <si>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</si>
  <si>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</si>
  <si>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</si>
  <si>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</si>
  <si>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</si>
  <si>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</si>
  <si>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</si>
  <si>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</si>
  <si>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</si>
  <si>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</si>
  <si>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</si>
  <si>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</si>
  <si>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</si>
  <si>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</si>
  <si>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</si>
  <si>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</si>
  <si>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</si>
  <si>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</si>
  <si>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</si>
  <si>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</si>
  <si>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</si>
  <si>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</si>
  <si>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</si>
  <si>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</si>
  <si>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</si>
  <si>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</si>
  <si>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</si>
  <si>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</si>
  <si>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</si>
  <si>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</si>
  <si>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</si>
  <si>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</si>
  <si>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</si>
  <si>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</si>
  <si>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</si>
  <si>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</si>
  <si>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</si>
  <si>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</si>
  <si>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</si>
  <si>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</si>
  <si>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</si>
  <si>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</si>
  <si>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</si>
  <si>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</si>
  <si>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</si>
  <si>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</si>
  <si>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</si>
  <si>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</si>
  <si>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</si>
  <si>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</si>
  <si>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</si>
  <si>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</si>
  <si>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</si>
  <si>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</si>
  <si>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</si>
  <si>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</si>
  <si>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</si>
  <si>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</si>
  <si>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</si>
  <si>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</si>
  <si>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</si>
  <si>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</si>
  <si>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</si>
  <si>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</si>
  <si>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</si>
  <si>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</si>
  <si>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</si>
  <si>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</si>
  <si>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</si>
  <si>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</si>
  <si>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</si>
  <si>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</si>
  <si>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</si>
  <si>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</si>
  <si>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</si>
  <si>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</si>
  <si>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</si>
  <si>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</si>
  <si>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</si>
  <si>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</si>
  <si>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</si>
  <si>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</si>
  <si>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</si>
  <si>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</si>
  <si>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</si>
  <si>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</si>
  <si>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</si>
  <si>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</si>
  <si>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</si>
  <si>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</si>
  <si>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</si>
  <si>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</si>
  <si>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</si>
  <si>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</si>
  <si>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</si>
  <si>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</si>
  <si>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</si>
  <si>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</si>
  <si>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</si>
  <si>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</si>
  <si>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</si>
  <si>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</si>
  <si>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</si>
  <si>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</si>
  <si>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</si>
  <si>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</si>
  <si>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</si>
  <si>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</si>
  <si>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</si>
  <si>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</si>
  <si>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</si>
  <si>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</si>
  <si>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</si>
  <si>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</si>
  <si>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</si>
  <si>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</si>
  <si>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</si>
  <si>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</si>
  <si>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</si>
  <si>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</si>
  <si>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</si>
  <si>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</si>
  <si>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</si>
  <si>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</si>
  <si>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</si>
  <si>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</si>
  <si>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</si>
  <si>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</si>
  <si>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</si>
  <si>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</si>
  <si>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</si>
  <si>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</si>
  <si>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</si>
  <si>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</si>
  <si>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</si>
  <si>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</si>
  <si>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</si>
  <si>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</si>
  <si>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</si>
  <si>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</si>
  <si>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</si>
  <si>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</si>
  <si>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</si>
  <si>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</si>
  <si>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</si>
  <si>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</si>
  <si>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</si>
  <si>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</si>
  <si>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</si>
  <si>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</si>
  <si>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</si>
  <si>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</si>
  <si>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</si>
  <si>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</si>
  <si>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</si>
  <si>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</si>
  <si>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</si>
  <si>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</si>
  <si>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</si>
  <si>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</si>
  <si>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</si>
  <si>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</si>
  <si>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</si>
  <si>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</si>
  <si>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</si>
  <si>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</si>
  <si>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</si>
  <si>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</si>
  <si>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</si>
  <si>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</si>
  <si>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</si>
  <si>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</si>
  <si>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</si>
  <si>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</si>
  <si>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</si>
  <si>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</si>
  <si>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</si>
  <si>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</si>
  <si>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</si>
  <si>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</si>
  <si>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</si>
  <si>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</si>
  <si>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</si>
  <si>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</si>
  <si>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</si>
  <si>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</si>
  <si>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</si>
  <si>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</si>
  <si>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</si>
  <si>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</si>
  <si>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</si>
  <si>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</si>
  <si>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</si>
  <si>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</si>
  <si>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</si>
  <si>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</si>
  <si>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</si>
  <si>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</si>
  <si>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</si>
  <si>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</si>
  <si>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</si>
  <si>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</si>
  <si>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</si>
  <si>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</si>
  <si>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</si>
  <si>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</si>
  <si>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</si>
  <si>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</si>
  <si>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</si>
  <si>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</si>
  <si>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</si>
  <si>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</si>
  <si>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</si>
  <si>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</si>
  <si>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</si>
  <si>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</si>
  <si>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</si>
  <si>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</si>
  <si>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</si>
  <si>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</si>
  <si>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</si>
  <si>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</si>
  <si>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</si>
  <si>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</si>
  <si>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</si>
  <si>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</si>
  <si>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</si>
  <si>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</si>
  <si>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</si>
  <si>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</si>
  <si>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</si>
  <si>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</si>
  <si>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</si>
  <si>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</si>
  <si>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</si>
  <si>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</si>
  <si>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</si>
  <si>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</si>
  <si>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</si>
  <si>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</si>
  <si>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</si>
  <si>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</si>
  <si>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</si>
  <si>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</si>
  <si>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</si>
  <si>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</si>
  <si>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</si>
  <si>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</si>
  <si>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</si>
  <si>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</si>
  <si>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</si>
  <si>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</si>
  <si>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</si>
  <si>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</si>
  <si>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</si>
  <si>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</si>
  <si>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</si>
  <si>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</si>
  <si>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</si>
  <si>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</si>
  <si>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</si>
  <si>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</si>
  <si>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</si>
  <si>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</si>
  <si>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</si>
  <si>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</si>
  <si>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</si>
  <si>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</si>
  <si>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</si>
  <si>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</si>
  <si>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</si>
  <si>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</si>
  <si>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</si>
  <si>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</si>
  <si>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</si>
  <si>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</si>
  <si>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</si>
  <si>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</si>
  <si>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</si>
  <si>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</si>
  <si>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</si>
  <si>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</si>
  <si>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</si>
  <si>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</si>
  <si>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</si>
  <si>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</si>
  <si>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</si>
  <si>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</si>
  <si>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</si>
  <si>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</si>
  <si>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</si>
  <si>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</si>
  <si>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</si>
  <si>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</si>
  <si>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</si>
  <si>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</si>
  <si>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</si>
  <si>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</si>
  <si>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</si>
  <si>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</si>
  <si>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</si>
  <si>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</si>
  <si>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</si>
  <si>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</si>
  <si>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</si>
  <si>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</si>
  <si>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</si>
  <si>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</si>
  <si>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</si>
  <si>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</si>
  <si>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</si>
  <si>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</si>
  <si>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</si>
  <si>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</si>
  <si>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</si>
  <si>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</si>
  <si>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</si>
  <si>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</si>
  <si>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</si>
  <si>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</si>
  <si>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</si>
  <si>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</si>
  <si>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</si>
  <si>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</si>
  <si>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</si>
  <si>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</si>
  <si>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</si>
  <si>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</si>
  <si>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</si>
  <si>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</si>
  <si>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</si>
  <si>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</si>
  <si>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</si>
  <si>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</si>
  <si>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</si>
  <si>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</si>
  <si>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</si>
  <si>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</si>
  <si>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</si>
  <si>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</si>
  <si>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</si>
  <si>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</si>
  <si>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</si>
  <si>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</si>
  <si>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</si>
  <si>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</si>
  <si>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</si>
  <si>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</si>
  <si>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</si>
  <si>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</si>
  <si>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</si>
  <si>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</si>
  <si>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</si>
  <si>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</si>
  <si>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</si>
  <si>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</si>
  <si>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</si>
  <si>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</si>
  <si>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</si>
  <si>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</si>
  <si>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</si>
  <si>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</si>
  <si>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</si>
  <si>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</si>
  <si>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</si>
  <si>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</si>
  <si>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</si>
  <si>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</si>
  <si>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</si>
  <si>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</si>
  <si>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</si>
  <si>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</si>
  <si>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</si>
  <si>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</si>
  <si>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</si>
  <si>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</si>
  <si>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</si>
  <si>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</si>
  <si>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</si>
  <si>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</si>
  <si>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</si>
  <si>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</si>
  <si>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</si>
  <si>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</si>
  <si>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</si>
  <si>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</si>
  <si>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</si>
  <si>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</si>
  <si>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</si>
  <si>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</si>
  <si>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</si>
  <si>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</si>
  <si>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</si>
  <si>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</si>
  <si>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</si>
  <si>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</si>
  <si>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</si>
  <si>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</si>
  <si>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</si>
  <si>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</si>
  <si>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</si>
  <si>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</si>
  <si>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</si>
  <si>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</si>
  <si>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</si>
  <si>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</si>
  <si>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</si>
  <si>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</si>
  <si>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</si>
  <si>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</si>
  <si>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</si>
  <si>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</si>
  <si>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</si>
  <si>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</si>
  <si>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</si>
  <si>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</si>
  <si>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</si>
  <si>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</si>
  <si>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</si>
  <si>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</si>
  <si>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</si>
  <si>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</si>
  <si>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</si>
  <si>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</si>
  <si>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</si>
  <si>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</si>
  <si>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</si>
  <si>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</si>
  <si>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</si>
  <si>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</si>
  <si>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</si>
  <si>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</si>
  <si>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</si>
  <si>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</si>
  <si>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</si>
  <si>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</si>
  <si>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</si>
  <si>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</si>
  <si>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</si>
  <si>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</si>
  <si>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</si>
  <si>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</si>
  <si>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</si>
  <si>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</si>
  <si>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</si>
  <si>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</si>
  <si>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</si>
  <si>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</si>
  <si>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</si>
  <si>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</si>
  <si>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</si>
  <si>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</si>
  <si>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</si>
  <si>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</si>
  <si>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</si>
  <si>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</si>
  <si>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</si>
  <si>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</si>
  <si>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</si>
  <si>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</si>
  <si>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</si>
  <si>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</si>
  <si>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</si>
  <si>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</si>
  <si>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</si>
  <si>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</si>
  <si>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</si>
  <si>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</si>
  <si>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</si>
  <si>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</si>
  <si>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</si>
  <si>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</si>
  <si>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</si>
  <si>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</si>
  <si>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</si>
  <si>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</si>
  <si>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</si>
  <si>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</si>
  <si>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</si>
  <si>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</si>
  <si>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</si>
  <si>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</si>
  <si>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</si>
  <si>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</si>
  <si>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</si>
  <si>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</si>
  <si>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</si>
  <si>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</si>
  <si>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</si>
  <si>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</si>
  <si>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</si>
  <si>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</si>
  <si>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</si>
  <si>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</si>
  <si>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</si>
  <si>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</si>
  <si>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</si>
  <si>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</si>
  <si>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</si>
  <si>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</si>
  <si>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</si>
  <si>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</si>
  <si>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</si>
  <si>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</si>
  <si>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</si>
  <si>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</si>
  <si>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</si>
  <si>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</si>
  <si>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</si>
  <si>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</si>
  <si>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</si>
  <si>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</si>
  <si>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</si>
  <si>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</si>
  <si>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</si>
  <si>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</si>
  <si>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</si>
  <si>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</si>
  <si>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</si>
  <si>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</si>
  <si>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</si>
  <si>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</si>
  <si>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</si>
  <si>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</si>
  <si>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</si>
  <si>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</si>
  <si>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</si>
  <si>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</si>
  <si>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</si>
  <si>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</si>
  <si>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</si>
  <si>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</si>
  <si>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</si>
  <si>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</si>
  <si>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</si>
  <si>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</si>
  <si>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</si>
  <si>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</si>
  <si>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</si>
  <si>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</si>
  <si>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</si>
  <si>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</si>
  <si>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</si>
  <si>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</si>
  <si>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</si>
  <si>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</si>
  <si>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</si>
  <si>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</si>
  <si>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</si>
  <si>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</si>
  <si>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</si>
  <si>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</si>
  <si>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</si>
  <si>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</si>
  <si>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</si>
  <si>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</si>
  <si>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</si>
  <si>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</si>
  <si>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</si>
  <si>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</si>
  <si>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</si>
  <si>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</si>
  <si>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</si>
  <si>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</si>
  <si>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</si>
  <si>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</si>
  <si>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</si>
  <si>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</si>
  <si>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</si>
  <si>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</si>
  <si>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</si>
  <si>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</si>
  <si>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</si>
  <si>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</si>
  <si>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</si>
  <si>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</si>
  <si>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</si>
  <si>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</si>
  <si>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</si>
  <si>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</si>
  <si>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</si>
  <si>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</si>
  <si>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</si>
  <si>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</si>
  <si>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</si>
  <si>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</si>
  <si>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</si>
  <si>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</si>
  <si>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</si>
  <si>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</si>
  <si>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</si>
  <si>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</si>
  <si>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</si>
  <si>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</si>
  <si>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</si>
  <si>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</si>
  <si>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</si>
  <si>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</si>
  <si>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</si>
  <si>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</si>
  <si>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</si>
  <si>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</si>
  <si>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</si>
  <si>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</si>
  <si>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</si>
  <si>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</si>
  <si>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</si>
  <si>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</si>
  <si>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</si>
  <si>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</si>
  <si>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</si>
  <si>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</si>
  <si>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</si>
  <si>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</si>
  <si>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</si>
  <si>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</si>
  <si>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</si>
  <si>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</si>
  <si>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</si>
  <si>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</si>
  <si>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</si>
  <si>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</si>
  <si>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</si>
  <si>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</si>
  <si>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</si>
  <si>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</si>
  <si>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</si>
  <si>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</si>
  <si>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</si>
  <si>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</si>
  <si>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</si>
  <si>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</si>
  <si>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</si>
  <si>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</si>
  <si>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</si>
  <si>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</si>
  <si>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</si>
  <si>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</si>
  <si>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</si>
  <si>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</si>
  <si>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</si>
  <si>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</si>
  <si>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</si>
  <si>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</si>
  <si>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</si>
  <si>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</si>
  <si>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</si>
  <si>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</si>
  <si>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</si>
  <si>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</si>
  <si>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</si>
  <si>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</si>
  <si>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</si>
  <si>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</si>
  <si>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</si>
  <si>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</si>
  <si>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</si>
  <si>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</si>
  <si>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</si>
  <si>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</si>
  <si>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</si>
  <si>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</si>
  <si>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</si>
  <si>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</si>
  <si>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</si>
  <si>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</si>
  <si>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</si>
  <si>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</si>
  <si>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</si>
  <si>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</si>
  <si>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</si>
  <si>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</si>
  <si>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</si>
  <si>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</si>
  <si>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</si>
  <si>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</si>
  <si>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</si>
  <si>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</si>
  <si>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</si>
  <si>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</si>
  <si>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</si>
  <si>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</si>
  <si>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</si>
  <si>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</si>
  <si>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</si>
  <si>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</si>
  <si>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</si>
  <si>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</si>
  <si>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</si>
  <si>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</si>
  <si>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</si>
  <si>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</si>
  <si>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</si>
  <si>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</si>
  <si>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</si>
  <si>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</si>
  <si>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</si>
  <si>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</si>
  <si>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</si>
  <si>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</si>
  <si>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</si>
  <si>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</si>
  <si>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</si>
  <si>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</si>
  <si>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</si>
  <si>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</si>
  <si>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</si>
  <si>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</si>
  <si>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</si>
  <si>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</si>
  <si>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</si>
  <si>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</si>
  <si>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</si>
  <si>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</si>
  <si>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</si>
  <si>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</si>
  <si>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</si>
  <si>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</si>
  <si>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</si>
  <si>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</si>
  <si>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</si>
  <si>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</si>
  <si>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</si>
  <si>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</si>
  <si>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</si>
  <si>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</si>
  <si>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</si>
  <si>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</si>
  <si>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</si>
  <si>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</si>
  <si>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</si>
  <si>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</si>
  <si>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</si>
  <si>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</si>
  <si>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</si>
  <si>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</si>
  <si>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</si>
  <si>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</si>
  <si>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</si>
  <si>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</si>
  <si>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</si>
  <si>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</si>
  <si>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</si>
  <si>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</si>
  <si>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</si>
  <si>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</si>
  <si>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</si>
  <si>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</si>
  <si>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</si>
  <si>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</si>
  <si>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</si>
  <si>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</si>
  <si>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</si>
  <si>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</si>
  <si>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</si>
  <si>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</si>
  <si>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</si>
  <si>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</si>
  <si>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</si>
  <si>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</si>
  <si>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</si>
  <si>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</si>
  <si>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</si>
  <si>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</si>
  <si>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</si>
  <si>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</si>
  <si>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</si>
  <si>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</si>
  <si>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</si>
  <si>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</si>
  <si>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</si>
  <si>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</si>
  <si>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</si>
  <si>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</si>
  <si>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</si>
  <si>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</si>
  <si>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</si>
  <si>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</si>
  <si>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</si>
  <si>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</si>
  <si>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</si>
  <si>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</si>
  <si>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</si>
  <si>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</si>
  <si>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</si>
  <si>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</si>
  <si>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</si>
  <si>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</si>
  <si>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</si>
  <si>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</si>
  <si>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</si>
  <si>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</si>
  <si>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</si>
  <si>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</si>
  <si>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</si>
  <si>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</si>
  <si>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</si>
  <si>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</si>
  <si>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</si>
  <si>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</si>
  <si>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</si>
  <si>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</si>
  <si>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</si>
  <si>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</si>
  <si>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</si>
  <si>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</si>
  <si>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</si>
  <si>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</si>
  <si>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</si>
  <si>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</si>
  <si>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</si>
  <si>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</si>
  <si>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</si>
  <si>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</si>
  <si>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</si>
  <si>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</si>
  <si>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</si>
  <si>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</si>
  <si>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</si>
  <si>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</si>
  <si>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</si>
  <si>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</si>
  <si>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</si>
  <si>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</si>
  <si>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</si>
  <si>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</si>
  <si>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</si>
  <si>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</si>
  <si>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</si>
  <si>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</si>
  <si>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</si>
  <si>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</si>
  <si>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</si>
  <si>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</si>
  <si>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</si>
  <si>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</si>
  <si>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</si>
  <si>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</si>
  <si>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</si>
  <si>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</si>
  <si>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</si>
  <si>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</si>
  <si>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</si>
  <si>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</si>
  <si>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</si>
  <si>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</si>
  <si>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</si>
  <si>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</si>
  <si>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</si>
  <si>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</si>
  <si>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</si>
  <si>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</si>
  <si>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</si>
  <si>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</si>
  <si>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</si>
  <si>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</si>
  <si>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</si>
  <si>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</si>
  <si>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</si>
  <si>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</si>
  <si>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</si>
  <si>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</si>
  <si>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</si>
  <si>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</si>
  <si>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</si>
  <si>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</si>
  <si>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</si>
  <si>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</si>
  <si>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</si>
  <si>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</si>
  <si>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</si>
  <si>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</si>
  <si>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</si>
  <si>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</si>
  <si>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</si>
  <si>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</si>
  <si>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</si>
  <si>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</si>
  <si>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</si>
  <si>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</si>
  <si>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</si>
  <si>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</si>
  <si>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</si>
  <si>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</si>
  <si>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</si>
  <si>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</si>
  <si>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</si>
  <si>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</si>
  <si>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</si>
  <si>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</si>
  <si>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</si>
  <si>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</si>
  <si>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</si>
  <si>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</si>
  <si>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</si>
  <si>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</si>
  <si>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</si>
  <si>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</si>
  <si>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</si>
  <si>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</si>
  <si>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</si>
  <si>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</si>
  <si>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</si>
  <si>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</si>
  <si>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</si>
  <si>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</si>
  <si>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</si>
  <si>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</si>
  <si>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</si>
  <si>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</si>
  <si>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</si>
  <si>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</si>
  <si>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</si>
  <si>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</si>
  <si>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</si>
  <si>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</si>
  <si>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</si>
  <si>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</si>
  <si>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</si>
  <si>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</si>
  <si>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</si>
  <si>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</si>
  <si>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</si>
  <si>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</si>
  <si>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</si>
  <si>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</si>
  <si>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</si>
  <si>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</si>
  <si>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</si>
  <si>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</si>
  <si>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</si>
  <si>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</si>
  <si>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</si>
  <si>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</si>
  <si>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</si>
  <si>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</si>
  <si>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</si>
  <si>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</si>
  <si>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</si>
  <si>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</si>
  <si>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</si>
  <si>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</si>
  <si>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</si>
  <si>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</si>
  <si>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</si>
  <si>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</si>
  <si>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</si>
  <si>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</si>
  <si>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</si>
  <si>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</si>
  <si>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</si>
  <si>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</si>
  <si>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</si>
  <si>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</si>
  <si>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</si>
  <si>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</si>
  <si>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</si>
  <si>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</si>
  <si>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</si>
  <si>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</si>
  <si>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</si>
  <si>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</si>
  <si>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</si>
  <si>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</si>
  <si>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</si>
  <si>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</si>
  <si>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</si>
  <si>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</si>
  <si>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</si>
  <si>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</si>
  <si>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</si>
  <si>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</si>
  <si>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</si>
  <si>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</si>
  <si>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</si>
  <si>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</si>
  <si>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</si>
  <si>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</si>
  <si>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</si>
  <si>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</si>
  <si>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</si>
  <si>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</si>
  <si>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</si>
  <si>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</si>
  <si>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</si>
  <si>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</si>
  <si>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</si>
  <si>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</si>
  <si>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</si>
  <si>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</si>
  <si>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</si>
  <si>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</si>
  <si>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</si>
  <si>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</si>
  <si>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</si>
  <si>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</si>
  <si>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</si>
  <si>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</si>
  <si>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</si>
  <si>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</si>
  <si>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</si>
  <si>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</si>
  <si>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</si>
  <si>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</si>
  <si>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</si>
  <si>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</si>
  <si>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</si>
  <si>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</si>
  <si>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</si>
  <si>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</si>
  <si>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</si>
  <si>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</si>
  <si>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</si>
  <si>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</si>
  <si>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</si>
  <si>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</si>
  <si>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</si>
  <si>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</si>
  <si>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</si>
  <si>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</si>
  <si>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</si>
  <si>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</si>
  <si>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</si>
  <si>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</si>
  <si>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</si>
  <si>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</si>
  <si>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</si>
  <si>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</si>
  <si>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</si>
  <si>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</si>
  <si>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</si>
  <si>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</si>
  <si>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</si>
  <si>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</si>
  <si>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</si>
  <si>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</si>
  <si>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</si>
  <si>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</si>
  <si>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</si>
  <si>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</si>
  <si>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</si>
  <si>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</si>
  <si>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</si>
  <si>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</si>
  <si>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</si>
  <si>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</si>
  <si>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</si>
  <si>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</si>
  <si>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</si>
  <si>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</si>
  <si>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</si>
  <si>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</si>
  <si>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</si>
  <si>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</si>
  <si>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</si>
  <si>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</si>
  <si>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</si>
  <si>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</si>
  <si>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</si>
  <si>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</si>
  <si>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</si>
  <si>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</si>
  <si>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</si>
  <si>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</si>
  <si>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</si>
  <si>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</si>
  <si>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</si>
  <si>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</si>
  <si>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</si>
  <si>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</si>
  <si>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</si>
  <si>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</si>
  <si>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</si>
  <si>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</si>
  <si>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</si>
  <si>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</si>
  <si>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</si>
  <si>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</si>
  <si>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</si>
  <si>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</si>
  <si>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</si>
  <si>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</si>
  <si>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</si>
  <si>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</si>
  <si>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</si>
  <si>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</si>
  <si>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</si>
  <si>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</si>
  <si>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</si>
  <si>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</si>
  <si>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</si>
  <si>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</si>
  <si>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</si>
  <si>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</si>
  <si>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</si>
  <si>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</si>
  <si>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</si>
  <si>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</si>
  <si>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</si>
  <si>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</si>
  <si>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</si>
  <si>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</si>
  <si>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</si>
  <si>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</si>
  <si>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</si>
  <si>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</si>
  <si>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</si>
  <si>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</si>
  <si>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</si>
  <si>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</si>
  <si>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</si>
  <si>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</si>
  <si>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</si>
  <si>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</si>
  <si>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</si>
  <si>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</si>
  <si>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</si>
  <si>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</si>
  <si>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</si>
  <si>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</si>
  <si>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</si>
  <si>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</si>
  <si>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</si>
  <si>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</si>
  <si>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</si>
  <si>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</si>
  <si>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</si>
  <si>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</si>
  <si>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</si>
  <si>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</si>
  <si>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</si>
  <si>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</si>
  <si>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</si>
  <si>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</si>
  <si>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</si>
  <si>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</si>
  <si>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</si>
  <si>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</si>
  <si>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</si>
  <si>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</si>
  <si>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</si>
  <si>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</si>
  <si>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</si>
  <si>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</si>
  <si>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</si>
  <si>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</si>
  <si>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</si>
  <si>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</si>
  <si>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</si>
  <si>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</si>
  <si>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</si>
  <si>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</si>
  <si>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</si>
  <si>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</si>
  <si>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</si>
  <si>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</si>
  <si>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</si>
  <si>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</si>
  <si>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</si>
  <si>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</si>
  <si>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</si>
  <si>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</si>
  <si>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</si>
  <si>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</si>
  <si>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</si>
  <si>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</si>
  <si>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</si>
  <si>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</si>
  <si>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</si>
  <si>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</si>
  <si>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</si>
  <si>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</si>
  <si>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</si>
  <si>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</si>
  <si>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</si>
  <si>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</si>
  <si>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</si>
  <si>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</si>
  <si>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</si>
  <si>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</si>
  <si>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</si>
  <si>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</si>
  <si>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</si>
  <si>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</si>
  <si>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</si>
  <si>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</si>
  <si>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</si>
  <si>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</si>
  <si>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</si>
  <si>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</si>
  <si>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</si>
  <si>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</si>
  <si>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</si>
  <si>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</si>
  <si>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</si>
  <si>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</si>
  <si>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</si>
  <si>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</si>
  <si>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</si>
  <si>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</si>
  <si>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</si>
  <si>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</si>
  <si>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</si>
  <si>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</si>
  <si>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</si>
  <si>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</si>
  <si>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</si>
  <si>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</si>
  <si>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</si>
  <si>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</si>
  <si>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</si>
  <si>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</si>
  <si>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</si>
  <si>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</si>
  <si>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</si>
  <si>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</si>
  <si>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</si>
  <si>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</si>
  <si>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</si>
  <si>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</si>
  <si>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</si>
  <si>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</si>
  <si>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</si>
  <si>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</si>
  <si>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</si>
  <si>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</si>
  <si>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</si>
  <si>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</si>
  <si>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</si>
  <si>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</si>
  <si>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</si>
  <si>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</si>
  <si>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</si>
  <si>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</si>
  <si>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</si>
  <si>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</si>
  <si>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</si>
  <si>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</si>
  <si>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</si>
  <si>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</si>
  <si>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</si>
  <si>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</si>
  <si>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</si>
  <si>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</si>
  <si>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</si>
  <si>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</si>
  <si>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</si>
  <si>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</si>
  <si>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</si>
  <si>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</si>
  <si>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</si>
  <si>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</si>
  <si>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</si>
  <si>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</si>
  <si>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</si>
  <si>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</si>
  <si>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</si>
  <si>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</si>
  <si>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</si>
  <si>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</si>
  <si>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</si>
  <si>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</si>
  <si>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</si>
  <si>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</si>
  <si>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</si>
  <si>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</si>
  <si>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</si>
  <si>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</si>
  <si>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</si>
  <si>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</si>
  <si>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</si>
  <si>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</si>
  <si>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</si>
  <si>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</si>
  <si>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</si>
  <si>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</si>
  <si>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</si>
  <si>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</si>
  <si>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</si>
  <si>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</si>
  <si>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</si>
  <si>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</si>
  <si>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</si>
  <si>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</si>
  <si>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</si>
  <si>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</si>
  <si>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</si>
  <si>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</si>
  <si>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</si>
  <si>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</si>
  <si>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</si>
  <si>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</si>
  <si>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</si>
  <si>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</si>
  <si>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</si>
  <si>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</si>
  <si>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</si>
  <si>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</si>
  <si>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</si>
  <si>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</si>
  <si>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</si>
  <si>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</si>
  <si>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</si>
  <si>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</si>
  <si>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</si>
  <si>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</si>
  <si>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</si>
  <si>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</si>
  <si>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</si>
  <si>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</si>
  <si>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</si>
  <si>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</si>
  <si>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</si>
  <si>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</si>
  <si>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</si>
  <si>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</si>
  <si>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</si>
  <si>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</si>
  <si>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</si>
  <si>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</si>
  <si>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</si>
  <si>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</si>
  <si>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</si>
  <si>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</si>
  <si>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</si>
  <si>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</si>
  <si>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</si>
  <si>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</si>
  <si>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</si>
  <si>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</si>
  <si>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</si>
  <si>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</si>
  <si>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</si>
  <si>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</si>
  <si>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</si>
  <si>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</si>
  <si>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</si>
  <si>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</si>
  <si>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</si>
  <si>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</si>
  <si>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</si>
  <si>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</si>
  <si>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</si>
  <si>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</si>
  <si>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</si>
  <si>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</si>
  <si>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</si>
  <si>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</si>
  <si>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</si>
  <si>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</si>
  <si>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</si>
  <si>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</si>
  <si>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</si>
  <si>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</si>
  <si>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</si>
  <si>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</si>
  <si>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</si>
  <si>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</si>
  <si>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</si>
  <si>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</si>
  <si>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</si>
  <si>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</si>
  <si>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</si>
  <si>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</si>
  <si>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</si>
  <si>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</si>
  <si>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</si>
  <si>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</si>
  <si>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</si>
  <si>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</si>
  <si>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</si>
  <si>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</si>
  <si>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</si>
  <si>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</si>
  <si>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</si>
  <si>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</si>
  <si>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</si>
  <si>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</si>
  <si>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</si>
  <si>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</si>
  <si>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</si>
  <si>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</si>
  <si>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</si>
  <si>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</si>
  <si>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</si>
  <si>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</si>
  <si>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</si>
  <si>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</si>
  <si>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</si>
  <si>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</si>
  <si>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</si>
  <si>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</si>
  <si>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</si>
  <si>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</si>
  <si>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</si>
  <si>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</si>
  <si>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</si>
  <si>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</si>
  <si>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</si>
  <si>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</si>
  <si>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</si>
  <si>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</si>
  <si>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</si>
  <si>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</si>
  <si>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</si>
  <si>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</si>
  <si>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</si>
  <si>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</si>
  <si>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</si>
  <si>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</si>
  <si>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</si>
  <si>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</si>
  <si>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</si>
  <si>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</si>
  <si>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</si>
  <si>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</si>
  <si>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</si>
  <si>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</si>
  <si>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</si>
  <si>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</si>
  <si>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</si>
  <si>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</si>
  <si>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</si>
  <si>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</si>
  <si>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</si>
  <si>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</si>
  <si>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</si>
  <si>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</si>
  <si>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</si>
  <si>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</si>
  <si>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</si>
  <si>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</si>
  <si>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</si>
  <si>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</si>
  <si>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</si>
  <si>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</si>
  <si>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</si>
  <si>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</si>
  <si>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</si>
  <si>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</si>
  <si>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</si>
  <si>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</si>
  <si>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</si>
  <si>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</si>
  <si>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</si>
  <si>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</si>
  <si>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</si>
  <si>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</si>
  <si>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</si>
  <si>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</si>
  <si>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</si>
  <si>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</si>
  <si>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</si>
  <si>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</si>
  <si>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</si>
  <si>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</si>
  <si>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</si>
  <si>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</si>
  <si>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</si>
  <si>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</si>
  <si>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</si>
  <si>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</si>
  <si>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</si>
  <si>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</si>
  <si>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</si>
  <si>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</si>
  <si>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</si>
  <si>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</si>
  <si>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</si>
  <si>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</si>
  <si>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</si>
  <si>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</si>
  <si>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</si>
  <si>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</si>
  <si>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</si>
  <si>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</si>
  <si>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</si>
  <si>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</si>
  <si>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</si>
  <si>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</si>
  <si>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</si>
  <si>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</si>
  <si>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</si>
  <si>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</si>
  <si>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</si>
  <si>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</si>
  <si>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</si>
  <si>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</si>
  <si>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</si>
  <si>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</si>
  <si>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</si>
  <si>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</si>
  <si>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</si>
  <si>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</si>
  <si>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</si>
  <si>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</si>
  <si>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</si>
  <si>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</si>
  <si>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</si>
  <si>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</si>
  <si>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</si>
  <si>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</si>
  <si>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</si>
  <si>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</si>
  <si>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</si>
  <si>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</si>
  <si>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</si>
  <si>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</si>
  <si>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</si>
  <si>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</si>
  <si>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</si>
  <si>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</si>
  <si>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</si>
  <si>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</si>
  <si>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</si>
  <si>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</si>
  <si>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</si>
  <si>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</si>
  <si>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</si>
  <si>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</si>
  <si>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</si>
  <si>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</si>
  <si>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</si>
  <si>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</si>
  <si>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</si>
  <si>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</si>
  <si>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</si>
  <si>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</si>
  <si>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</si>
  <si>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</si>
  <si>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</si>
  <si>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</si>
  <si>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</si>
  <si>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</si>
  <si>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</si>
  <si>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</si>
  <si>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</si>
  <si>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</si>
  <si>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</si>
  <si>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</si>
  <si>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</si>
  <si>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</si>
  <si>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</si>
  <si>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</si>
  <si>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</si>
  <si>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</si>
  <si>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</si>
  <si>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</si>
  <si>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</si>
  <si>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</si>
  <si>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</si>
  <si>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</si>
  <si>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</si>
  <si>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</si>
  <si>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</si>
  <si>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</si>
  <si>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</si>
  <si>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</si>
  <si>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</si>
  <si>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</si>
  <si>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</si>
  <si>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</si>
  <si>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</si>
  <si>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</si>
  <si>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</si>
  <si>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</si>
  <si>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</si>
  <si>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</si>
  <si>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</si>
  <si>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</si>
  <si>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</si>
  <si>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</si>
  <si>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</si>
  <si>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</si>
  <si>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</si>
  <si>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</si>
  <si>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</si>
  <si>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</si>
  <si>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</si>
  <si>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</si>
  <si>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</si>
  <si>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</si>
  <si>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</si>
  <si>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</si>
  <si>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</si>
  <si>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</si>
  <si>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</si>
  <si>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</si>
  <si>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</si>
  <si>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</si>
  <si>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</si>
  <si>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</si>
  <si>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</si>
  <si>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</si>
  <si>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</si>
  <si>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</si>
  <si>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</si>
  <si>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</si>
  <si>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</si>
  <si>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</si>
  <si>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</si>
  <si>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</si>
  <si>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</si>
  <si>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</si>
  <si>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</si>
  <si>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</si>
  <si>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</si>
  <si>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</si>
  <si>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</si>
  <si>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</si>
  <si>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</si>
  <si>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</si>
  <si>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</si>
  <si>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</si>
  <si>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</si>
  <si>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</si>
  <si>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</si>
  <si>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</si>
  <si>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</si>
  <si>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</si>
  <si>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</si>
  <si>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</si>
  <si>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</si>
  <si>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</si>
  <si>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</si>
  <si>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</si>
  <si>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</si>
  <si>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</si>
  <si>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</si>
  <si>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</si>
  <si>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</si>
  <si>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</si>
  <si>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</si>
  <si>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</si>
  <si>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</si>
  <si>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</si>
  <si>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</si>
  <si>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</si>
  <si>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</si>
  <si>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</si>
  <si>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</si>
  <si>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</si>
  <si>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</si>
  <si>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</si>
  <si>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</si>
  <si>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</si>
  <si>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</si>
  <si>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</si>
  <si>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</si>
  <si>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</si>
  <si>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</si>
  <si>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</si>
  <si>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</si>
  <si>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</si>
  <si>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</si>
  <si>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</si>
  <si>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</si>
  <si>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</si>
  <si>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</si>
  <si>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</si>
  <si>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</si>
  <si>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</si>
  <si>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</si>
  <si>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</si>
  <si>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</si>
  <si>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</si>
  <si>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</si>
  <si>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</si>
  <si>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</si>
  <si>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</si>
  <si>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</si>
  <si>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</si>
  <si>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</si>
  <si>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</si>
  <si>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</si>
  <si>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</si>
  <si>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</si>
  <si>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</si>
  <si>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</si>
  <si>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</si>
  <si>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</si>
  <si>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</si>
  <si>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</si>
  <si>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</si>
  <si>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</si>
  <si>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</si>
  <si>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</si>
  <si>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</si>
  <si>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</si>
  <si>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</si>
  <si>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</si>
  <si>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</si>
  <si>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</si>
  <si>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</si>
  <si>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</si>
  <si>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</si>
  <si>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</si>
  <si>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</si>
  <si>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</si>
  <si>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</si>
  <si>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</si>
  <si>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</si>
  <si>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</si>
  <si>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</si>
  <si>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</si>
  <si>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</si>
  <si>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</si>
  <si>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</si>
  <si>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</si>
  <si>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</si>
  <si>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</si>
  <si>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</si>
  <si>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</si>
  <si>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</si>
  <si>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</si>
  <si>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</si>
  <si>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</si>
  <si>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</si>
  <si>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</si>
  <si>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</si>
  <si>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</si>
  <si>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</si>
  <si>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</si>
  <si>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</si>
  <si>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</si>
  <si>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</si>
  <si>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</si>
  <si>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</si>
  <si>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</si>
  <si>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</si>
  <si>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</si>
  <si>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</si>
  <si>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</si>
  <si>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</si>
  <si>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</si>
  <si>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</si>
  <si>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</si>
  <si>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</si>
  <si>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</si>
  <si>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</si>
  <si>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</si>
  <si>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</si>
  <si>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</si>
  <si>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</si>
  <si>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</si>
  <si>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</si>
  <si>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</si>
  <si>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</si>
  <si>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</si>
  <si>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</si>
  <si>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</si>
  <si>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</si>
  <si>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</si>
  <si>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</si>
  <si>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</si>
  <si>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</si>
  <si>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</si>
  <si>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</si>
  <si>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</si>
  <si>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</si>
  <si>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</si>
  <si>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</si>
  <si>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</si>
  <si>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</si>
  <si>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</si>
  <si>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</si>
  <si>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</si>
  <si>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</si>
  <si>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</si>
  <si>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</si>
  <si>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</si>
  <si>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</si>
  <si>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</si>
  <si>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</si>
  <si>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</si>
  <si>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</si>
  <si>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</si>
  <si>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</si>
  <si>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</si>
  <si>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</si>
  <si>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</si>
  <si>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</si>
  <si>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</si>
  <si>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</si>
  <si>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</si>
  <si>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</si>
  <si>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</si>
  <si>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</si>
  <si>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</si>
  <si>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</si>
  <si>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</si>
  <si>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</si>
  <si>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</si>
  <si>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</si>
  <si>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</si>
  <si>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</si>
  <si>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</si>
  <si>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</si>
  <si>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</si>
  <si>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</si>
  <si>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</si>
  <si>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</si>
  <si>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</si>
  <si>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</si>
  <si>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</si>
  <si>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</si>
  <si>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</si>
  <si>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</si>
  <si>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</si>
  <si>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</si>
  <si>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</si>
  <si>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</si>
  <si>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</si>
  <si>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</si>
  <si>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</si>
  <si>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</si>
  <si>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</si>
  <si>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</si>
  <si>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</si>
  <si>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</si>
  <si>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</si>
  <si>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</si>
  <si>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</si>
  <si>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</si>
  <si>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</si>
  <si>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</si>
  <si>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</si>
  <si>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</si>
  <si>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</si>
  <si>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</si>
  <si>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</si>
  <si>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</si>
  <si>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</si>
  <si>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</si>
  <si>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</si>
  <si>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</si>
  <si>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</si>
  <si>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</si>
  <si>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</si>
  <si>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</si>
  <si>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</si>
  <si>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</si>
  <si>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</si>
  <si>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</si>
  <si>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</si>
  <si>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</si>
  <si>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</si>
  <si>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</si>
  <si>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</si>
  <si>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</si>
  <si>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</si>
  <si>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</si>
  <si>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</si>
  <si>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</si>
  <si>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</si>
  <si>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</si>
  <si>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</si>
  <si>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</si>
  <si>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</si>
  <si>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</si>
  <si>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</si>
  <si>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</si>
  <si>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</si>
  <si>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</si>
  <si>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</si>
  <si>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</si>
  <si>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</si>
  <si>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</si>
  <si>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</si>
  <si>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</si>
  <si>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</si>
  <si>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</si>
  <si>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</si>
  <si>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</si>
  <si>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</si>
  <si>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</si>
  <si>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</si>
  <si>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</si>
  <si>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</si>
  <si>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</si>
  <si>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</si>
  <si>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</si>
  <si>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</si>
  <si>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</si>
  <si>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</si>
  <si>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</si>
  <si>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</si>
  <si>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</si>
  <si>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</si>
  <si>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</si>
  <si>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</si>
  <si>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</si>
  <si>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</si>
  <si>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</si>
  <si>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</si>
  <si>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</si>
  <si>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</si>
  <si>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</si>
  <si>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</si>
  <si>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</si>
  <si>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</si>
  <si>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</si>
  <si>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</si>
  <si>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</si>
  <si>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</si>
  <si>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</si>
  <si>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</si>
  <si>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</si>
  <si>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</si>
  <si>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</si>
  <si>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</si>
  <si>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</si>
  <si>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</si>
  <si>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</si>
  <si>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</si>
  <si>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</si>
  <si>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</si>
  <si>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</si>
  <si>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</si>
  <si>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</si>
  <si>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</si>
  <si>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</si>
  <si>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</si>
  <si>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</si>
  <si>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</si>
  <si>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</si>
  <si>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</si>
  <si>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</si>
  <si>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</si>
  <si>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</si>
  <si>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</si>
  <si>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</si>
  <si>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</si>
  <si>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</si>
  <si>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</si>
  <si>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</si>
  <si>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</si>
  <si>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</si>
  <si>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</si>
  <si>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</si>
  <si>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</si>
  <si>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</si>
  <si>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</si>
  <si>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</si>
  <si>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</si>
  <si>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</si>
  <si>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</si>
  <si>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</si>
  <si>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</si>
  <si>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</si>
  <si>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</si>
  <si>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</si>
  <si>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</si>
  <si>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</si>
  <si>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</si>
  <si>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</si>
  <si>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</si>
  <si>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</si>
  <si>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</si>
  <si>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</si>
  <si>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</si>
  <si>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</si>
  <si>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</si>
  <si>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</si>
  <si>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</si>
  <si>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</si>
  <si>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</si>
  <si>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</si>
  <si>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</si>
  <si>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</si>
  <si>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</si>
  <si>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</si>
  <si>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</si>
  <si>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</si>
  <si>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</si>
  <si>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</si>
  <si>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</si>
  <si>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</si>
  <si>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</si>
  <si>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</si>
  <si>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</si>
  <si>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</si>
  <si>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</si>
  <si>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</si>
  <si>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</si>
  <si>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</si>
  <si>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</si>
  <si>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</si>
  <si>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</si>
  <si>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</si>
  <si>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</si>
  <si>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</si>
  <si>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</si>
  <si>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</si>
  <si>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</si>
  <si>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</si>
  <si>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</si>
  <si>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</si>
  <si>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</si>
  <si>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</si>
  <si>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</si>
  <si>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</si>
  <si>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</si>
  <si>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</si>
  <si>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</si>
  <si>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</si>
  <si>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</si>
  <si>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</si>
  <si>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</si>
  <si>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</si>
  <si>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</si>
  <si>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</si>
  <si>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</si>
  <si>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</si>
  <si>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</si>
  <si>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</si>
  <si>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</si>
  <si>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</si>
  <si>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</si>
  <si>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</si>
  <si>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</si>
  <si>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</si>
  <si>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</si>
  <si>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</si>
  <si>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</si>
  <si>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</si>
  <si>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</si>
  <si>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</si>
  <si>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</si>
  <si>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</si>
  <si>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</si>
  <si>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</si>
  <si>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</si>
  <si>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</si>
  <si>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</si>
  <si>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</si>
  <si>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</si>
  <si>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</si>
  <si>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</si>
  <si>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</si>
  <si>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</si>
  <si>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</si>
  <si>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</si>
  <si>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</si>
  <si>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</si>
  <si>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</si>
  <si>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</si>
  <si>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</si>
  <si>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</si>
  <si>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</si>
  <si>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</si>
  <si>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</si>
  <si>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</si>
  <si>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</si>
  <si>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</si>
  <si>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</si>
  <si>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</si>
  <si>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</si>
  <si>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</si>
  <si>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</si>
  <si>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</si>
  <si>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</si>
  <si>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</si>
  <si>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</si>
  <si>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</si>
  <si>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</si>
  <si>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</si>
  <si>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</si>
  <si>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</si>
  <si>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</si>
  <si>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</si>
  <si>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</si>
  <si>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</si>
  <si>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</si>
  <si>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</si>
  <si>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</si>
  <si>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</si>
  <si>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</si>
  <si>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</si>
  <si>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</si>
  <si>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</si>
  <si>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</si>
  <si>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</si>
  <si>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</si>
  <si>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</si>
  <si>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</si>
  <si>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</si>
  <si>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</si>
  <si>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</si>
  <si>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</si>
  <si>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</si>
  <si>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</si>
  <si>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</si>
  <si>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</si>
  <si>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</si>
  <si>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</si>
  <si>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</si>
  <si>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</si>
  <si>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</si>
  <si>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</si>
  <si>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</si>
  <si>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</si>
  <si>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</si>
  <si>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</si>
  <si>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</si>
  <si>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</si>
  <si>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</si>
  <si>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</si>
  <si>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</si>
  <si>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</si>
  <si>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</si>
  <si>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</si>
  <si>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</si>
  <si>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</si>
  <si>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</si>
  <si>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</si>
  <si>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</si>
  <si>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</si>
  <si>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</si>
  <si>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</si>
  <si>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</si>
  <si>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</si>
  <si>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</si>
  <si>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</si>
  <si>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</si>
  <si>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</si>
  <si>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</si>
  <si>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</si>
  <si>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</si>
  <si>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</si>
  <si>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</si>
  <si>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</si>
  <si>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</si>
  <si>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</si>
  <si>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</si>
  <si>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</si>
  <si>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</si>
  <si>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</si>
  <si>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</si>
  <si>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</si>
  <si>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</si>
  <si>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</si>
  <si>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</si>
  <si>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</si>
  <si>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</si>
  <si>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</si>
  <si>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</si>
  <si>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</si>
  <si>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</si>
  <si>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</si>
  <si>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</si>
  <si>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</si>
  <si>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</si>
  <si>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</si>
  <si>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</si>
  <si>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</si>
  <si>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</si>
  <si>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</si>
  <si>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</si>
  <si>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</si>
  <si>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</si>
  <si>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</si>
  <si>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</si>
  <si>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</si>
  <si>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</si>
  <si>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</si>
  <si>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</si>
  <si>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</si>
  <si>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</si>
  <si>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</si>
  <si>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</si>
  <si>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</si>
  <si>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</si>
  <si>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</si>
  <si>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</si>
  <si>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</si>
  <si>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</si>
  <si>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</si>
  <si>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</si>
  <si>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</si>
  <si>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</si>
  <si>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</si>
  <si>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</si>
  <si>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</si>
  <si>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</si>
  <si>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</si>
  <si>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</si>
  <si>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</si>
  <si>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</si>
  <si>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</si>
  <si>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</si>
  <si>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</si>
  <si>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</si>
  <si>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</si>
  <si>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</si>
  <si>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</si>
  <si>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</si>
  <si>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</si>
  <si>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</si>
  <si>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</si>
  <si>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</si>
  <si>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</si>
  <si>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</si>
  <si>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</si>
  <si>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</si>
  <si>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</si>
  <si>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</si>
  <si>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</si>
  <si>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</si>
  <si>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</si>
  <si>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</si>
  <si>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</si>
  <si>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</si>
  <si>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</si>
  <si>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</si>
  <si>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</si>
  <si>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</si>
  <si>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</si>
  <si>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</si>
  <si>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</si>
  <si>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</si>
  <si>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</si>
  <si>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</si>
  <si>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</si>
  <si>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</si>
  <si>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</si>
  <si>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</si>
  <si>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</si>
  <si>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</si>
  <si>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</si>
  <si>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</si>
  <si>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</si>
  <si>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</si>
  <si>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</si>
  <si>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</si>
  <si>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</si>
  <si>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</si>
  <si>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</si>
  <si>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</si>
  <si>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</si>
  <si>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</si>
  <si>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</si>
  <si>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</si>
  <si>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</si>
  <si>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</si>
  <si>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</si>
  <si>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</si>
  <si>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</si>
  <si>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</si>
  <si>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</si>
  <si>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</si>
  <si>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</si>
  <si>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</si>
  <si>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</si>
  <si>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</si>
  <si>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</si>
  <si>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</si>
  <si>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</si>
  <si>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</si>
  <si>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</si>
  <si>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</si>
  <si>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</si>
  <si>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</si>
  <si>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</si>
  <si>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</si>
  <si>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</si>
  <si>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</si>
  <si>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</si>
  <si>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</si>
  <si>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</si>
  <si>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</si>
  <si>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</si>
  <si>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</si>
  <si>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</si>
  <si>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</si>
  <si>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</si>
  <si>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</si>
  <si>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</si>
  <si>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</si>
  <si>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</si>
  <si>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</si>
  <si>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</si>
  <si>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</si>
  <si>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</si>
  <si>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</si>
  <si>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</si>
  <si>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</si>
  <si>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</si>
  <si>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</si>
  <si>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</si>
  <si>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</si>
  <si>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</si>
  <si>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</si>
  <si>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</si>
  <si>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</si>
  <si>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</si>
  <si>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</si>
  <si>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</si>
  <si>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</si>
  <si>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</si>
  <si>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</si>
  <si>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</si>
  <si>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</si>
  <si>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</si>
  <si>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</si>
  <si>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</si>
  <si>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</si>
  <si>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</si>
  <si>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</si>
  <si>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</si>
  <si>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</si>
  <si>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</si>
  <si>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</si>
  <si>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</si>
  <si>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</si>
  <si>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</si>
  <si>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</si>
  <si>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</si>
  <si>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</si>
  <si>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</si>
  <si>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</si>
  <si>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</si>
  <si>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</si>
  <si>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</si>
  <si>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</si>
  <si>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</si>
  <si>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</si>
  <si>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</si>
  <si>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</si>
  <si>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</si>
  <si>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</si>
  <si>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</si>
  <si>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</si>
  <si>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</si>
  <si>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</si>
  <si>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</si>
  <si>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</si>
  <si>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</si>
  <si>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</si>
  <si>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</si>
  <si>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</si>
  <si>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</si>
  <si>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</si>
  <si>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</si>
  <si>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</si>
  <si>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</si>
  <si>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</si>
  <si>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</si>
  <si>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</si>
  <si>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</si>
  <si>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</si>
  <si>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</si>
  <si>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</si>
  <si>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</si>
  <si>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</si>
  <si>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</si>
  <si>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</si>
  <si>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</si>
  <si>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</si>
  <si>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</si>
  <si>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</si>
  <si>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</si>
  <si>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</si>
  <si>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</si>
  <si>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</si>
  <si>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</si>
  <si>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</si>
  <si>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</si>
  <si>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</si>
  <si>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</si>
  <si>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</si>
  <si>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</si>
  <si>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</si>
  <si>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</si>
  <si>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</si>
  <si>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</si>
  <si>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</si>
  <si>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</si>
  <si>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</si>
  <si>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</si>
  <si>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</si>
  <si>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</si>
  <si>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</si>
  <si>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</si>
  <si>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</si>
  <si>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</si>
  <si>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</si>
  <si>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</si>
  <si>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</si>
  <si>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</si>
  <si>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</si>
  <si>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</si>
  <si>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</si>
  <si>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</si>
  <si>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</si>
  <si>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</si>
  <si>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</si>
  <si>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</si>
  <si>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</si>
  <si>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</si>
  <si>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</si>
  <si>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</si>
  <si>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</si>
  <si>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</si>
  <si>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</si>
  <si>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</si>
  <si>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</si>
  <si>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</si>
  <si>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</si>
  <si>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</si>
  <si>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</si>
  <si>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</si>
  <si>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</si>
  <si>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</si>
  <si>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</si>
  <si>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</si>
  <si>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</si>
  <si>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</si>
  <si>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</si>
  <si>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</si>
  <si>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</si>
  <si>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</si>
  <si>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</si>
  <si>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</si>
  <si>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</si>
  <si>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</si>
  <si>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</si>
  <si>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</si>
  <si>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</si>
  <si>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</si>
  <si>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</si>
  <si>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</si>
  <si>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</si>
  <si>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</si>
  <si>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</si>
  <si>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</si>
  <si>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</si>
  <si>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</si>
  <si>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</si>
  <si>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</si>
  <si>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</si>
  <si>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</si>
  <si>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</si>
  <si>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</si>
  <si>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</si>
  <si>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</si>
  <si>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</si>
  <si>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</si>
  <si>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</si>
  <si>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</si>
  <si>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</si>
  <si>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</si>
  <si>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</si>
  <si>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</si>
  <si>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</si>
  <si>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</si>
  <si>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</si>
  <si>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</si>
  <si>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</si>
  <si>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</si>
  <si>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</si>
  <si>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</si>
  <si>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</si>
  <si>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</si>
  <si>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</si>
  <si>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</si>
  <si>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</si>
  <si>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</si>
  <si>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</si>
  <si>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</si>
  <si>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</si>
  <si>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</si>
  <si>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</si>
  <si>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</si>
  <si>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</si>
  <si>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</si>
  <si>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</si>
  <si>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</si>
  <si>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</si>
  <si>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</si>
  <si>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</si>
  <si>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</si>
  <si>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</si>
  <si>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</si>
  <si>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</si>
  <si>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</si>
  <si>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</si>
  <si>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</si>
  <si>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</si>
  <si>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</si>
  <si>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</si>
  <si>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</si>
  <si>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</si>
  <si>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</si>
  <si>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</si>
  <si>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</si>
  <si>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</si>
  <si>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</si>
  <si>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</si>
  <si>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</si>
  <si>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</si>
  <si>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</si>
  <si>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</si>
  <si>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</si>
  <si>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</si>
  <si>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</si>
  <si>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</si>
  <si>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</si>
  <si>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</si>
  <si>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</si>
  <si>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</si>
  <si>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</si>
  <si>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</si>
  <si>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</si>
  <si>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</si>
  <si>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</si>
  <si>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</si>
  <si>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</si>
  <si>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</si>
  <si>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</si>
  <si>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</si>
  <si>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</si>
  <si>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</si>
  <si>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</si>
  <si>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</si>
  <si>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</si>
  <si>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</si>
  <si>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</si>
  <si>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</si>
  <si>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</si>
  <si>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</si>
  <si>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</si>
  <si>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</si>
  <si>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</si>
  <si>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</si>
  <si>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</si>
  <si>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</si>
  <si>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</si>
  <si>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</si>
  <si>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</si>
  <si>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</si>
  <si>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</si>
  <si>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</si>
  <si>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</si>
  <si>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</si>
  <si>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</si>
  <si>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</si>
  <si>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</si>
  <si>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</si>
  <si>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</si>
  <si>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</si>
  <si>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</si>
  <si>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</si>
  <si>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</si>
  <si>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</si>
  <si>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</si>
  <si>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</si>
  <si>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</si>
  <si>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</si>
  <si>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</si>
  <si>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</si>
  <si>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</si>
  <si>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</si>
  <si>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</si>
  <si>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</si>
  <si>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</si>
  <si>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</si>
  <si>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</si>
  <si>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</si>
  <si>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</si>
  <si>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</si>
  <si>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</si>
  <si>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</si>
  <si>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</si>
  <si>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</si>
  <si>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</si>
  <si>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</si>
  <si>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</si>
  <si>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</si>
  <si>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</si>
  <si>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</si>
  <si>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</si>
  <si>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</si>
  <si>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</si>
  <si>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</si>
  <si>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</si>
  <si>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</si>
  <si>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</si>
  <si>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</si>
  <si>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</si>
  <si>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</si>
  <si>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</si>
  <si>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</si>
  <si>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</si>
  <si>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</si>
  <si>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</si>
  <si>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</si>
  <si>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</si>
  <si>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</si>
  <si>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</si>
  <si>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</si>
  <si>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</si>
  <si>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</si>
  <si>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</si>
  <si>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</si>
  <si>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</si>
  <si>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</si>
  <si>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</si>
  <si>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</si>
  <si>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</si>
  <si>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</si>
  <si>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</si>
  <si>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</si>
  <si>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</si>
  <si>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</si>
  <si>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</si>
  <si>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</si>
  <si>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</si>
  <si>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</si>
  <si>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</si>
  <si>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</si>
  <si>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</si>
  <si>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</si>
  <si>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</si>
  <si>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</si>
  <si>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</si>
  <si>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</si>
  <si>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</si>
  <si>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</si>
  <si>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</si>
  <si>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</si>
  <si>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</si>
  <si>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</si>
  <si>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</si>
  <si>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</si>
  <si>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</si>
  <si>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</si>
  <si>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</si>
  <si>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</si>
  <si>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</si>
  <si>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</si>
  <si>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</si>
  <si>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</si>
  <si>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</si>
  <si>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</si>
  <si>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</si>
  <si>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</si>
  <si>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</si>
  <si>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</si>
  <si>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</si>
  <si>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</si>
  <si>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</si>
  <si>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</si>
  <si>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</si>
  <si>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</si>
  <si>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</si>
  <si>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</si>
  <si>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</si>
  <si>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</si>
  <si>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</si>
  <si>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</si>
  <si>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</si>
  <si>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</si>
  <si>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</si>
  <si>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</si>
  <si>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</si>
  <si>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</si>
  <si>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</si>
  <si>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</si>
  <si>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</si>
  <si>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</si>
  <si>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</si>
  <si>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</si>
  <si>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</si>
  <si>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</si>
  <si>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</si>
  <si>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</si>
  <si>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</si>
  <si>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</si>
  <si>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</si>
  <si>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</si>
  <si>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</si>
  <si>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</si>
  <si>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</si>
  <si>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</si>
  <si>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</si>
  <si>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</si>
  <si>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</si>
  <si>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</si>
  <si>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</si>
  <si>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</si>
  <si>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</si>
  <si>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</si>
  <si>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</si>
  <si>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</si>
  <si>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</si>
  <si>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</si>
  <si>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</si>
  <si>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</si>
  <si>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</si>
  <si>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</si>
  <si>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</si>
  <si>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</si>
  <si>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</si>
  <si>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</si>
  <si>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</si>
  <si>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</si>
  <si>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</si>
  <si>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</si>
  <si>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</si>
  <si>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</si>
  <si>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</si>
  <si>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</si>
  <si>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</si>
  <si>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</si>
  <si>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</si>
  <si>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</si>
  <si>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</si>
  <si>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</si>
  <si>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</si>
  <si>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</si>
  <si>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</si>
  <si>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</si>
  <si>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</si>
  <si>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</si>
  <si>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</si>
  <si>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</si>
  <si>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</si>
  <si>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</si>
  <si>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</si>
  <si>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</si>
  <si>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</si>
  <si>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</si>
  <si>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</si>
  <si>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</si>
  <si>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</si>
  <si>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</si>
  <si>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</si>
  <si>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</si>
  <si>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</si>
  <si>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</si>
  <si>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</si>
  <si>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</si>
  <si>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</si>
  <si>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</si>
  <si>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</si>
  <si>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</si>
  <si>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</si>
  <si>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</si>
  <si>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</si>
  <si>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</si>
  <si>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</si>
  <si>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</si>
  <si>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</si>
  <si>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</si>
  <si>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</si>
  <si>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</si>
  <si>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</si>
  <si>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</si>
  <si>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</si>
  <si>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</si>
  <si>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</si>
  <si>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</si>
  <si>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</si>
  <si>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</si>
  <si>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</si>
  <si>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</si>
  <si>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</si>
  <si>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</si>
  <si>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</si>
  <si>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</si>
  <si>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</si>
  <si>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</si>
  <si>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</si>
  <si>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</si>
  <si>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</si>
  <si>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</si>
  <si>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</si>
  <si>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</si>
  <si>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</si>
  <si>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</si>
  <si>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</si>
  <si>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</si>
  <si>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</si>
  <si>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</si>
  <si>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</si>
  <si>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</si>
  <si>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</si>
  <si>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</si>
  <si>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</si>
  <si>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</si>
  <si>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</si>
  <si>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</si>
  <si>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</si>
  <si>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</si>
  <si>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</si>
  <si>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</si>
  <si>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</si>
  <si>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</si>
  <si>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</si>
  <si>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</si>
  <si>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</si>
  <si>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</si>
  <si>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</si>
  <si>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</si>
  <si>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</si>
  <si>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</si>
  <si>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</si>
  <si>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</si>
  <si>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</si>
  <si>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</si>
  <si>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</si>
  <si>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</si>
  <si>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</si>
  <si>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</si>
  <si>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</si>
  <si>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</si>
  <si>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</si>
  <si>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</si>
  <si>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</si>
  <si>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</si>
  <si>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</si>
  <si>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</si>
  <si>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</si>
  <si>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</si>
  <si>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</si>
  <si>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</si>
  <si>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</si>
  <si>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</si>
  <si>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</si>
  <si>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</si>
  <si>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</si>
  <si>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</si>
  <si>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</si>
  <si>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</si>
  <si>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</si>
  <si>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</si>
  <si>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</si>
  <si>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</si>
  <si>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</si>
  <si>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</si>
  <si>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</si>
  <si>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</si>
  <si>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</si>
  <si>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</si>
  <si>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</si>
  <si>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</si>
  <si>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</si>
  <si>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</si>
  <si>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</si>
  <si>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</si>
  <si>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</si>
  <si>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</si>
  <si>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</si>
  <si>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</si>
  <si>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</si>
  <si>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</si>
  <si>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</si>
  <si>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</si>
  <si>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</si>
  <si>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</si>
  <si>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</si>
  <si>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</si>
  <si>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</si>
  <si>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</si>
  <si>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</si>
  <si>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</si>
  <si>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</si>
  <si>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</si>
  <si>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</si>
  <si>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</si>
  <si>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</si>
  <si>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</si>
  <si>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</si>
  <si>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</si>
  <si>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</si>
  <si>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</si>
  <si>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</si>
  <si>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</si>
  <si>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</si>
  <si>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</si>
  <si>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</si>
  <si>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</si>
  <si>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</si>
  <si>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</si>
  <si>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</si>
  <si>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</si>
  <si>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</si>
  <si>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</si>
  <si>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</si>
  <si>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</si>
  <si>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</si>
  <si>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</si>
  <si>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</si>
  <si>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</si>
  <si>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</si>
  <si>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</si>
  <si>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</si>
  <si>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</si>
  <si>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</si>
  <si>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</si>
  <si>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</si>
  <si>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</si>
  <si>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</si>
  <si>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</si>
  <si>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</si>
  <si>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</si>
  <si>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</si>
  <si>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</si>
  <si>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</si>
  <si>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</si>
  <si>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</si>
  <si>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</si>
  <si>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</si>
  <si>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</si>
  <si>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</si>
  <si>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</si>
  <si>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</si>
  <si>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</si>
  <si>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</si>
  <si>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</si>
  <si>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</si>
  <si>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</si>
  <si>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</si>
  <si>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</si>
  <si>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</si>
  <si>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</si>
  <si>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</si>
  <si>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</si>
  <si>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</si>
  <si>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</si>
  <si>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</si>
  <si>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</si>
  <si>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</si>
  <si>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</si>
  <si>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</si>
  <si>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</si>
  <si>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</si>
  <si>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</si>
  <si>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</si>
  <si>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</si>
  <si>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</si>
  <si>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</si>
  <si>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</si>
  <si>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</si>
  <si>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</si>
  <si>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</si>
  <si>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</si>
  <si>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</si>
  <si>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</si>
  <si>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</si>
  <si>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</si>
  <si>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</si>
  <si>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</si>
  <si>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</si>
  <si>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</si>
  <si>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</si>
  <si>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</si>
  <si>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</si>
  <si>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</si>
  <si>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</si>
  <si>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</si>
  <si>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</si>
  <si>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</si>
  <si>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</si>
  <si>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</si>
  <si>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</si>
  <si>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</si>
  <si>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</si>
  <si>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</si>
  <si>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</si>
  <si>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</si>
  <si>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</si>
  <si>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</si>
  <si>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</si>
  <si>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</si>
  <si>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</si>
  <si>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</si>
  <si>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</si>
  <si>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</si>
  <si>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</si>
  <si>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</si>
  <si>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</si>
  <si>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</si>
  <si>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</si>
  <si>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</si>
  <si>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</si>
  <si>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</si>
  <si>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</si>
  <si>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</si>
  <si>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</si>
  <si>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</si>
  <si>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</si>
  <si>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</si>
  <si>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</si>
  <si>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</si>
  <si>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</si>
  <si>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</si>
  <si>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</si>
  <si>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</si>
  <si>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</si>
  <si>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</si>
  <si>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</si>
  <si>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</si>
  <si>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</si>
  <si>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</si>
  <si>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</si>
  <si>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</si>
  <si>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</si>
  <si>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</si>
  <si>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</si>
  <si>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</si>
  <si>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</si>
  <si>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</si>
  <si>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</si>
  <si>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</si>
  <si>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</si>
  <si>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</si>
  <si>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</si>
  <si>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</si>
  <si>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</si>
  <si>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</si>
  <si>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</si>
  <si>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</si>
  <si>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</si>
  <si>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</si>
  <si>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</si>
  <si>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</si>
  <si>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</si>
  <si>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</si>
  <si>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</si>
  <si>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</si>
  <si>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</si>
  <si>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</si>
  <si>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</si>
  <si>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</si>
  <si>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</si>
  <si>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</si>
  <si>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</si>
  <si>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</si>
  <si>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</si>
  <si>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</si>
  <si>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</si>
  <si>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</si>
  <si>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</si>
  <si>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</si>
  <si>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</si>
  <si>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</si>
  <si>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</si>
  <si>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</si>
  <si>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</si>
  <si>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</si>
  <si>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</si>
  <si>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</si>
  <si>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</si>
  <si>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</si>
  <si>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</si>
  <si>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</si>
  <si>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</si>
  <si>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</si>
  <si>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</si>
  <si>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</si>
  <si>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</si>
  <si>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</si>
  <si>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</si>
  <si>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</si>
  <si>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</si>
  <si>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</si>
  <si>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</si>
  <si>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</si>
  <si>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</si>
  <si>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</si>
  <si>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</si>
  <si>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</si>
  <si>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</si>
  <si>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</si>
  <si>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</si>
  <si>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</si>
  <si>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</si>
  <si>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</si>
  <si>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</si>
  <si>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</si>
  <si>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</si>
  <si>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</si>
  <si>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</si>
  <si>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</si>
  <si>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</si>
  <si>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</si>
  <si>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</si>
  <si>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</si>
  <si>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</si>
  <si>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</si>
  <si>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</si>
  <si>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</si>
  <si>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</si>
  <si>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</si>
  <si>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</si>
  <si>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</si>
  <si>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</si>
  <si>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</si>
  <si>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</si>
  <si>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</si>
  <si>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</si>
  <si>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</si>
  <si>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</si>
  <si>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</si>
  <si>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</si>
  <si>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</si>
  <si>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</si>
  <si>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</si>
  <si>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</si>
  <si>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</si>
  <si>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</si>
  <si>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</si>
  <si>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</si>
  <si>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</si>
  <si>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</si>
  <si>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</si>
  <si>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</si>
  <si>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</si>
  <si>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</si>
  <si>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</si>
  <si>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</si>
  <si>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</si>
  <si>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</si>
  <si>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</si>
  <si>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</si>
  <si>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</si>
  <si>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</si>
  <si>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</si>
  <si>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</si>
  <si>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</si>
  <si>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</si>
  <si>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</si>
  <si>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</si>
  <si>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</si>
  <si>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</si>
  <si>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</si>
  <si>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比较法-商业</t>
  </si>
  <si>
    <t>楼面单价</t>
  </si>
  <si>
    <t>收益比率</t>
  </si>
  <si>
    <t>总价</t>
  </si>
  <si>
    <t>万元</t>
  </si>
  <si>
    <r>
      <t>2024</t>
    </r>
    <r>
      <rPr>
        <sz val="10"/>
        <color indexed="8"/>
        <rFont val="宋体"/>
        <family val="3"/>
        <charset val="134"/>
      </rPr>
      <t>年</t>
    </r>
    <phoneticPr fontId="8"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</si>
  <si>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</si>
  <si>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</si>
  <si>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</si>
  <si>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</si>
  <si>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</si>
  <si>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楼层表外修正</t>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</si>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</sst>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1123810"/>
        </a:xfrm>
        <a:prstGeom prst="rect">
          <a:avLst/>
        </a:prstGeom>
      </xdr:spPr>
    </xdr:pic>
    <xdr:clientData/>
  </xdr:twoCellAnchor>
  <xdr:twoCellAnchor editAs="oneCell">
    <xdr:from>
      <xdr:col>0</xdr:col>
      <xdr:colOff>0</xdr:colOff>
      <xdr:row>7</xdr:row>
      <xdr:rowOff>0</xdr:rowOff>
    </xdr:from>
    <xdr:to>
      <xdr:col>5</xdr:col>
      <xdr:colOff>332905</xdr:colOff>
      <xdr:row>14</xdr:row>
      <xdr:rowOff>28421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761905" cy="1228571"/>
        </a:xfrm>
        <a:prstGeom prst="rect">
          <a:avLst/>
        </a:prstGeom>
      </xdr:spPr>
    </xdr:pic>
    <xdr:clientData/>
  </xdr:twoCellAnchor>
  <xdr:twoCellAnchor editAs="oneCell">
    <xdr:from>
      <xdr:col>0</xdr:col>
      <xdr:colOff>0</xdr:colOff>
      <xdr:row>15</xdr:row>
      <xdr:rowOff>0</xdr:rowOff>
    </xdr:from>
    <xdr:to>
      <xdr:col>5</xdr:col>
      <xdr:colOff>561476</xdr:colOff>
      <xdr:row>29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990476" cy="2409524"/>
        </a:xfrm>
        <a:prstGeom prst="rect">
          <a:avLst/>
        </a:prstGeom>
      </xdr:spPr>
    </xdr:pic>
    <xdr:clientData/>
  </xdr:twoCellAnchor>
  <xdr:twoCellAnchor editAs="oneCell">
    <xdr:from>
      <xdr:col>6</xdr:col>
      <xdr:colOff>0</xdr:colOff>
      <xdr:row>0</xdr:row>
      <xdr:rowOff>0</xdr:rowOff>
    </xdr:from>
    <xdr:to>
      <xdr:col>11</xdr:col>
      <xdr:colOff>409095</xdr:colOff>
      <xdr:row>5</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838095" cy="971429"/>
        </a:xfrm>
        <a:prstGeom prst="rect">
          <a:avLst/>
        </a:prstGeom>
      </xdr:spPr>
    </xdr:pic>
    <xdr:clientData/>
  </xdr:twoCellAnchor>
  <xdr:twoCellAnchor editAs="oneCell">
    <xdr:from>
      <xdr:col>6</xdr:col>
      <xdr:colOff>0</xdr:colOff>
      <xdr:row>6</xdr:row>
      <xdr:rowOff>0</xdr:rowOff>
    </xdr:from>
    <xdr:to>
      <xdr:col>11</xdr:col>
      <xdr:colOff>418619</xdr:colOff>
      <xdr:row>32</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28700"/>
          <a:ext cx="3847619" cy="4533333"/>
        </a:xfrm>
        <a:prstGeom prst="rect">
          <a:avLst/>
        </a:prstGeom>
      </xdr:spPr>
    </xdr:pic>
    <xdr:clientData/>
  </xdr:twoCellAnchor>
  <xdr:twoCellAnchor editAs="oneCell">
    <xdr:from>
      <xdr:col>12</xdr:col>
      <xdr:colOff>0</xdr:colOff>
      <xdr:row>0</xdr:row>
      <xdr:rowOff>0</xdr:rowOff>
    </xdr:from>
    <xdr:to>
      <xdr:col>17</xdr:col>
      <xdr:colOff>266238</xdr:colOff>
      <xdr:row>33</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695238"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估价对象为北京市房地产，为所有。根据《国有土地使用证》[]，估价对象（分摊）出让国有建设用地使用权面积为0平方米，建筑面积为77.11平方米。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估价对象为北京市房地产,属开发建设的，该项目尚在开发建设中。根据《国有土地使用证》[]，估价对象（分摊）出让国有建设用地使用权面积为0平方米，规划建筑面积为77.11平方米。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377</v>
      </c>
    </row>
    <row r="21" spans="1:2" s="1202" customFormat="1">
      <c r="A21" s="1200" t="s">
        <v>537</v>
      </c>
      <c r="B21" s="1201">
        <f ca="1">'预评函-2'!D7</f>
        <v>48916</v>
      </c>
    </row>
    <row r="22" spans="1:2" s="1202" customFormat="1">
      <c r="A22" s="1200" t="s">
        <v>538</v>
      </c>
      <c r="B22" s="1201" t="str">
        <f ca="1">'预评函-2'!D6</f>
        <v>叁佰柒拾柒万元整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377</v>
      </c>
    </row>
    <row r="31" spans="1:2" s="1202" customFormat="1">
      <c r="A31" s="1200" t="s">
        <v>576</v>
      </c>
      <c r="B31" s="1201">
        <f ca="1">'预评函-2'!D15</f>
        <v>48916</v>
      </c>
    </row>
    <row r="32" spans="1:2" s="1202" customFormat="1">
      <c r="A32" s="1200" t="s">
        <v>543</v>
      </c>
      <c r="B32" s="1201" t="str">
        <f ca="1">'预评函-2'!D14</f>
        <v>叁佰柒拾柒万元整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77.11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283</v>
      </c>
    </row>
    <row r="48" spans="1:2" s="1202" customFormat="1">
      <c r="A48" s="1200" t="s">
        <v>549</v>
      </c>
      <c r="B48" s="1201">
        <f ca="1">'预评函-3'!E4</f>
        <v>36736</v>
      </c>
    </row>
    <row r="49" spans="1:2" s="1202" customFormat="1">
      <c r="A49" s="1200" t="s">
        <v>550</v>
      </c>
      <c r="B49" s="1201" t="str">
        <f ca="1">'预评函-3'!D5</f>
        <v>贰佰捌拾叁万元整</v>
      </c>
    </row>
    <row r="50" spans="1:2" s="1202" customFormat="1">
      <c r="A50" s="1200" t="s">
        <v>574</v>
      </c>
      <c r="B50" s="1201" t="str">
        <f>'预评函-3'!F2</f>
        <v>在建建筑物价值</v>
      </c>
    </row>
    <row r="51" spans="1:2" s="1202" customFormat="1">
      <c r="A51" s="1200" t="s">
        <v>551</v>
      </c>
      <c r="B51" s="1201">
        <f ca="1">'预评函-3'!F4</f>
        <v>94</v>
      </c>
    </row>
    <row r="52" spans="1:2" s="1202" customFormat="1">
      <c r="A52" s="1200" t="s">
        <v>552</v>
      </c>
      <c r="B52" s="1201">
        <f ca="1">'预评函-3'!G4</f>
        <v>12180</v>
      </c>
    </row>
    <row r="53" spans="1:2" s="1202" customFormat="1">
      <c r="A53" s="1200" t="s">
        <v>580</v>
      </c>
      <c r="B53" s="1201" t="str">
        <f ca="1">'预评函-3'!F5</f>
        <v>玖拾肆万元整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17"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18"/>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3463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18.649999999999999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77.11</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8"/>
      <c r="B30" s="302" t="s">
        <v>2218</v>
      </c>
      <c r="C30" s="3539"/>
      <c r="D30" s="3540"/>
      <c r="E30" s="2663"/>
      <c r="F30" s="2663"/>
      <c r="G30" s="2663"/>
      <c r="H30" s="2663"/>
      <c r="I30" s="2663"/>
      <c r="J30" s="2438"/>
      <c r="K30" s="2615"/>
      <c r="L30" s="2612"/>
      <c r="M30" s="2612"/>
      <c r="N30" s="2438"/>
      <c r="O30" s="2449"/>
      <c r="P30" s="2438"/>
      <c r="Q30" s="2438"/>
      <c r="R30" s="2438"/>
      <c r="S30" s="2438"/>
      <c r="T30" s="2438"/>
      <c r="U30" s="2438"/>
      <c r="V30" s="2438"/>
    </row>
    <row r="31" spans="1:28">
      <c r="A31" s="354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6" t="s">
        <v>2228</v>
      </c>
      <c r="T34" s="2427" t="str">
        <f>NUMBERSTRING(7-K34,1)&amp;"通"</f>
        <v>七通</v>
      </c>
      <c r="U34" s="2438"/>
      <c r="V34" s="2438"/>
    </row>
    <row r="35" spans="1:30">
      <c r="A35" s="2428"/>
      <c r="B35" s="3543" t="s">
        <v>2229</v>
      </c>
      <c r="C35" s="3543"/>
      <c r="D35" s="3543"/>
      <c r="E35" s="354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77.11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77.11</v>
      </c>
      <c r="H5" s="13">
        <f t="shared" ref="H5:AT5" si="0">SUM(H13:H656)</f>
        <v>77.11</v>
      </c>
      <c r="I5" s="13">
        <f t="shared" si="0"/>
        <v>77.11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77.11</v>
      </c>
      <c r="BA5" s="15">
        <f t="shared" si="1"/>
        <v>77.11</v>
      </c>
      <c r="BB5" s="15">
        <f t="shared" si="1"/>
        <v>77.11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3411</v>
      </c>
      <c r="E13" s="13">
        <f>IF($C$3="是",ROUND($A$3*G13/$B$3,2),ROUND($A$3*(G13-AT13)/$B$3,2))</f>
        <v>0</v>
      </c>
      <c r="F13" s="29"/>
      <c r="G13" s="30">
        <f>H13+AC13+AT13</f>
        <v>77.11</v>
      </c>
      <c r="H13" s="17">
        <f>SUMIF(I$12:AB$12,"总值",I13:AB13)</f>
        <v>77.11</v>
      </c>
      <c r="I13" s="1625">
        <v>77.11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77.11</v>
      </c>
      <c r="BA13" s="13">
        <f>SUM(BB13:BK13)</f>
        <v>77.11</v>
      </c>
      <c r="BB13" s="13">
        <f>IF($D13="是",I13-J13,0)</f>
        <v>77.11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77.11</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77.11</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77.11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77.11</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3413</v>
      </c>
      <c r="D19" s="45">
        <f>ROUND($D$3*E19/$E$3,2)</f>
        <v>0</v>
      </c>
      <c r="E19" s="53">
        <f t="shared" ref="E19:E26" si="1">SUM(F19:G19)</f>
        <v>77.11</v>
      </c>
      <c r="F19" s="2794">
        <f>'数据-基础表'!I13</f>
        <v>77.11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77.11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77.11</v>
      </c>
      <c r="F27" s="1139">
        <f>IF(SUM(F19:F26)=E8,SUM(F19:F26),"地上面积有误")</f>
        <v>77.11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77.11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77.11</v>
      </c>
      <c r="F31" s="676">
        <f>F27+F30</f>
        <v>77.11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18.649999999999999</v>
      </c>
      <c r="G6" s="65">
        <f>IF(ISERROR(ROUND(POWER(1+H6,D6-F6)*(POWER(1+H6,F6)-1)/(POWER(1+H6,D6)-1),3)),0,ROUND(POWER(1+H6,D6-F6)*(POWER(1+H6,F6)-1)/(POWER(1+H6,D6)-1),3))</f>
        <v>0.69599999999999995</v>
      </c>
      <c r="H6" s="731">
        <v>0.05</v>
      </c>
      <c r="I6" s="731">
        <v>5.5E-2</v>
      </c>
      <c r="J6" s="66">
        <v>7.0000000000000007E-2</v>
      </c>
      <c r="K6" s="1029">
        <f>SUMIF('数据-汇总表'!C$19:C$33,A6,'数据-汇总表'!E$19:E$33)</f>
        <v>77.11</v>
      </c>
      <c r="L6" s="732">
        <v>4500</v>
      </c>
      <c r="M6" s="67">
        <f t="shared" ref="M6:M14" si="0">ROUND(K6*L6/10000,0)</f>
        <v>35</v>
      </c>
      <c r="N6" s="730">
        <f>N18</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v>
      </c>
      <c r="V6" s="70">
        <v>0.02</v>
      </c>
      <c r="W6" s="70">
        <v>0.1</v>
      </c>
      <c r="X6" s="1039"/>
      <c r="Y6" s="71">
        <f>N6</f>
        <v>0.83</v>
      </c>
      <c r="Z6" s="72"/>
      <c r="AA6" s="66"/>
      <c r="AB6" s="66"/>
      <c r="AC6" s="1039"/>
      <c r="AD6" s="73"/>
      <c r="AE6" s="1040">
        <f ca="1">IF(AN6="",0,SUMIF(INDIRECT("'"&amp;AN6&amp;"'"&amp;"!E:E"),$AE$5,INDIRECT("'"&amp;AN6&amp;"'"&amp;"!F:F")))</f>
        <v>18.649999999999999</v>
      </c>
      <c r="AF6" s="1347"/>
      <c r="AG6" s="138">
        <f>IF(AF6="",0,AE6-AF6)</f>
        <v>0</v>
      </c>
      <c r="AH6" s="74"/>
      <c r="AI6" s="76">
        <v>365</v>
      </c>
      <c r="AJ6" s="77"/>
      <c r="AK6" s="78">
        <v>5.0000000000000001E-3</v>
      </c>
      <c r="AL6" s="79">
        <v>1E-3</v>
      </c>
      <c r="AM6" s="80">
        <v>5.0000000000000001E-3</v>
      </c>
      <c r="AN6" s="1714" t="s">
        <v>3415</v>
      </c>
      <c r="AO6" s="52">
        <f ca="1">SUMIF(INDIRECT("'"&amp;AN6&amp;"'"&amp;"!A:A"),"总价",INDIRECT("'"&amp;AN6&amp;"'"&amp;"!B:B"))</f>
        <v>171.08459999999999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0.69599999999999995</v>
      </c>
      <c r="H16" s="90">
        <f>ROUND(SUMPRODUCT(H6:H13,K6:K13)/SUMPRODUCT((H6:H13&gt;0)*(K6:K13)),3)</f>
        <v>0.05</v>
      </c>
      <c r="I16" s="91"/>
      <c r="J16" s="91"/>
      <c r="K16" s="92">
        <f>SUM(K6:K15)</f>
        <v>77.11</v>
      </c>
      <c r="L16" s="93">
        <f>ROUND(M16*10000/SUM(K6:K14),0)</f>
        <v>4539</v>
      </c>
      <c r="M16" s="93">
        <f>SUM(M6:M14)</f>
        <v>35</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0.83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0.82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77.11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377</v>
      </c>
      <c r="C5" s="2511">
        <f ca="1">IF(B5=D14,结果表!H102,ROUND(B5*10000/$B$1,0))</f>
        <v>48916</v>
      </c>
      <c r="D5" s="2511" t="e">
        <f ca="1">ROUND(B5*10000/$B$2,0)</f>
        <v>#DIV/0!</v>
      </c>
      <c r="E5" s="2685"/>
      <c r="F5" s="2686"/>
      <c r="G5" s="2686"/>
      <c r="H5" s="2687"/>
      <c r="I5" s="2687"/>
      <c r="J5" s="2687"/>
      <c r="K5" s="2687"/>
    </row>
    <row r="6" spans="1:11" ht="16.5">
      <c r="A6" s="2511" t="s">
        <v>656</v>
      </c>
      <c r="B6" s="2511">
        <f ca="1">SUM(G14:G23)</f>
        <v>377</v>
      </c>
      <c r="C6" s="2511">
        <f ca="1">IF(B6=G14,结果表!H108,ROUND(B6*10000/$B$1,0))</f>
        <v>48916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77.11</v>
      </c>
      <c r="C14" s="2517"/>
      <c r="D14" s="2517">
        <f ca="1">结果表!H118</f>
        <v>377</v>
      </c>
      <c r="E14" s="2517">
        <f ca="1">ROUND(D14*10000/B14,0)</f>
        <v>48891</v>
      </c>
      <c r="F14" s="2517" t="e">
        <f ca="1">ROUND(D14*10000/C14,0)</f>
        <v>#DIV/0!</v>
      </c>
      <c r="G14" s="2517">
        <f ca="1">D14</f>
        <v>377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3449</v>
      </c>
      <c r="D4" s="1755" t="s">
        <v>3415</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6"/>
      <c r="G5" s="1756"/>
      <c r="H5" s="1756"/>
      <c r="I5" s="1372"/>
    </row>
    <row r="6" spans="1:12" ht="12.75">
      <c r="A6" s="3576"/>
      <c r="B6" s="3631"/>
      <c r="C6" s="3636"/>
      <c r="D6" s="3622"/>
      <c r="E6" s="131" t="s">
        <v>1270</v>
      </c>
      <c r="F6" s="1756"/>
      <c r="G6" s="1756"/>
      <c r="H6" s="1756"/>
      <c r="I6" s="1372"/>
    </row>
    <row r="7" spans="1:12" ht="12.75">
      <c r="A7" s="3576"/>
      <c r="B7" s="3631"/>
      <c r="C7" s="3635"/>
      <c r="D7" s="3622"/>
      <c r="E7" s="131" t="s">
        <v>1271</v>
      </c>
      <c r="F7" s="1756"/>
      <c r="G7" s="1756"/>
      <c r="H7" s="1756"/>
      <c r="I7" s="1372"/>
    </row>
    <row r="8" spans="1:12" ht="12.75">
      <c r="A8" s="3576" t="s">
        <v>1272</v>
      </c>
      <c r="B8" s="3631">
        <v>15</v>
      </c>
      <c r="C8" s="3634"/>
      <c r="D8" s="3622"/>
      <c r="E8" s="131" t="s">
        <v>1273</v>
      </c>
      <c r="F8" s="1756"/>
      <c r="G8" s="1756"/>
      <c r="H8" s="1756"/>
      <c r="I8" s="1372"/>
    </row>
    <row r="9" spans="1:12" ht="12.75">
      <c r="A9" s="3576"/>
      <c r="B9" s="3631"/>
      <c r="C9" s="3635"/>
      <c r="D9" s="3622"/>
      <c r="E9" s="131" t="s">
        <v>1274</v>
      </c>
      <c r="F9" s="1756"/>
      <c r="G9" s="1756"/>
      <c r="H9" s="1756"/>
      <c r="I9" s="1372"/>
    </row>
    <row r="10" spans="1:12" ht="12.75">
      <c r="A10" s="3576" t="s">
        <v>1275</v>
      </c>
      <c r="B10" s="3631">
        <v>15</v>
      </c>
      <c r="C10" s="3634"/>
      <c r="D10" s="3622"/>
      <c r="E10" s="131" t="s">
        <v>1276</v>
      </c>
      <c r="F10" s="1756"/>
      <c r="G10" s="1756"/>
      <c r="H10" s="1756"/>
      <c r="I10" s="1372"/>
    </row>
    <row r="11" spans="1:12" ht="12.75">
      <c r="A11" s="3576"/>
      <c r="B11" s="3631"/>
      <c r="C11" s="3635"/>
      <c r="D11" s="3622"/>
      <c r="E11" s="131" t="s">
        <v>1277</v>
      </c>
      <c r="F11" s="1756"/>
      <c r="G11" s="1756"/>
      <c r="H11" s="1756"/>
      <c r="I11" s="1372"/>
    </row>
    <row r="12" spans="1:12" ht="12.75">
      <c r="A12" s="3576" t="s">
        <v>1278</v>
      </c>
      <c r="B12" s="3631">
        <v>15</v>
      </c>
      <c r="C12" s="3634"/>
      <c r="D12" s="3622"/>
      <c r="E12" s="131" t="s">
        <v>1279</v>
      </c>
      <c r="F12" s="1756"/>
      <c r="G12" s="1756"/>
      <c r="H12" s="1756"/>
      <c r="I12" s="1372"/>
    </row>
    <row r="13" spans="1:12" ht="12.75">
      <c r="A13" s="3576"/>
      <c r="B13" s="3631"/>
      <c r="C13" s="3635"/>
      <c r="D13" s="3622"/>
      <c r="E13" s="131" t="s">
        <v>1280</v>
      </c>
      <c r="F13" s="1756"/>
      <c r="G13" s="1756"/>
      <c r="H13" s="1756"/>
      <c r="I13" s="1372"/>
    </row>
    <row r="14" spans="1:12" ht="12.75">
      <c r="A14" s="3576" t="s">
        <v>1281</v>
      </c>
      <c r="B14" s="3631">
        <v>30</v>
      </c>
      <c r="C14" s="3634">
        <v>6</v>
      </c>
      <c r="D14" s="3622">
        <v>4</v>
      </c>
      <c r="E14" s="131" t="s">
        <v>1282</v>
      </c>
      <c r="F14" s="1756"/>
      <c r="G14" s="1756"/>
      <c r="H14" s="1756"/>
      <c r="I14" s="1372"/>
    </row>
    <row r="15" spans="1:12" ht="12.75">
      <c r="A15" s="3576"/>
      <c r="B15" s="3631"/>
      <c r="C15" s="3636"/>
      <c r="D15" s="3622"/>
      <c r="E15" s="131" t="s">
        <v>1283</v>
      </c>
      <c r="F15" s="1756"/>
      <c r="G15" s="1756"/>
      <c r="H15" s="1756"/>
      <c r="I15" s="1372"/>
    </row>
    <row r="16" spans="1:12" ht="12.75">
      <c r="A16" s="3576"/>
      <c r="B16" s="3631"/>
      <c r="C16" s="3635"/>
      <c r="D16" s="362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53" t="s">
        <v>2131</v>
      </c>
      <c r="F18" s="3654"/>
      <c r="G18" s="3654"/>
      <c r="H18" s="3654"/>
      <c r="I18" s="3654"/>
      <c r="K18" s="302" t="s">
        <v>1289</v>
      </c>
      <c r="L18" s="302">
        <f>IF(C1="",'数据-汇总表'!E3,SUMIF(项目类型,C1,'数据-汇总表'!E17:E26)+SUMIF(项目类型,C1,'数据-汇总表'!I17:I26))</f>
        <v>77.11</v>
      </c>
      <c r="M18" s="302">
        <f>IF(C1="",'数据-汇总表'!E3,SUMIF(项目类型,C1,'数据-汇总表'!E17:E26))</f>
        <v>77.11</v>
      </c>
    </row>
    <row r="19" spans="1:36" ht="15">
      <c r="A19" s="1760" t="s">
        <v>1290</v>
      </c>
      <c r="B19" s="1761" t="s">
        <v>1291</v>
      </c>
      <c r="C19" s="134">
        <f ca="1">SUMIF(INDIRECT("'"&amp;C4&amp;"'"&amp;"!A:A"),结果表!B19,INDIRECT("'"&amp;C4&amp;"'"&amp;"!B:B"))</f>
        <v>514.60130000000004</v>
      </c>
      <c r="D19" s="135">
        <f ca="1">SUMIF(INDIRECT("'"&amp;D4&amp;"'"&amp;"!A:A"),结果表!B19,INDIRECT("'"&amp;D4&amp;"'"&amp;"!B:B"))</f>
        <v>171.08459999999999</v>
      </c>
      <c r="E19" s="1760" t="s">
        <v>1292</v>
      </c>
      <c r="F19" s="1761" t="s">
        <v>1291</v>
      </c>
      <c r="G19" s="136">
        <f ca="1">ROUND(C19*$C$18+D19*$D$18,0)</f>
        <v>377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66736</v>
      </c>
      <c r="D20" s="138">
        <f ca="1">SUMIF(INDIRECT("'"&amp;D4&amp;"'"&amp;"!A:A"),结果表!B20,INDIRECT("'"&amp;D4&amp;"'"&amp;"!B:B"))</f>
        <v>22187</v>
      </c>
      <c r="E20" s="1763"/>
      <c r="F20" s="1025" t="s">
        <v>1295</v>
      </c>
      <c r="G20" s="139">
        <f ca="1">ROUND(C20*$C$18+D20*$D$18,0)</f>
        <v>48916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2.0078762203027045</v>
      </c>
      <c r="E22" s="129"/>
      <c r="F22" s="129"/>
      <c r="G22" s="129"/>
      <c r="H22" s="129"/>
      <c r="I22" s="129"/>
    </row>
    <row r="23" spans="1:36" ht="13.5" thickBot="1">
      <c r="A23" s="1746"/>
      <c r="B23" s="1746"/>
      <c r="C23" s="1746"/>
      <c r="D23" s="1746"/>
      <c r="E23" s="129"/>
      <c r="F23" s="129"/>
      <c r="G23" s="129"/>
      <c r="H23" s="129"/>
      <c r="I23" s="129"/>
    </row>
    <row r="24" spans="1:36" ht="14.25">
      <c r="A24" s="3646" t="s">
        <v>1299</v>
      </c>
      <c r="B24" s="1761" t="s">
        <v>1291</v>
      </c>
      <c r="C24" s="136">
        <f>IF(B30=0,0,D30)</f>
        <v>0</v>
      </c>
      <c r="D24" s="1768"/>
      <c r="E24" s="129"/>
      <c r="F24" s="129" t="s">
        <v>3454</v>
      </c>
      <c r="G24" s="129"/>
      <c r="H24" s="129"/>
      <c r="I24" s="129"/>
    </row>
    <row r="25" spans="1:36" ht="14.25">
      <c r="A25" s="3647"/>
      <c r="B25" s="1025" t="s">
        <v>1295</v>
      </c>
      <c r="C25" s="141">
        <f>IF(B30=0,0,C30)</f>
        <v>0</v>
      </c>
      <c r="D25" s="1769"/>
      <c r="E25" s="129"/>
      <c r="F25" s="129" t="s">
        <v>3452</v>
      </c>
      <c r="G25" s="129">
        <f>ROUND(L18*G26/10000,0)</f>
        <v>386</v>
      </c>
      <c r="H25" s="129" t="s">
        <v>3453</v>
      </c>
      <c r="I25" s="129"/>
    </row>
    <row r="26" spans="1:36" ht="13.5" customHeight="1">
      <c r="A26" s="1770" t="s">
        <v>1300</v>
      </c>
      <c r="B26" s="142" t="s">
        <v>1301</v>
      </c>
      <c r="C26" s="142" t="s">
        <v>1302</v>
      </c>
      <c r="D26" s="143" t="s">
        <v>1303</v>
      </c>
      <c r="E26" s="129"/>
      <c r="F26" s="129" t="s">
        <v>3450</v>
      </c>
      <c r="G26" s="129">
        <v>50041</v>
      </c>
      <c r="H26" s="129" t="s">
        <v>3350</v>
      </c>
      <c r="I26" s="129"/>
    </row>
    <row r="27" spans="1:36" ht="14.25">
      <c r="A27" s="1770"/>
      <c r="B27" s="142">
        <v>0</v>
      </c>
      <c r="C27" s="142">
        <v>0</v>
      </c>
      <c r="D27" s="143">
        <f>ROUND(C27*B27/10000,0)</f>
        <v>0</v>
      </c>
      <c r="E27" s="129"/>
      <c r="F27" s="129"/>
      <c r="G27" s="129">
        <f ca="1">G20/G26</f>
        <v>0.97751843488339563</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48916</v>
      </c>
      <c r="D32" s="1774" t="s">
        <v>3450</v>
      </c>
      <c r="E32" s="129"/>
      <c r="F32" s="129"/>
      <c r="G32" s="129"/>
      <c r="H32" s="129"/>
      <c r="I32" s="129"/>
    </row>
    <row r="33" spans="1:15" ht="15">
      <c r="A33" s="785" t="s">
        <v>1306</v>
      </c>
      <c r="B33" s="1775"/>
      <c r="C33" s="1776" t="s">
        <v>3451</v>
      </c>
      <c r="D33" s="1777" t="s">
        <v>3415</v>
      </c>
      <c r="E33" s="1778" t="s">
        <v>1307</v>
      </c>
      <c r="F33" s="1779" t="str">
        <f>IF(D32="楼面单价","取值（单价）","取值（总价）")</f>
        <v>取值（单价）</v>
      </c>
      <c r="G33" s="129"/>
      <c r="H33" s="129"/>
      <c r="I33" s="129"/>
    </row>
    <row r="34" spans="1:15" ht="15">
      <c r="A34" s="1780"/>
      <c r="B34" s="1781" t="s">
        <v>1308</v>
      </c>
      <c r="C34" s="148">
        <f ca="1">IF(C33="自定义",F34,C32-C35)</f>
        <v>36736</v>
      </c>
      <c r="D34" s="860">
        <f ca="1">IF(C33="自定义",ROUND(C34/C32,3),IF(C33="收益比率",SUMIF(INDIRECT("'"&amp;D33&amp;"'"&amp;"!b:b"),"土地收益比率",INDIRECT("'"&amp;D33&amp;"'"&amp;"!c:c")),SUMIF(INDIRECT("'"&amp;D33&amp;"'"&amp;"!b:b"),"土地成本比率",INDIRECT("'"&amp;D33&amp;"'"&amp;"!c:c"))))</f>
        <v>0.751</v>
      </c>
      <c r="E34" s="1782" t="s">
        <v>1309</v>
      </c>
      <c r="F34" s="1329"/>
      <c r="G34" s="129"/>
      <c r="H34" s="129"/>
      <c r="I34" s="129"/>
    </row>
    <row r="35" spans="1:15" ht="15.75" thickBot="1">
      <c r="A35" s="1783"/>
      <c r="B35" s="1784" t="s">
        <v>1310</v>
      </c>
      <c r="C35" s="1169">
        <f ca="1">IF(C33="自定义",F35,ROUND(C32*D35,0))</f>
        <v>12180</v>
      </c>
      <c r="D35" s="1170">
        <f ca="1">IF(C33="自定义",ROUND(C35/C32,3),IF(C33="收益比率",SUMIF(INDIRECT("'"&amp;D33&amp;"'"&amp;"!b:b"),"建筑物收益比率",INDIRECT("'"&amp;D33&amp;"'"&amp;"!c:c")),SUMIF(INDIRECT("'"&amp;D33&amp;"'"&amp;"!b:b"),"建筑物成本比率",INDIRECT("'"&amp;D33&amp;"'"&amp;"!c:c"))))</f>
        <v>0.249</v>
      </c>
      <c r="E35" s="1785" t="s">
        <v>1311</v>
      </c>
      <c r="F35" s="154"/>
      <c r="G35" s="129"/>
      <c r="H35" s="129"/>
      <c r="I35" s="129"/>
    </row>
    <row r="36" spans="1:15" ht="15.75" thickBot="1">
      <c r="A36" s="3623" t="s">
        <v>1312</v>
      </c>
      <c r="B36" s="1786" t="s">
        <v>1313</v>
      </c>
      <c r="C36" s="145"/>
      <c r="D36" s="1787"/>
      <c r="E36" s="1788"/>
      <c r="F36" s="1789"/>
      <c r="G36" s="129"/>
      <c r="H36" s="129"/>
      <c r="I36" s="129"/>
    </row>
    <row r="37" spans="1:15" ht="15.75" thickBot="1">
      <c r="A37" s="3624"/>
      <c r="B37" s="1673" t="s">
        <v>1314</v>
      </c>
      <c r="C37" s="147"/>
      <c r="D37" s="1138"/>
      <c r="E37" s="1138"/>
      <c r="F37" s="1789"/>
      <c r="G37" s="129"/>
      <c r="H37" s="129"/>
      <c r="I37" s="129"/>
    </row>
    <row r="38" spans="1:15" ht="15.75" thickBot="1">
      <c r="A38" s="362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3" t="s">
        <v>1326</v>
      </c>
      <c r="B45" s="3644"/>
      <c r="C45" s="3645"/>
      <c r="D45" s="155">
        <f ca="1">ROUND(H101*F45,0)</f>
        <v>377</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5"/>
      <c r="I46" s="159"/>
      <c r="J46" s="2522">
        <v>1</v>
      </c>
      <c r="K46" s="3564" t="s">
        <v>1331</v>
      </c>
      <c r="L46" s="3564"/>
      <c r="M46" s="3565"/>
      <c r="N46" s="3565"/>
      <c r="O46" s="3565"/>
    </row>
    <row r="47" spans="1:15" ht="12" customHeight="1">
      <c r="A47" s="160" t="s">
        <v>1332</v>
      </c>
      <c r="B47" s="161"/>
      <c r="C47" s="162"/>
      <c r="D47" s="1086" t="s">
        <v>1333</v>
      </c>
      <c r="E47" s="302" t="s">
        <v>1334</v>
      </c>
      <c r="F47" s="163" t="s">
        <v>1335</v>
      </c>
      <c r="G47" s="2545" t="s">
        <v>1336</v>
      </c>
      <c r="H47" s="2546"/>
      <c r="I47" s="159"/>
      <c r="J47" s="2522">
        <v>2</v>
      </c>
      <c r="K47" s="3564" t="s">
        <v>1337</v>
      </c>
      <c r="L47" s="3564"/>
      <c r="M47" s="3566">
        <f>'数据-取费表'!B2</f>
        <v>45784</v>
      </c>
      <c r="N47" s="3566"/>
      <c r="O47" s="3566"/>
    </row>
    <row r="48" spans="1:15" ht="25.5">
      <c r="A48" s="3626" t="s">
        <v>1338</v>
      </c>
      <c r="B48" s="3627"/>
      <c r="C48" s="362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4" t="s">
        <v>1340</v>
      </c>
      <c r="L48" s="3564"/>
      <c r="M48" s="3567">
        <f ca="1">H101</f>
        <v>377</v>
      </c>
      <c r="N48" s="3567"/>
      <c r="O48" s="3567"/>
    </row>
    <row r="49" spans="1:35" ht="25.5" customHeight="1">
      <c r="A49" s="2332" t="s">
        <v>1341</v>
      </c>
      <c r="B49" s="3612" t="s">
        <v>1342</v>
      </c>
      <c r="C49" s="3612"/>
      <c r="D49" s="1589">
        <v>0</v>
      </c>
      <c r="E49" s="324" t="s">
        <v>1343</v>
      </c>
      <c r="F49" s="2423" t="s">
        <v>28</v>
      </c>
      <c r="G49" s="3595"/>
      <c r="H49" s="2309" t="s">
        <v>2134</v>
      </c>
      <c r="I49" s="2310"/>
      <c r="J49" s="2522">
        <v>4</v>
      </c>
      <c r="K49" s="3564" t="str">
        <f>IF(项目基本情况!E8="房地产抵押价值","房地产抵押价值","抵押担保权已注销时的房地产抵押价值")</f>
        <v>房地产抵押价值</v>
      </c>
      <c r="L49" s="3564"/>
      <c r="M49" s="3567">
        <f ca="1">IF(项目基本情况!E8="房地产抵押价值",H107,H109)</f>
        <v>377</v>
      </c>
      <c r="N49" s="3567"/>
      <c r="O49" s="3567"/>
    </row>
    <row r="50" spans="1:35" ht="25.5" customHeight="1">
      <c r="A50" s="2550"/>
      <c r="B50" s="3612" t="s">
        <v>1344</v>
      </c>
      <c r="C50" s="3612"/>
      <c r="D50" s="2551"/>
      <c r="E50" s="332"/>
      <c r="F50" s="2423"/>
      <c r="G50" s="3596"/>
      <c r="H50" s="2311" t="s">
        <v>2135</v>
      </c>
      <c r="I50" s="2310"/>
      <c r="J50" s="3563" t="s">
        <v>1345</v>
      </c>
      <c r="K50" s="3563"/>
      <c r="L50" s="3563"/>
      <c r="M50" s="3563"/>
      <c r="N50" s="3563"/>
      <c r="O50" s="3563"/>
    </row>
    <row r="51" spans="1:35" ht="20.45" customHeight="1">
      <c r="A51" s="2552"/>
      <c r="B51" s="3612" t="s">
        <v>1346</v>
      </c>
      <c r="C51" s="3612"/>
      <c r="D51" s="1086"/>
      <c r="E51" s="327"/>
      <c r="F51" s="2423"/>
      <c r="G51" s="3597"/>
      <c r="H51" s="2311" t="s">
        <v>2136</v>
      </c>
      <c r="I51" s="2310"/>
      <c r="J51" s="2523" t="s">
        <v>1347</v>
      </c>
      <c r="K51" s="3564" t="s">
        <v>1348</v>
      </c>
      <c r="L51" s="3564"/>
      <c r="M51" s="2523" t="s">
        <v>1349</v>
      </c>
      <c r="N51" s="2523" t="s">
        <v>1350</v>
      </c>
      <c r="O51" s="2523" t="s">
        <v>1351</v>
      </c>
    </row>
    <row r="52" spans="1:35" ht="24" customHeight="1">
      <c r="A52" s="2334" t="s">
        <v>1352</v>
      </c>
      <c r="B52" s="3612" t="s">
        <v>1353</v>
      </c>
      <c r="C52" s="3612"/>
      <c r="D52" s="1086">
        <f ca="1">ROUND(D45*'数据-取费表'!B41/(1+'数据-取费表'!C42),0)</f>
        <v>20</v>
      </c>
      <c r="E52" s="2333" t="s">
        <v>1354</v>
      </c>
      <c r="F52" s="2553">
        <f>'数据-取费表'!B41</f>
        <v>5.6000000000000001E-2</v>
      </c>
      <c r="G52" s="2554"/>
      <c r="H52" s="2543"/>
      <c r="I52" s="1806"/>
      <c r="J52" s="2522">
        <v>1</v>
      </c>
      <c r="K52" s="3589" t="s">
        <v>1355</v>
      </c>
      <c r="L52" s="3589"/>
      <c r="M52" s="2524" t="b">
        <f>D48</f>
        <v>0</v>
      </c>
      <c r="N52" s="2522" t="str">
        <f>E48</f>
        <v>销售额×税（费）率</v>
      </c>
      <c r="O52" s="2525">
        <f>F48</f>
        <v>5.6000000000000001E-2</v>
      </c>
    </row>
    <row r="53" spans="1:35" ht="12" customHeight="1">
      <c r="A53" s="2334" t="s">
        <v>1356</v>
      </c>
      <c r="B53" s="3613" t="s">
        <v>2287</v>
      </c>
      <c r="C53" s="3614"/>
      <c r="D53" s="1086">
        <f ca="1">ROUND(D45*'数据-取费表'!B41/(1+'数据-取费表'!C42),0)</f>
        <v>20</v>
      </c>
      <c r="E53" s="2333" t="s">
        <v>1354</v>
      </c>
      <c r="F53" s="2553">
        <f>'数据-取费表'!B41</f>
        <v>5.6000000000000001E-2</v>
      </c>
      <c r="G53" s="2554"/>
      <c r="H53" s="2543"/>
      <c r="I53" s="1806"/>
      <c r="J53" s="2522">
        <v>2</v>
      </c>
      <c r="K53" s="3589" t="s">
        <v>1357</v>
      </c>
      <c r="L53" s="3589"/>
      <c r="M53" s="2524">
        <f t="shared" ref="M53:O54" ca="1" si="0">D55</f>
        <v>0</v>
      </c>
      <c r="N53" s="2522" t="str">
        <f t="shared" si="0"/>
        <v>销售额×税（费）率</v>
      </c>
      <c r="O53" s="2525" t="str">
        <f t="shared" si="0"/>
        <v>免征</v>
      </c>
    </row>
    <row r="54" spans="1:35" ht="12" customHeight="1">
      <c r="A54" s="2334" t="s">
        <v>1358</v>
      </c>
      <c r="B54" s="3613" t="s">
        <v>2288</v>
      </c>
      <c r="C54" s="3614"/>
      <c r="D54" s="1086">
        <f ca="1">C68</f>
        <v>20</v>
      </c>
      <c r="E54" s="327" t="s">
        <v>1359</v>
      </c>
      <c r="F54" s="2553">
        <f>'数据-取费表'!B41</f>
        <v>5.6000000000000001E-2</v>
      </c>
      <c r="G54" s="2554"/>
      <c r="H54" s="2555"/>
      <c r="I54" s="1806"/>
      <c r="J54" s="2522">
        <v>3</v>
      </c>
      <c r="K54" s="3589" t="s">
        <v>1360</v>
      </c>
      <c r="L54" s="3589"/>
      <c r="M54" s="2524">
        <f t="shared" ca="1" si="0"/>
        <v>214</v>
      </c>
      <c r="N54" s="2522" t="str">
        <f t="shared" si="0"/>
        <v>增值额×税（费）率</v>
      </c>
      <c r="O54" s="2526" t="str">
        <f t="shared" si="0"/>
        <v>免征</v>
      </c>
    </row>
    <row r="55" spans="1:35" ht="24" customHeight="1">
      <c r="A55" s="3649" t="s">
        <v>1361</v>
      </c>
      <c r="B55" s="3627"/>
      <c r="C55" s="3627"/>
      <c r="D55" s="2323">
        <f ca="1">IF(H55="个人住宅",0,ROUND(D45*I55,0))</f>
        <v>0</v>
      </c>
      <c r="E55" s="2333" t="s">
        <v>1362</v>
      </c>
      <c r="F55" s="2553" t="str">
        <f>IF(H55="正常",I55,"免征")</f>
        <v>免征</v>
      </c>
      <c r="G55" s="2554"/>
      <c r="H55" s="2549"/>
      <c r="I55" s="165">
        <f>'数据-取费表'!B49</f>
        <v>5.0000000000000001E-4</v>
      </c>
      <c r="J55" s="2522">
        <f>IF(H59="非个人房产","",4)</f>
        <v>4</v>
      </c>
      <c r="K55" s="3589" t="str">
        <f>IF(H59="非个人房产","——","个人所得税")</f>
        <v>个人所得税</v>
      </c>
      <c r="L55" s="3589"/>
      <c r="M55" s="2527">
        <f ca="1">D59</f>
        <v>4</v>
      </c>
      <c r="N55" s="2039" t="str">
        <f>E59</f>
        <v>差额计税</v>
      </c>
      <c r="O55" s="2528">
        <f>F59</f>
        <v>0.01</v>
      </c>
    </row>
    <row r="56" spans="1:35" ht="24.75">
      <c r="A56" s="3649" t="s">
        <v>1363</v>
      </c>
      <c r="B56" s="3627"/>
      <c r="C56" s="3627"/>
      <c r="D56" s="2323">
        <f ca="1">IF(H56="个人住宅",D57,D58)</f>
        <v>214</v>
      </c>
      <c r="E56" s="2333" t="s">
        <v>1364</v>
      </c>
      <c r="F56" s="2553" t="str">
        <f>IF(H56="正常",F58,"免征")</f>
        <v>免征</v>
      </c>
      <c r="G56" s="2556" t="s">
        <v>1365</v>
      </c>
      <c r="H56" s="2557"/>
      <c r="I56" s="1807"/>
      <c r="J56" s="2522" t="str">
        <f>IF(项目基本情况!K6="上海银行",IF(J55="",4,J55+1),"")</f>
        <v/>
      </c>
      <c r="K56" s="3570" t="str">
        <f>IF(项目基本情况!K6="上海银行","其他处置费用","")</f>
        <v/>
      </c>
      <c r="L56" s="3571"/>
      <c r="M56" s="2524" t="str">
        <f>IF(项目基本情况!K6="上海银行",M69,"")</f>
        <v/>
      </c>
      <c r="N56" s="3570" t="str">
        <f>IF(项目基本情况!K6="上海银行","包含处置中涉及的律师、诉讼、拍卖、评估等费用","")</f>
        <v/>
      </c>
      <c r="O56" s="3573"/>
    </row>
    <row r="57" spans="1:35" ht="12.75">
      <c r="A57" s="2334" t="s">
        <v>1341</v>
      </c>
      <c r="B57" s="3613" t="s">
        <v>1366</v>
      </c>
      <c r="C57" s="3614"/>
      <c r="D57" s="1589">
        <v>0</v>
      </c>
      <c r="E57" s="324" t="s">
        <v>1343</v>
      </c>
      <c r="F57" s="302"/>
      <c r="G57" s="2554"/>
      <c r="H57" s="2558"/>
      <c r="I57" s="1807"/>
      <c r="J57" s="3589">
        <f>IF(AND(J55="",J56=""),4,IF(项目基本情况!K6="上海银行",结果表!J56+1,结果表!J55+1))</f>
        <v>5</v>
      </c>
      <c r="K57" s="3589" t="s">
        <v>1367</v>
      </c>
      <c r="L57" s="2529" t="s">
        <v>1368</v>
      </c>
      <c r="M57" s="2530"/>
      <c r="N57" s="2531">
        <f ca="1">SUMIF(M52:M56,"&lt;9e307")</f>
        <v>218</v>
      </c>
      <c r="O57" s="2532"/>
      <c r="P57" s="2689">
        <f ca="1">N57/M49</f>
        <v>0.57824933687002655</v>
      </c>
    </row>
    <row r="58" spans="1:35" ht="24.75">
      <c r="A58" s="2334" t="s">
        <v>1352</v>
      </c>
      <c r="B58" s="3613" t="s">
        <v>1369</v>
      </c>
      <c r="C58" s="3612"/>
      <c r="D58" s="2323">
        <f ca="1">IF(H58="转让取得",C81,C97)</f>
        <v>214</v>
      </c>
      <c r="E58" s="2333" t="s">
        <v>1364</v>
      </c>
      <c r="F58" s="302" t="s">
        <v>28</v>
      </c>
      <c r="G58" s="2554"/>
      <c r="H58" s="2557"/>
      <c r="I58" s="1807"/>
      <c r="J58" s="3589"/>
      <c r="K58" s="3589"/>
      <c r="L58" s="2529" t="s">
        <v>1370</v>
      </c>
      <c r="M58" s="2533"/>
      <c r="N58" s="2534" t="str">
        <f ca="1">NUMBERSTRING(INT(N57*10000),2)&amp;"元整"</f>
        <v>贰佰壹拾捌万元整</v>
      </c>
      <c r="O58" s="2535"/>
    </row>
    <row r="59" spans="1:35" ht="24.75" thickBot="1">
      <c r="A59" s="3593" t="s">
        <v>1371</v>
      </c>
      <c r="B59" s="3594"/>
      <c r="C59" s="3594"/>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1">
        <f>J57+1</f>
        <v>6</v>
      </c>
      <c r="K59" s="3589" t="s">
        <v>1372</v>
      </c>
      <c r="L59" s="2522" t="s">
        <v>1368</v>
      </c>
      <c r="M59" s="2536"/>
      <c r="N59" s="2537">
        <f ca="1">M49-N57</f>
        <v>159</v>
      </c>
      <c r="O59" s="2538"/>
    </row>
    <row r="60" spans="1:35" ht="12" customHeight="1">
      <c r="A60" s="1808"/>
      <c r="B60" s="1746"/>
      <c r="C60" s="1746"/>
      <c r="D60" s="1746"/>
      <c r="E60" s="1577"/>
      <c r="F60" s="1807"/>
      <c r="G60" s="1807"/>
      <c r="H60" s="1809"/>
      <c r="I60" s="129"/>
      <c r="J60" s="3592"/>
      <c r="K60" s="3589"/>
      <c r="L60" s="2529" t="s">
        <v>1370</v>
      </c>
      <c r="M60" s="2533"/>
      <c r="N60" s="2534" t="str">
        <f ca="1">NUMBERSTRING(INT(N59*10000),2)&amp;"元整"</f>
        <v>壹佰伍拾玖万元整</v>
      </c>
      <c r="O60" s="2535"/>
    </row>
    <row r="61" spans="1:35" ht="13.5" thickBot="1">
      <c r="A61" s="3648" t="s">
        <v>1373</v>
      </c>
      <c r="B61" s="3648"/>
      <c r="C61" s="3648"/>
      <c r="D61" s="3648"/>
      <c r="E61" s="3648"/>
      <c r="F61" s="1807"/>
      <c r="G61" s="1807"/>
      <c r="H61" s="1809"/>
      <c r="I61" s="129"/>
      <c r="J61" s="2522">
        <f>J59+1</f>
        <v>7</v>
      </c>
      <c r="K61" s="3589" t="s">
        <v>1374</v>
      </c>
      <c r="L61" s="3589"/>
      <c r="M61" s="2539"/>
      <c r="N61" s="2540">
        <f ca="1">ROUND(N59*10000/'数据-汇总表'!E3,0)</f>
        <v>20620</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359</v>
      </c>
      <c r="D63" s="167"/>
      <c r="E63" s="168"/>
      <c r="F63" s="1807"/>
      <c r="G63" s="1807"/>
      <c r="H63" s="1809"/>
      <c r="I63" s="129"/>
      <c r="J63" s="3572" t="s">
        <v>1379</v>
      </c>
      <c r="K63" s="1331" t="s">
        <v>1380</v>
      </c>
      <c r="L63" s="1331">
        <f ca="1">IF(M49&gt;10000,M49*0.5%,IF(AND(M49&gt;1000,M49&lt;=10000),M49*1%,IF(AND(M49&gt;100,M49&lt;=1000),M49*3%,IF(AND(M49&gt;10,M49&lt;=100),M49*5%,M49*8%))))</f>
        <v>11.309999999999999</v>
      </c>
      <c r="M63" s="302">
        <f ca="1">ROUND(L63,1)</f>
        <v>11.3</v>
      </c>
      <c r="N63" s="2542"/>
      <c r="Z63" s="1751"/>
      <c r="AI63" s="1752"/>
    </row>
    <row r="64" spans="1:35" ht="14.25" customHeight="1">
      <c r="A64" s="169" t="s">
        <v>325</v>
      </c>
      <c r="B64" s="170" t="s">
        <v>1381</v>
      </c>
      <c r="C64" s="2564">
        <f ca="1">D45</f>
        <v>377</v>
      </c>
      <c r="D64" s="170" t="s">
        <v>26</v>
      </c>
      <c r="E64" s="172"/>
      <c r="F64" s="1807"/>
      <c r="G64" s="1807"/>
      <c r="H64" s="1809"/>
      <c r="I64" s="129"/>
      <c r="J64" s="3572"/>
      <c r="K64" s="1331" t="s">
        <v>1382</v>
      </c>
      <c r="L64" s="1331">
        <f ca="1">IF(M49&gt;2000,M49*0.5%,IF(AND(M49&gt;1000,M49&lt;=2000),M49*0.6%,IF(AND(M49&gt;500,M49&lt;=1000),M49*0.7%,IF(AND(M49&gt;200,M49&lt;=500),M49*0.8%,IF(AND(M49&gt;100,M49&lt;=200),M49*0.9%,IF(AND(M49&gt;50,M49&lt;=100),M49*1%,IF(AND(M49&gt;20,M49&lt;=50),M49*1.5%,IF(AND(M49&gt;10,M49&lt;=20),M49*2%,IF(AND(M49&gt;1,M49&lt;=10),M49*2.5%)))))))))</f>
        <v>3.016</v>
      </c>
      <c r="M64" s="302">
        <f t="shared" ref="M64:M65" ca="1" si="1">ROUND(L64,1)</f>
        <v>3</v>
      </c>
      <c r="N64" s="2543" t="s">
        <v>1383</v>
      </c>
      <c r="Z64" s="1751"/>
      <c r="AI64" s="1752"/>
    </row>
    <row r="65" spans="1:35" ht="14.25" customHeight="1">
      <c r="A65" s="169" t="s">
        <v>326</v>
      </c>
      <c r="B65" s="170" t="s">
        <v>1384</v>
      </c>
      <c r="C65" s="2565"/>
      <c r="D65" s="170"/>
      <c r="E65" s="172"/>
      <c r="F65" s="1807"/>
      <c r="G65" s="1807"/>
      <c r="H65" s="1809"/>
      <c r="I65" s="129"/>
      <c r="J65" s="3572"/>
      <c r="K65" s="1331" t="s">
        <v>1385</v>
      </c>
      <c r="L65" s="1331">
        <f ca="1">IF(M49&gt;1000,M49*0.1%,IF(AND(M49&gt;500,M49&lt;=1000),M49*0.5%,IF(AND(M49&gt;50,M49&lt;=500),M49*1%,IF(AND(M49&gt;1,M49&lt;=50),M49*1.5%))))</f>
        <v>3.77</v>
      </c>
      <c r="M65" s="302">
        <f t="shared" ca="1" si="1"/>
        <v>3.8</v>
      </c>
      <c r="N65" s="2543" t="s">
        <v>1383</v>
      </c>
      <c r="Z65" s="1751"/>
      <c r="AI65" s="1752"/>
    </row>
    <row r="66" spans="1:35" ht="14.25" customHeight="1">
      <c r="A66" s="173" t="s">
        <v>327</v>
      </c>
      <c r="B66" s="174" t="s">
        <v>1386</v>
      </c>
      <c r="C66" s="2566"/>
      <c r="D66" s="174" t="s">
        <v>26</v>
      </c>
      <c r="E66" s="1337" t="s">
        <v>671</v>
      </c>
      <c r="F66" s="1807"/>
      <c r="G66" s="1807"/>
      <c r="H66" s="1809"/>
      <c r="I66" s="129"/>
      <c r="J66" s="3572"/>
      <c r="K66" s="1331" t="s">
        <v>1387</v>
      </c>
      <c r="L66" s="1331">
        <f ca="1">M49*0.5%</f>
        <v>1.885</v>
      </c>
      <c r="M66" s="302">
        <f ca="1">IF(L66&gt;0.5,0.5,ROUND(L66,0))</f>
        <v>0.5</v>
      </c>
      <c r="N66" s="2543" t="s">
        <v>1388</v>
      </c>
      <c r="Z66" s="1751"/>
      <c r="AI66" s="1752"/>
    </row>
    <row r="67" spans="1:35" ht="14.25" customHeight="1">
      <c r="A67" s="173" t="s">
        <v>328</v>
      </c>
      <c r="B67" s="174" t="s">
        <v>1389</v>
      </c>
      <c r="C67" s="2567">
        <f ca="1">C63-C66</f>
        <v>359</v>
      </c>
      <c r="D67" s="170" t="s">
        <v>26</v>
      </c>
      <c r="E67" s="172"/>
      <c r="F67" s="1807"/>
      <c r="G67" s="1807"/>
      <c r="H67" s="1809"/>
      <c r="I67" s="129"/>
      <c r="J67" s="3572"/>
      <c r="K67" s="1331" t="s">
        <v>1390</v>
      </c>
      <c r="L67" s="1331">
        <f ca="1">IF(M49&gt;=10000,(8.25+(M49-10000)*0.01%),IF(AND(M49&gt;=8000,M49&lt;10000),(7.85+(M49-8000)*0.02%),IF(AND(M49&gt;=5000,M49&lt;8000),(6.65+(M49-5000)*0.04%),IF(AND(M49&gt;=2000,M49&lt;5000),(4.25+(PM49-2000)*0.08%),IF(AND(M49&gt;=1000,M49&lt;2000),(2.75+(M49-1000)*0.15%),IF(AND(M49&gt;=100,M49&lt;1000),(0.5+(M49-100)*0.25%),IF(AND(M49&gt;0,M49&lt;100),M49*0.5%)))))))</f>
        <v>1.1924999999999999</v>
      </c>
      <c r="M67" s="302">
        <f ca="1">ROUND(L67*0.9,1)</f>
        <v>1.1000000000000001</v>
      </c>
      <c r="N67" s="2542"/>
      <c r="Z67" s="1751"/>
      <c r="AI67" s="1752"/>
    </row>
    <row r="68" spans="1:35" ht="14.25" customHeight="1" thickBot="1">
      <c r="A68" s="176" t="s">
        <v>329</v>
      </c>
      <c r="B68" s="177" t="s">
        <v>1391</v>
      </c>
      <c r="C68" s="2568">
        <f ca="1">IF(C67&lt;=0,0,ROUND(C67*D68,0))</f>
        <v>20</v>
      </c>
      <c r="D68" s="2569">
        <f>'数据-取费表'!B41</f>
        <v>5.6000000000000001E-2</v>
      </c>
      <c r="E68" s="178"/>
      <c r="F68" s="1807"/>
      <c r="G68" s="1807"/>
      <c r="H68" s="1809"/>
      <c r="I68" s="129"/>
      <c r="J68" s="3572"/>
      <c r="K68" s="1331" t="s">
        <v>1392</v>
      </c>
      <c r="L68" s="1331">
        <f ca="1">IF(M49&gt;10000,M49*0.5%,IF(AND(M49&gt;5000,M49&lt;=10000),M49*1%,IF(AND(M49&gt;1000,M49&lt;=5000),M49*2%,IF(AND(M49&gt;200,M49&lt;=1000),M49*3%,M49*5%))))</f>
        <v>11.309999999999999</v>
      </c>
      <c r="M68" s="302">
        <f ca="1">ROUND(L68,1)</f>
        <v>11.3</v>
      </c>
      <c r="N68" s="2542"/>
      <c r="Z68" s="1751"/>
      <c r="AI68" s="1752"/>
    </row>
    <row r="69" spans="1:35" s="1771" customFormat="1" ht="16.5" customHeight="1">
      <c r="A69" s="1810"/>
      <c r="B69" s="1811"/>
      <c r="C69" s="1812"/>
      <c r="D69" s="1813"/>
      <c r="E69" s="1814"/>
      <c r="F69" s="1577"/>
      <c r="G69" s="1577"/>
      <c r="H69" s="1576"/>
      <c r="I69" s="1746"/>
      <c r="J69" s="3572"/>
      <c r="K69" s="1331" t="s">
        <v>1393</v>
      </c>
      <c r="L69" s="1331"/>
      <c r="M69" s="302">
        <f ca="1">ROUND(SUM(M63:M68),0)</f>
        <v>31</v>
      </c>
      <c r="N69" s="2544">
        <f ca="1">M69/M49</f>
        <v>8.2228116710875335E-2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6" t="s">
        <v>1394</v>
      </c>
      <c r="B70" s="3617"/>
      <c r="C70" s="3617"/>
      <c r="D70" s="3617"/>
      <c r="E70" s="3617"/>
      <c r="F70" s="3617"/>
      <c r="G70" s="3617"/>
      <c r="H70" s="361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359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3" t="s">
        <v>1402</v>
      </c>
      <c r="F76" s="3612"/>
      <c r="G76" s="3612"/>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605" t="s">
        <v>1406</v>
      </c>
      <c r="F78" s="3606"/>
      <c r="G78" s="3606"/>
      <c r="H78" s="360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357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178.5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214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359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4" t="s">
        <v>2129</v>
      </c>
      <c r="H90" s="3575"/>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5" t="s">
        <v>1419</v>
      </c>
      <c r="F91" s="3606"/>
      <c r="G91" s="360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5" t="s">
        <v>1422</v>
      </c>
      <c r="F92" s="3606"/>
      <c r="G92" s="3606"/>
      <c r="H92" s="3607"/>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605" t="s">
        <v>1406</v>
      </c>
      <c r="F93" s="3606"/>
      <c r="G93" s="3606"/>
      <c r="H93" s="360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0" t="s">
        <v>1426</v>
      </c>
      <c r="F94" s="3651"/>
      <c r="G94" s="3651"/>
      <c r="H94" s="365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357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178.5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214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4" t="str">
        <f>C4</f>
        <v>比较法-商业</v>
      </c>
      <c r="D101" s="2585" t="str">
        <f>D4</f>
        <v>收益法 (元)</v>
      </c>
      <c r="E101" s="3568" t="s">
        <v>1431</v>
      </c>
      <c r="F101" s="3569"/>
      <c r="G101" s="1826" t="s">
        <v>1432</v>
      </c>
      <c r="H101" s="2594">
        <f ca="1">H118</f>
        <v>377</v>
      </c>
      <c r="I101" s="129"/>
    </row>
    <row r="102" spans="1:35" ht="18.75" customHeight="1">
      <c r="A102" s="3600" t="s">
        <v>1433</v>
      </c>
      <c r="B102" s="2583" t="s">
        <v>1432</v>
      </c>
      <c r="C102" s="2584">
        <f ca="1">IF(D32="楼面单价",ROUND(C19,0),C19)</f>
        <v>515</v>
      </c>
      <c r="D102" s="2585">
        <f ca="1">IF(D32="楼面单价",ROUND(D19,0),D19)</f>
        <v>171</v>
      </c>
      <c r="E102" s="3568"/>
      <c r="F102" s="3569"/>
      <c r="G102" s="1826" t="s">
        <v>1434</v>
      </c>
      <c r="H102" s="2554">
        <f ca="1">I118</f>
        <v>48916</v>
      </c>
      <c r="I102" s="129"/>
    </row>
    <row r="103" spans="1:35" ht="42.75" customHeight="1">
      <c r="A103" s="3600"/>
      <c r="B103" s="2583" t="s">
        <v>1434</v>
      </c>
      <c r="C103" s="2586">
        <f ca="1">C20</f>
        <v>66736</v>
      </c>
      <c r="D103" s="2587">
        <f ca="1">D20</f>
        <v>22187</v>
      </c>
      <c r="E103" s="3561" t="s">
        <v>1435</v>
      </c>
      <c r="F103" s="3562"/>
      <c r="G103" s="1827" t="s">
        <v>1436</v>
      </c>
      <c r="H103" s="2594">
        <f>IF(D36="正常操作",H104+H105+H106,H105+H106)</f>
        <v>0</v>
      </c>
      <c r="I103" s="129"/>
    </row>
    <row r="104" spans="1:35" ht="18.75" customHeight="1">
      <c r="A104" s="3600" t="s">
        <v>1437</v>
      </c>
      <c r="B104" s="2588" t="s">
        <v>1432</v>
      </c>
      <c r="C104" s="2589">
        <f ca="1">H118</f>
        <v>377</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48916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569"/>
      <c r="G107" s="1826" t="s">
        <v>1432</v>
      </c>
      <c r="H107" s="2594">
        <f ca="1">IF(E107="——","——",H101-H103)</f>
        <v>377</v>
      </c>
      <c r="I107" s="129">
        <f ca="1">H108*B118</f>
        <v>3771912.76</v>
      </c>
    </row>
    <row r="108" spans="1:35" ht="18.75" customHeight="1">
      <c r="A108" s="129"/>
      <c r="B108" s="129"/>
      <c r="C108" s="129"/>
      <c r="D108" s="129"/>
      <c r="E108" s="3601"/>
      <c r="F108" s="3569"/>
      <c r="G108" s="1826" t="s">
        <v>1434</v>
      </c>
      <c r="H108" s="2554">
        <f ca="1">IF(H107=H101,H102,ROUND(H107*10000/'数据-汇总表'!E3,0))</f>
        <v>48916</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6" t="s">
        <v>1432</v>
      </c>
      <c r="H109" s="2597" t="str">
        <f>IF(E109="——","——",H101-H105-H106)</f>
        <v>——</v>
      </c>
      <c r="I109" s="129"/>
    </row>
    <row r="110" spans="1:35" ht="18.75" customHeight="1">
      <c r="A110" s="129"/>
      <c r="B110" s="129"/>
      <c r="C110" s="129"/>
      <c r="D110" s="129"/>
      <c r="E110" s="3601"/>
      <c r="F110" s="3569"/>
      <c r="G110" s="1826" t="s">
        <v>1434</v>
      </c>
      <c r="H110" s="2554"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03"/>
      <c r="F112" s="3604"/>
      <c r="G112" s="1829" t="s">
        <v>1434</v>
      </c>
      <c r="H112" s="2598" t="str">
        <f>IF(E111="——","——",N61)</f>
        <v>——</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77.11</v>
      </c>
      <c r="C118" s="2328">
        <f>M19</f>
        <v>0</v>
      </c>
      <c r="D118" s="2328">
        <f ca="1">ROUND(IF(D32="总价",C34,E118*B118/10000),0)</f>
        <v>283</v>
      </c>
      <c r="E118" s="2328">
        <f ca="1">ROUND(IF(C33="自定义",IF(D32="楼面单价",C34,D118*10000/B118),I118-G118),0)</f>
        <v>36736</v>
      </c>
      <c r="F118" s="2328">
        <f ca="1">ROUND(IF(D32="总价",C35,G118*B118/10000),0)</f>
        <v>94</v>
      </c>
      <c r="G118" s="2328">
        <f ca="1">ROUND(IF(D32="楼面单价",C35,F118*10000/B118),0)</f>
        <v>12180</v>
      </c>
      <c r="H118" s="2328">
        <f ca="1">ROUND(IF(D32="总价",C32,I118*B118/10000),0)</f>
        <v>377</v>
      </c>
      <c r="I118" s="2328">
        <f ca="1">ROUND(IF(D32="楼面单价",C32,H118*10000/B118),0)</f>
        <v>48916</v>
      </c>
    </row>
    <row r="119" spans="1:27" ht="18.75" customHeight="1">
      <c r="A119" s="3576" t="s">
        <v>1452</v>
      </c>
      <c r="B119" s="3576"/>
      <c r="C119" s="3576"/>
      <c r="D119" s="3582" t="str">
        <f ca="1">NUMBERSTRING(INT(D118*10000),2)&amp;"元整"</f>
        <v>贰佰捌拾叁万元整</v>
      </c>
      <c r="E119" s="3583"/>
      <c r="F119" s="3582" t="str">
        <f ca="1">NUMBERSTRING(INT(F118*10000),2)&amp;"元整"</f>
        <v>玖拾肆万元整</v>
      </c>
      <c r="G119" s="3583"/>
      <c r="H119" s="3582" t="str">
        <f ca="1">NUMBERSTRING(INT(H118*10000),2)&amp;"元整"</f>
        <v>叁佰柒拾柒万元整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2" t="s">
        <v>1452</v>
      </c>
      <c r="B121" s="3584"/>
      <c r="C121" s="3583"/>
      <c r="D121" s="3582" t="str">
        <f>IF(D120=0,"零元整",NUMBERSTRING(INT(D120*10000),2)&amp;"元整")</f>
        <v>零元整</v>
      </c>
      <c r="E121" s="3584"/>
      <c r="F121" s="3584"/>
      <c r="G121" s="3584"/>
      <c r="H121" s="3584"/>
      <c r="I121" s="3583"/>
      <c r="AA121" s="724"/>
    </row>
    <row r="122" spans="1:27" ht="18.75" customHeight="1">
      <c r="A122" s="3588" t="str">
        <f>IF(项目基本情况!B9="房地产市场价值","",MID(E107,3,LEN(E107)-2))</f>
        <v>房地产抵押价值</v>
      </c>
      <c r="B122" s="3588"/>
      <c r="C122" s="3588"/>
      <c r="D122" s="3577">
        <f ca="1">H107</f>
        <v>377</v>
      </c>
      <c r="E122" s="3578"/>
      <c r="F122" s="3578"/>
      <c r="G122" s="3578"/>
      <c r="H122" s="3578"/>
      <c r="I122" s="3579"/>
      <c r="AA122" s="724"/>
    </row>
    <row r="123" spans="1:27" ht="18.75" customHeight="1">
      <c r="A123" s="3576" t="s">
        <v>1452</v>
      </c>
      <c r="B123" s="3576"/>
      <c r="C123" s="3576"/>
      <c r="D123" s="3582" t="str">
        <f ca="1">NUMBERSTRING(INT(D122*10000),2)&amp;"元整"</f>
        <v>叁佰柒拾柒万元整</v>
      </c>
      <c r="E123" s="3584"/>
      <c r="F123" s="3584"/>
      <c r="G123" s="3584"/>
      <c r="H123" s="3584"/>
      <c r="I123" s="3583"/>
      <c r="AA123" s="724"/>
    </row>
    <row r="124" spans="1:27" ht="18.75" customHeight="1">
      <c r="A124" s="3588" t="str">
        <f>IF(项目基本情况!B9="房地产市场价值","",MID(E109,3,LEN(E109)-2))</f>
        <v/>
      </c>
      <c r="B124" s="3588"/>
      <c r="C124" s="3588"/>
      <c r="D124" s="3577" t="str">
        <f>H109</f>
        <v>——</v>
      </c>
      <c r="E124" s="3578"/>
      <c r="F124" s="3578"/>
      <c r="G124" s="3578"/>
      <c r="H124" s="3578"/>
      <c r="I124" s="3579"/>
      <c r="AA124" s="724"/>
    </row>
    <row r="125" spans="1:27" ht="18.75" customHeight="1">
      <c r="A125" s="3576" t="s">
        <v>1452</v>
      </c>
      <c r="B125" s="3576"/>
      <c r="C125" s="3576"/>
      <c r="D125" s="3582" t="e">
        <f>NUMBERSTRING(INT(D124*10000),2)&amp;"元整"</f>
        <v>#VALUE!</v>
      </c>
      <c r="E125" s="3584"/>
      <c r="F125" s="3584"/>
      <c r="G125" s="3584"/>
      <c r="H125" s="3584"/>
      <c r="I125" s="3583"/>
      <c r="AA125" s="724"/>
    </row>
    <row r="126" spans="1:27" ht="18.75" customHeight="1">
      <c r="A126" s="3588" t="str">
        <f>IF(项目基本情况!B9="房地产市场价值","",MID(E111,3,LEN(E111)-2))</f>
        <v/>
      </c>
      <c r="B126" s="3588"/>
      <c r="C126" s="3588"/>
      <c r="D126" s="3577" t="str">
        <f>H111</f>
        <v>——</v>
      </c>
      <c r="E126" s="3578"/>
      <c r="F126" s="3578"/>
      <c r="G126" s="3578"/>
      <c r="H126" s="3578"/>
      <c r="I126" s="3579"/>
      <c r="AA126" s="724"/>
    </row>
    <row r="127" spans="1:27" ht="18.75" customHeight="1">
      <c r="A127" s="3576" t="s">
        <v>1452</v>
      </c>
      <c r="B127" s="3576"/>
      <c r="C127" s="3576"/>
      <c r="D127" s="3582" t="e">
        <f>NUMBERSTRING(INT(D126*10000),2)&amp;"元整"</f>
        <v>#VALUE!</v>
      </c>
      <c r="E127" s="3584"/>
      <c r="F127" s="3584"/>
      <c r="G127" s="3584"/>
      <c r="H127" s="3584"/>
      <c r="I127" s="3583"/>
      <c r="AA127" s="724"/>
    </row>
    <row r="128" spans="1:27" ht="21.75" customHeight="1">
      <c r="A128" s="3585" t="s">
        <v>1453</v>
      </c>
      <c r="B128" s="3585"/>
      <c r="C128" s="3585"/>
      <c r="D128" s="3585"/>
      <c r="E128" s="3585"/>
      <c r="F128" s="3585"/>
      <c r="G128" s="3585"/>
      <c r="H128" s="3585"/>
      <c r="I128" s="358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6095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77.11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77.11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77.11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45</v>
      </c>
      <c r="D51" s="232"/>
      <c r="E51" s="232"/>
      <c r="F51" s="264"/>
      <c r="G51" s="234" t="s">
        <v>1560</v>
      </c>
    </row>
    <row r="52" spans="1:7" s="208" customFormat="1" ht="16.5" thickBot="1">
      <c r="A52" s="265" t="s">
        <v>1561</v>
      </c>
      <c r="B52" s="266"/>
      <c r="C52" s="267">
        <f ca="1">C31+C51</f>
        <v>47</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48.012799999999999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15422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15422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15422</v>
      </c>
      <c r="D10" s="844">
        <f ca="1">IF(B1="",'数据-汇总表'!E6,IF(INDIRECT("'数据-取费表'!c"&amp;$G$1)="住宅",INDIRECT("'数据-取费表'!s"&amp;$G$1),INDIRECT("'数据-取费表'!k"&amp;$G$1)+INDIRECT("'数据-取费表'!s"&amp;$G$1)))</f>
        <v>77.11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15422</v>
      </c>
      <c r="D19" s="848">
        <f ca="1">D9+D10</f>
        <v>77.11</v>
      </c>
      <c r="E19" s="211">
        <f>'数据-取费表'!B31</f>
        <v>200</v>
      </c>
      <c r="F19" s="231"/>
      <c r="G19" s="1855"/>
    </row>
    <row r="20" spans="1:7" s="214" customFormat="1" ht="13.5" customHeight="1">
      <c r="A20" s="255" t="s">
        <v>1574</v>
      </c>
      <c r="B20" s="210" t="s">
        <v>1575</v>
      </c>
      <c r="C20" s="232">
        <f ca="1">ROUND((C5+C19)*F20,0)</f>
        <v>617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1961</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971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971</v>
      </c>
      <c r="D24" s="238"/>
      <c r="E24" s="238"/>
      <c r="F24" s="239"/>
      <c r="G24" s="240" t="s">
        <v>1586</v>
      </c>
    </row>
    <row r="25" spans="1:7" s="214" customFormat="1" ht="24">
      <c r="A25" s="779" t="s">
        <v>1476</v>
      </c>
      <c r="B25" s="215" t="s">
        <v>1587</v>
      </c>
      <c r="C25" s="1127">
        <f ca="1">ROUND(IF('数据-取费表'!B22&lt;=1,C20*F22*'数据-取费表'!B22/2,C20*(POWER((1+F22),'数据-取费表'!B22/2)-1)),0)</f>
        <v>19</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6292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6292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43069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386707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346995</v>
      </c>
      <c r="D34" s="217"/>
      <c r="E34" s="220"/>
      <c r="F34" s="257"/>
      <c r="G34" s="219"/>
    </row>
    <row r="35" spans="1:7" ht="13.5" customHeight="1">
      <c r="A35" s="779" t="s">
        <v>351</v>
      </c>
      <c r="B35" s="215" t="s">
        <v>1527</v>
      </c>
      <c r="C35" s="220">
        <f ca="1">ROUND(C34*F35,0)</f>
        <v>17350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15422</v>
      </c>
      <c r="D37" s="217">
        <f ca="1">D19</f>
        <v>77.11</v>
      </c>
      <c r="E37" s="249">
        <f>'数据-取费表'!B35</f>
        <v>200</v>
      </c>
      <c r="F37" s="259"/>
      <c r="G37" s="261"/>
    </row>
    <row r="38" spans="1:7" ht="13.5" customHeight="1">
      <c r="A38" s="779" t="s">
        <v>354</v>
      </c>
      <c r="B38" s="215" t="s">
        <v>1533</v>
      </c>
      <c r="C38" s="220">
        <f ca="1">ROUND(C34*F38,0)</f>
        <v>6940</v>
      </c>
      <c r="D38" s="220"/>
      <c r="E38" s="220"/>
      <c r="F38" s="259">
        <f>'数据-取费表'!B36</f>
        <v>0.02</v>
      </c>
      <c r="G38" s="219" t="s">
        <v>1528</v>
      </c>
    </row>
    <row r="39" spans="1:7" s="214" customFormat="1" ht="13.5" customHeight="1">
      <c r="A39" s="255" t="s">
        <v>1534</v>
      </c>
      <c r="B39" s="210" t="s">
        <v>1535</v>
      </c>
      <c r="C39" s="232">
        <f ca="1">ROUND(C33*F20,0)</f>
        <v>7734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12228</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11988</v>
      </c>
      <c r="D42" s="238"/>
      <c r="E42" s="238"/>
      <c r="F42" s="239"/>
      <c r="G42" s="3655" t="s">
        <v>1591</v>
      </c>
    </row>
    <row r="43" spans="1:7" ht="13.5" customHeight="1">
      <c r="A43" s="779" t="s">
        <v>347</v>
      </c>
      <c r="B43" s="215" t="s">
        <v>1545</v>
      </c>
      <c r="C43" s="238">
        <f ca="1">ROUND(IF('数据-取费表'!B22&lt;=1,C39*F22*'数据-取费表'!B20/2,C39*(POWER((1+F22),'数据-取费表'!B20/2)-1)),0)</f>
        <v>240</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78888</v>
      </c>
      <c r="D45" s="235">
        <f ca="1">C47</f>
        <v>4.0000000000000001E-3</v>
      </c>
      <c r="E45" s="236" t="s">
        <v>1539</v>
      </c>
      <c r="F45" s="246">
        <f ca="1">F27</f>
        <v>0.2</v>
      </c>
      <c r="G45" s="247" t="s">
        <v>1548</v>
      </c>
    </row>
    <row r="46" spans="1:7" s="214" customFormat="1" ht="13.5" customHeight="1">
      <c r="A46" s="779" t="s">
        <v>346</v>
      </c>
      <c r="B46" s="248" t="s">
        <v>1549</v>
      </c>
      <c r="C46" s="249">
        <f ca="1">ROUND((C33+C39)*F27,0)</f>
        <v>78888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526577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437059</v>
      </c>
      <c r="D51" s="232"/>
      <c r="E51" s="232"/>
      <c r="F51" s="264"/>
      <c r="G51" s="234" t="s">
        <v>1560</v>
      </c>
    </row>
    <row r="52" spans="1:7" s="208" customFormat="1" ht="16.5" thickBot="1">
      <c r="A52" s="265" t="s">
        <v>1561</v>
      </c>
      <c r="B52" s="266"/>
      <c r="C52" s="267">
        <f ca="1">C31+C51</f>
        <v>480128</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-259</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77.11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77.11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77.11</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5" zoomScale="85" zoomScaleNormal="70" zoomScaleSheetLayoutView="85" workbookViewId="0">
      <selection activeCell="C25" sqref="C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3417</v>
      </c>
      <c r="F1" s="1878" t="s">
        <v>3418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514.60130000000004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66736</v>
      </c>
      <c r="C3" s="354" t="s">
        <v>1768</v>
      </c>
      <c r="D3" s="353">
        <f>IF(D1="",'数据-汇总表'!E3,SUMIF('数据-汇总表'!$C19:$C33,D1,'数据-汇总表'!$E19:$E33))</f>
        <v>77.11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6" t="s">
        <v>1772</v>
      </c>
      <c r="AC4" s="3663" t="s">
        <v>1773</v>
      </c>
    </row>
    <row r="5" spans="1:29" ht="15">
      <c r="A5" s="358"/>
      <c r="B5" s="359"/>
      <c r="C5" s="3675" t="s">
        <v>1673</v>
      </c>
      <c r="D5" s="3676"/>
      <c r="E5" s="3673" t="s">
        <v>3468</v>
      </c>
      <c r="F5" s="3674"/>
      <c r="G5" s="3673" t="s">
        <v>3469</v>
      </c>
      <c r="H5" s="3674"/>
      <c r="I5" s="3673" t="s">
        <v>3469</v>
      </c>
      <c r="J5" s="3674"/>
      <c r="K5" s="559"/>
      <c r="L5" s="2714"/>
      <c r="M5" s="2715"/>
      <c r="N5" s="2715"/>
      <c r="O5" s="2715"/>
      <c r="P5" s="3688"/>
      <c r="Q5" s="3689"/>
      <c r="R5" s="3671"/>
      <c r="S5" s="3672"/>
      <c r="T5" s="3671"/>
      <c r="U5" s="3672"/>
      <c r="V5" s="3666"/>
      <c r="W5" s="3666"/>
      <c r="X5" s="1354"/>
      <c r="Y5" s="3671"/>
      <c r="Z5" s="3672"/>
      <c r="AA5" s="3664"/>
      <c r="AB5" s="3666"/>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6"/>
      <c r="AC6" s="3665"/>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667" t="s">
        <v>1680</v>
      </c>
      <c r="Q7" s="3694"/>
      <c r="R7" s="700" t="s">
        <v>14</v>
      </c>
      <c r="S7" s="701">
        <f t="shared" ref="S7:S15" si="0">F7</f>
        <v>100</v>
      </c>
      <c r="T7" s="700" t="s">
        <v>14</v>
      </c>
      <c r="U7" s="701">
        <f t="shared" ref="U7:U15" si="1">H7</f>
        <v>100</v>
      </c>
      <c r="V7" s="700" t="s">
        <v>14</v>
      </c>
      <c r="W7" s="701">
        <f t="shared" ref="W7:W15" si="2">J7</f>
        <v>100</v>
      </c>
      <c r="X7" s="702"/>
      <c r="Y7" s="3667" t="s">
        <v>1680</v>
      </c>
      <c r="Z7" s="3668"/>
      <c r="AA7" s="703">
        <f>D7/F7</f>
        <v>1</v>
      </c>
      <c r="AB7" s="703">
        <f>D7/H7</f>
        <v>1</v>
      </c>
      <c r="AC7" s="703">
        <f>D7/J7</f>
        <v>1</v>
      </c>
    </row>
    <row r="8" spans="1:29" s="108" customFormat="1" ht="15.75" thickBot="1">
      <c r="A8" s="362" t="s">
        <v>1681</v>
      </c>
      <c r="B8" s="363"/>
      <c r="C8" s="368" t="s">
        <v>3416</v>
      </c>
      <c r="D8" s="365">
        <v>100</v>
      </c>
      <c r="E8" s="368" t="s">
        <v>3420</v>
      </c>
      <c r="F8" s="367">
        <f>SUMIF(61:61,E8,62:62)-SUMIF(61:61,C8,62:62)+100</f>
        <v>103</v>
      </c>
      <c r="G8" s="368" t="s">
        <v>3420</v>
      </c>
      <c r="H8" s="365">
        <f>SUMIF(61:61,G8,62:62)-SUMIF(61:61,C8,62:62)+100</f>
        <v>103</v>
      </c>
      <c r="I8" s="368" t="s">
        <v>3420</v>
      </c>
      <c r="J8" s="365">
        <f>SUMIF(61:61,I8,62:62)-SUMIF(61:61,C8,62:62)+100</f>
        <v>103</v>
      </c>
      <c r="K8" s="560"/>
      <c r="L8" s="2716"/>
      <c r="M8" s="2717"/>
      <c r="N8" s="2717"/>
      <c r="O8" s="2717"/>
      <c r="P8" s="3667" t="s">
        <v>1683</v>
      </c>
      <c r="Q8" s="3668"/>
      <c r="R8" s="700" t="s">
        <v>14</v>
      </c>
      <c r="S8" s="701">
        <f t="shared" si="0"/>
        <v>103</v>
      </c>
      <c r="T8" s="700" t="s">
        <v>14</v>
      </c>
      <c r="U8" s="701">
        <f t="shared" si="1"/>
        <v>103</v>
      </c>
      <c r="V8" s="700" t="s">
        <v>14</v>
      </c>
      <c r="W8" s="701">
        <f t="shared" si="2"/>
        <v>103</v>
      </c>
      <c r="X8" s="702"/>
      <c r="Y8" s="3667" t="s">
        <v>1683</v>
      </c>
      <c r="Z8" s="3668"/>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103</v>
      </c>
      <c r="G15" s="395"/>
      <c r="H15" s="392">
        <f>SUMIF(76:76,G16,77:77)-SUMIF(76:76,C16,77:77)+100</f>
        <v>103</v>
      </c>
      <c r="I15" s="393"/>
      <c r="J15" s="392">
        <f>SUMIF(76:76,I16,77:77)-SUMIF(76:76,C16,77:77)+100</f>
        <v>103</v>
      </c>
      <c r="K15" s="563">
        <v>3</v>
      </c>
      <c r="L15" s="2721"/>
      <c r="M15" s="2715"/>
      <c r="N15" s="2715"/>
      <c r="O15" s="2715"/>
      <c r="P15" s="3695" t="s">
        <v>1691</v>
      </c>
      <c r="Q15" s="1351" t="str">
        <f t="shared" si="6"/>
        <v>商业繁华度</v>
      </c>
      <c r="R15" s="704" t="s">
        <v>14</v>
      </c>
      <c r="S15" s="705">
        <f t="shared" si="0"/>
        <v>103</v>
      </c>
      <c r="T15" s="704" t="s">
        <v>14</v>
      </c>
      <c r="U15" s="705">
        <f t="shared" si="1"/>
        <v>103</v>
      </c>
      <c r="V15" s="704" t="s">
        <v>14</v>
      </c>
      <c r="W15" s="705">
        <f t="shared" si="2"/>
        <v>103</v>
      </c>
      <c r="X15" s="1354"/>
      <c r="Y15" s="3697" t="s">
        <v>1691</v>
      </c>
      <c r="Z15" s="1355" t="str">
        <f t="shared" si="7"/>
        <v>商业繁华度</v>
      </c>
      <c r="AA15" s="1352">
        <f t="shared" si="3"/>
        <v>0.970873786407767</v>
      </c>
      <c r="AB15" s="1352">
        <f t="shared" si="4"/>
        <v>0.970873786407767</v>
      </c>
      <c r="AC15" s="1352">
        <f t="shared" si="5"/>
        <v>0.970873786407767</v>
      </c>
    </row>
    <row r="16" spans="1:29" ht="15">
      <c r="A16" s="379"/>
      <c r="B16" s="397"/>
      <c r="C16" s="398" t="s">
        <v>3447</v>
      </c>
      <c r="D16" s="399"/>
      <c r="E16" s="398" t="s">
        <v>3442</v>
      </c>
      <c r="F16" s="400"/>
      <c r="G16" s="398" t="s">
        <v>3442</v>
      </c>
      <c r="H16" s="401"/>
      <c r="I16" s="398" t="s">
        <v>3442</v>
      </c>
      <c r="J16" s="399"/>
      <c r="K16" s="564"/>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6"/>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1780</v>
      </c>
      <c r="C25" s="565" t="s">
        <v>3466</v>
      </c>
      <c r="D25" s="386">
        <v>100</v>
      </c>
      <c r="E25" s="565" t="s">
        <v>3466</v>
      </c>
      <c r="F25" s="412">
        <f>SUMIF(86:86,E25,87:87)-SUMIF(86:86,C25,87:87)+100</f>
        <v>100</v>
      </c>
      <c r="G25" s="565" t="s">
        <v>3466</v>
      </c>
      <c r="H25" s="386">
        <f>SUMIF(86:86,G25,87:87)-SUMIF(86:86,C25,87:87)+100</f>
        <v>100</v>
      </c>
      <c r="I25" s="565" t="s">
        <v>3422</v>
      </c>
      <c r="J25" s="386">
        <f>SUMIF(86:86,I25,87:87)-SUMIF(86:86,C25,87:87)+100</f>
        <v>102</v>
      </c>
      <c r="K25" s="561">
        <v>2</v>
      </c>
      <c r="L25" s="2721"/>
      <c r="M25" s="2715"/>
      <c r="N25" s="2715"/>
      <c r="O25" s="2715"/>
      <c r="P25" s="3696"/>
      <c r="Q25" s="1351" t="str">
        <f t="shared" ref="Q25:Q46" si="11">B25</f>
        <v>临街状况</v>
      </c>
      <c r="R25" s="704" t="s">
        <v>14</v>
      </c>
      <c r="S25" s="705">
        <f>F25</f>
        <v>100</v>
      </c>
      <c r="T25" s="704" t="s">
        <v>14</v>
      </c>
      <c r="U25" s="705">
        <f>H25</f>
        <v>100</v>
      </c>
      <c r="V25" s="704" t="s">
        <v>14</v>
      </c>
      <c r="W25" s="705">
        <f>J25</f>
        <v>102</v>
      </c>
      <c r="X25" s="1354"/>
      <c r="Y25" s="3698"/>
      <c r="Z25" s="1355" t="str">
        <f>Q25</f>
        <v>临街状况</v>
      </c>
      <c r="AA25" s="1352">
        <f t="shared" si="3"/>
        <v>1</v>
      </c>
      <c r="AB25" s="1352">
        <f t="shared" si="4"/>
        <v>1</v>
      </c>
      <c r="AC25" s="1352">
        <f t="shared" si="5"/>
        <v>0.98039215686274506</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96"/>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3426</v>
      </c>
      <c r="F27" s="415">
        <f>SUMIF(90:90,E27,91:91)-SUMIF(90:90,C27,91:91)+100</f>
        <v>103</v>
      </c>
      <c r="G27" s="1955" t="s">
        <v>3426</v>
      </c>
      <c r="H27" s="413">
        <f>SUMIF(90:90,G27,91:91)-SUMIF(90:90,C27,91:91)+100</f>
        <v>103</v>
      </c>
      <c r="I27" s="1955" t="s">
        <v>3426</v>
      </c>
      <c r="J27" s="413">
        <f>SUMIF(90:90,I27,91:91)-SUMIF(90:90,C27,91:91)+100</f>
        <v>103</v>
      </c>
      <c r="K27" s="561">
        <v>3</v>
      </c>
      <c r="L27" s="2716"/>
      <c r="M27" s="2717"/>
      <c r="N27" s="2717"/>
      <c r="O27" s="2717"/>
      <c r="P27" s="3696"/>
      <c r="Q27" s="1342" t="str">
        <f t="shared" si="11"/>
        <v>人流量</v>
      </c>
      <c r="R27" s="700" t="s">
        <v>14</v>
      </c>
      <c r="S27" s="701">
        <f>F27</f>
        <v>103</v>
      </c>
      <c r="T27" s="700" t="s">
        <v>14</v>
      </c>
      <c r="U27" s="701">
        <f>H27</f>
        <v>103</v>
      </c>
      <c r="V27" s="700" t="s">
        <v>14</v>
      </c>
      <c r="W27" s="701">
        <f>J27</f>
        <v>103</v>
      </c>
      <c r="X27" s="702"/>
      <c r="Y27" s="3698"/>
      <c r="Z27" s="52" t="str">
        <f>Q27</f>
        <v>人流量</v>
      </c>
      <c r="AA27" s="1352">
        <f>D27/F27</f>
        <v>0.970873786407767</v>
      </c>
      <c r="AB27" s="1352">
        <f>D27/H27</f>
        <v>0.970873786407767</v>
      </c>
      <c r="AC27" s="1352">
        <f>D27/J27</f>
        <v>0.970873786407767</v>
      </c>
    </row>
    <row r="28" spans="1:29" ht="15.75" thickBot="1">
      <c r="A28" s="379"/>
      <c r="B28" s="375" t="s">
        <v>1783</v>
      </c>
      <c r="C28" s="565" t="s">
        <v>3446</v>
      </c>
      <c r="D28" s="386">
        <v>100</v>
      </c>
      <c r="E28" s="565" t="s">
        <v>3446</v>
      </c>
      <c r="F28" s="412">
        <f>SUMIF(92:92,E28,93:93)-SUMIF(92:92,C28,93:93)+100</f>
        <v>100</v>
      </c>
      <c r="G28" s="565" t="s">
        <v>3446</v>
      </c>
      <c r="H28" s="386">
        <f>SUMIF(92:92,G28,93:93)-SUMIF(92:92,C28,93:93)+100</f>
        <v>100</v>
      </c>
      <c r="I28" s="565" t="s">
        <v>3446</v>
      </c>
      <c r="J28" s="386">
        <f>SUMIF(92:92,I28,93:93)-SUMIF(92:92,C28,93:93)+100</f>
        <v>100</v>
      </c>
      <c r="K28" s="562"/>
      <c r="L28" s="2721"/>
      <c r="M28" s="2715"/>
      <c r="N28" s="2715"/>
      <c r="O28" s="2715"/>
      <c r="P28" s="369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8"/>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1" t="s">
        <v>1694</v>
      </c>
      <c r="B32" s="63" t="s">
        <v>1784</v>
      </c>
      <c r="C32" s="1909" t="s">
        <v>3461</v>
      </c>
      <c r="D32" s="418">
        <v>100</v>
      </c>
      <c r="E32" s="1909" t="s">
        <v>3461</v>
      </c>
      <c r="F32" s="412">
        <f>SUMIF(100:100,E32,101:101)-SUMIF(100:100,C32,101:101)+100</f>
        <v>100</v>
      </c>
      <c r="G32" s="1909" t="s">
        <v>3461</v>
      </c>
      <c r="H32" s="386">
        <f>SUMIF(100:100,G32,101:101)-SUMIF(100:100,C32,101:101)+100</f>
        <v>100</v>
      </c>
      <c r="I32" s="1909" t="s">
        <v>3461</v>
      </c>
      <c r="J32" s="418">
        <f>SUMIF(100:100,I32,101:101)-SUMIF(100:100,C32,101:101)+100</f>
        <v>100</v>
      </c>
      <c r="K32" s="561">
        <v>0</v>
      </c>
      <c r="L32" s="2721"/>
      <c r="M32" s="2715"/>
      <c r="N32" s="2715"/>
      <c r="O32" s="2715"/>
      <c r="P32" s="3699" t="s">
        <v>1696</v>
      </c>
      <c r="Q32" s="1351" t="str">
        <f t="shared" si="11"/>
        <v>商业类型</v>
      </c>
      <c r="R32" s="704" t="s">
        <v>14</v>
      </c>
      <c r="S32" s="705">
        <f t="shared" si="12"/>
        <v>100</v>
      </c>
      <c r="T32" s="704" t="s">
        <v>14</v>
      </c>
      <c r="U32" s="705">
        <f t="shared" si="13"/>
        <v>100</v>
      </c>
      <c r="V32" s="704" t="s">
        <v>14</v>
      </c>
      <c r="W32" s="705">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77.11</v>
      </c>
      <c r="D33" s="127">
        <v>100</v>
      </c>
      <c r="E33" s="420">
        <v>119.62</v>
      </c>
      <c r="F33" s="376">
        <f>LOOKUP(E33,103:103,104:104)-LOOKUP(C33,103:103,104:104)+100</f>
        <v>99</v>
      </c>
      <c r="G33" s="420">
        <v>196</v>
      </c>
      <c r="H33" s="127">
        <f>LOOKUP(G33,103:103,104:104)-LOOKUP(C33,103:103,104:104)+100</f>
        <v>99</v>
      </c>
      <c r="I33" s="420">
        <v>580.96</v>
      </c>
      <c r="J33" s="127">
        <f>LOOKUP(I33,103:103,104:104)-LOOKUP(C33,103:103,104:104)+100</f>
        <v>96</v>
      </c>
      <c r="K33" s="562"/>
      <c r="L33" s="2720"/>
      <c r="M33" s="2722"/>
      <c r="N33" s="2722"/>
      <c r="O33" s="2722"/>
      <c r="P33" s="3700"/>
      <c r="Q33" s="706" t="str">
        <f t="shared" si="11"/>
        <v>项目建筑规模</v>
      </c>
      <c r="R33" s="707" t="s">
        <v>14</v>
      </c>
      <c r="S33" s="708">
        <f t="shared" si="12"/>
        <v>99</v>
      </c>
      <c r="T33" s="707" t="s">
        <v>14</v>
      </c>
      <c r="U33" s="708">
        <f t="shared" si="13"/>
        <v>99</v>
      </c>
      <c r="V33" s="707" t="s">
        <v>14</v>
      </c>
      <c r="W33" s="708">
        <f t="shared" si="14"/>
        <v>96</v>
      </c>
      <c r="X33" s="709"/>
      <c r="Y33" s="3702"/>
      <c r="Z33" s="710" t="str">
        <f t="shared" si="15"/>
        <v>项目建筑规模</v>
      </c>
      <c r="AA33" s="1352">
        <f t="shared" si="3"/>
        <v>1.0101010101010102</v>
      </c>
      <c r="AB33" s="1352">
        <f t="shared" si="4"/>
        <v>1.0101010101010102</v>
      </c>
      <c r="AC33" s="1352">
        <f t="shared" si="5"/>
        <v>1.0416666666666667</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C36</f>
        <v>0.83</v>
      </c>
      <c r="H36" s="412">
        <f>LOOKUP(G36,110:110,111:111)-LOOKUP(C36,110:110,111:111)+100</f>
        <v>100</v>
      </c>
      <c r="I36" s="425">
        <f>C36</f>
        <v>0.83</v>
      </c>
      <c r="J36" s="386">
        <f>LOOKUP(I36,110:110,111:111)-LOOKUP(C36,110:110,111:111)+100</f>
        <v>100</v>
      </c>
      <c r="K36" s="561"/>
      <c r="L36" s="2721"/>
      <c r="M36" s="2715"/>
      <c r="N36" s="2715"/>
      <c r="O36" s="2715"/>
      <c r="P36" s="3700"/>
      <c r="Q36" s="1351" t="str">
        <f t="shared" si="11"/>
        <v>成新度</v>
      </c>
      <c r="R36" s="704" t="s">
        <v>14</v>
      </c>
      <c r="S36" s="705">
        <f t="shared" si="12"/>
        <v>100</v>
      </c>
      <c r="T36" s="704" t="s">
        <v>14</v>
      </c>
      <c r="U36" s="705">
        <f t="shared" si="13"/>
        <v>100</v>
      </c>
      <c r="V36" s="704" t="s">
        <v>14</v>
      </c>
      <c r="W36" s="705">
        <f t="shared" si="14"/>
        <v>100</v>
      </c>
      <c r="X36" s="1354"/>
      <c r="Y36" s="3702"/>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3467</v>
      </c>
      <c r="J38" s="386">
        <f>SUMIF(114:114,I38,115:115)-SUMIF(114:114,C38,115:115)+100</f>
        <v>103</v>
      </c>
      <c r="K38" s="561">
        <v>3</v>
      </c>
      <c r="L38" s="2721"/>
      <c r="M38" s="2715"/>
      <c r="N38" s="2715"/>
      <c r="O38" s="2715"/>
      <c r="P38" s="3700" t="s">
        <v>1696</v>
      </c>
      <c r="Q38" s="1351" t="str">
        <f t="shared" si="11"/>
        <v>业态</v>
      </c>
      <c r="R38" s="704" t="s">
        <v>14</v>
      </c>
      <c r="S38" s="705">
        <f t="shared" si="12"/>
        <v>100</v>
      </c>
      <c r="T38" s="704" t="s">
        <v>14</v>
      </c>
      <c r="U38" s="705">
        <f t="shared" si="13"/>
        <v>100</v>
      </c>
      <c r="V38" s="704" t="s">
        <v>14</v>
      </c>
      <c r="W38" s="705">
        <f t="shared" si="14"/>
        <v>103</v>
      </c>
      <c r="X38" s="1354"/>
      <c r="Y38" s="3702"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3"/>
      <c r="B42" s="375" t="s">
        <v>1792</v>
      </c>
      <c r="C42" s="1905" t="s">
        <v>3464</v>
      </c>
      <c r="D42" s="386">
        <v>100</v>
      </c>
      <c r="E42" s="1905" t="s">
        <v>3439</v>
      </c>
      <c r="F42" s="412">
        <f>SUMIF(122:122,E42,123:123)-SUMIF(122:122,C42,123:123)+100</f>
        <v>97</v>
      </c>
      <c r="G42" s="1905" t="s">
        <v>3439</v>
      </c>
      <c r="H42" s="386">
        <f>SUMIF(122:122,G42,123:123)-SUMIF(122:122,C42,123:123)+100</f>
        <v>97</v>
      </c>
      <c r="I42" s="1905" t="s">
        <v>3439</v>
      </c>
      <c r="J42" s="386">
        <f>SUMIF(122:122,I42,123:123)-SUMIF(122:122,C42,123:123)+100</f>
        <v>97</v>
      </c>
      <c r="K42" s="561">
        <v>3</v>
      </c>
      <c r="L42" s="2721"/>
      <c r="M42" s="2715"/>
      <c r="N42" s="2715"/>
      <c r="O42" s="2715"/>
      <c r="P42" s="3700"/>
      <c r="Q42" s="1351" t="str">
        <f t="shared" si="11"/>
        <v>内部装修</v>
      </c>
      <c r="R42" s="704" t="s">
        <v>14</v>
      </c>
      <c r="S42" s="705">
        <f t="shared" si="12"/>
        <v>97</v>
      </c>
      <c r="T42" s="704" t="s">
        <v>14</v>
      </c>
      <c r="U42" s="705">
        <f t="shared" si="13"/>
        <v>97</v>
      </c>
      <c r="V42" s="704" t="s">
        <v>14</v>
      </c>
      <c r="W42" s="705">
        <f t="shared" si="14"/>
        <v>97</v>
      </c>
      <c r="X42" s="1354"/>
      <c r="Y42" s="3702"/>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704" t="str">
        <f>A47</f>
        <v>成交单价（元/平方米）</v>
      </c>
      <c r="Q47" s="3704"/>
      <c r="R47" s="3666">
        <f>E47</f>
        <v>75238</v>
      </c>
      <c r="S47" s="3666"/>
      <c r="T47" s="3666">
        <f>G47</f>
        <v>71046</v>
      </c>
      <c r="U47" s="3666"/>
      <c r="V47" s="3666">
        <f>I47</f>
        <v>65000</v>
      </c>
      <c r="W47" s="3666"/>
      <c r="X47" s="689"/>
      <c r="Y47" s="711"/>
      <c r="Z47" s="689"/>
      <c r="AA47" s="689"/>
      <c r="AB47" s="689"/>
      <c r="AC47" s="689"/>
    </row>
    <row r="48" spans="1:29" ht="15.75" thickBot="1">
      <c r="A48" s="437" t="s">
        <v>1793</v>
      </c>
      <c r="B48" s="438"/>
      <c r="C48" s="1159">
        <f>R49</f>
        <v>66736</v>
      </c>
      <c r="D48" s="2316" t="s">
        <v>2138</v>
      </c>
      <c r="E48" s="1160">
        <f>R48</f>
        <v>71700</v>
      </c>
      <c r="F48" s="2317"/>
      <c r="G48" s="1159">
        <f>T48</f>
        <v>67705</v>
      </c>
      <c r="H48" s="2317"/>
      <c r="I48" s="1160">
        <f>V48</f>
        <v>60802</v>
      </c>
      <c r="J48" s="2317"/>
      <c r="K48" s="2319">
        <f>F48+H48+J48</f>
        <v>0</v>
      </c>
      <c r="L48" s="2723"/>
      <c r="M48" s="2724"/>
      <c r="N48" s="2715"/>
      <c r="O48" s="2724"/>
      <c r="P48" s="3704" t="str">
        <f>A48</f>
        <v>比较价值（元/平方米）</v>
      </c>
      <c r="Q48" s="3704"/>
      <c r="R48" s="3705">
        <f>IF(F1="售价",ROUND(PRODUCT(R47,AA7:AA46),0),ROUND(PRODUCT(R47,AA7:AA46),1))</f>
        <v>71700</v>
      </c>
      <c r="S48" s="3705"/>
      <c r="T48" s="3705">
        <f>IF(F1="售价",ROUND(PRODUCT(T47,AB7:AB46),0),ROUND(PRODUCT(T47,AB7:AB46),1))</f>
        <v>67705</v>
      </c>
      <c r="U48" s="3705"/>
      <c r="V48" s="3705">
        <f>IF(F1="售价",ROUND(PRODUCT(V47,AC7:AC46),0),ROUND(PRODUCT(V47,AC7:AC46),1))</f>
        <v>60802</v>
      </c>
      <c r="W48" s="3705"/>
      <c r="X48" s="689"/>
      <c r="Y48" s="689"/>
      <c r="Z48" s="689"/>
      <c r="AA48" s="689"/>
      <c r="AB48" s="689"/>
      <c r="AC48" s="689"/>
    </row>
    <row r="49" spans="1:29" ht="15.75" thickBot="1">
      <c r="A49" s="441" t="s">
        <v>1794</v>
      </c>
      <c r="B49" s="442"/>
      <c r="C49" s="1162">
        <f>R49</f>
        <v>66736</v>
      </c>
      <c r="D49" s="1162"/>
      <c r="E49" s="1162"/>
      <c r="F49" s="1162"/>
      <c r="G49" s="1162"/>
      <c r="H49" s="1162"/>
      <c r="I49" s="1162"/>
      <c r="J49" s="1162"/>
      <c r="K49" s="714"/>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66736</v>
      </c>
      <c r="S49" s="3708"/>
      <c r="T49" s="3708"/>
      <c r="U49" s="3708"/>
      <c r="V49" s="3708"/>
      <c r="W49" s="3708"/>
      <c r="X49" s="689"/>
      <c r="Y49" s="689"/>
      <c r="Z49" s="689"/>
      <c r="AA49" s="689"/>
      <c r="AB49" s="689"/>
      <c r="AC49" s="689"/>
    </row>
    <row r="50" spans="1:29">
      <c r="A50" s="2724"/>
      <c r="B50" s="2724"/>
      <c r="C50" s="2724"/>
      <c r="D50" s="2724"/>
      <c r="E50" s="2724">
        <v>21667</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t="s">
        <v>3460</v>
      </c>
      <c r="E51" s="2724">
        <f>ROUND(E50/P92*P95,0)</f>
        <v>18056</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4.9344490934449148E-2</v>
      </c>
      <c r="F52" s="449" t="str">
        <f>IF(OR(E52&gt;=0.3,E52&lt;=-0.3),"超过30%","")</f>
        <v/>
      </c>
      <c r="G52" s="448">
        <f>IF(G47&lt;G48,G48/G47-1,G47/G48-1)</f>
        <v>4.9346429362676414E-2</v>
      </c>
      <c r="H52" s="449" t="str">
        <f>IF(OR(G52&gt;=0.3,G52&lt;=-0.3),"超过30%","")</f>
        <v/>
      </c>
      <c r="I52" s="448">
        <f>IF(I47&lt;I48,I48/I47-1,I47/I48-1)</f>
        <v>6.9043781454557474E-2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5.9005981832951804E-2</v>
      </c>
      <c r="F53" s="449" t="str">
        <f>IF(OR(E53&gt;=0.2,E53&lt;=-0.2),"超过20%","")</f>
        <v/>
      </c>
      <c r="G53" s="448">
        <f>IF(G48&lt;I48,I48/G48-1,G48/I48-1)</f>
        <v>0.11353244959047393</v>
      </c>
      <c r="H53" s="449" t="str">
        <f>IF(OR(G53&gt;=0.2,G53&lt;=-0.2),"超过20%","")</f>
        <v/>
      </c>
      <c r="I53" s="448">
        <f>IF(I48&lt;E48,E48/I48-1,I48/E48-1)</f>
        <v>0.17923752508141177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3423</v>
      </c>
      <c r="D86" s="3468" t="s">
        <v>3424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3425</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3465</v>
      </c>
      <c r="D92" s="503"/>
      <c r="E92" s="503"/>
      <c r="F92" s="503"/>
      <c r="G92" s="503"/>
      <c r="H92" s="503"/>
      <c r="I92" s="503"/>
      <c r="J92" s="503"/>
      <c r="K92" s="503"/>
      <c r="L92" s="529"/>
      <c r="M92" s="530"/>
      <c r="N92" s="2752" t="s">
        <v>3455</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3456</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3457</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3458</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3459</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3462</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18.649999999999999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171.08459999999999</v>
      </c>
      <c r="C2" s="1386" t="s">
        <v>879</v>
      </c>
      <c r="D2" s="1470">
        <f ca="1">C40+J29+L46</f>
        <v>1710846</v>
      </c>
      <c r="E2" s="1387" t="s">
        <v>880</v>
      </c>
      <c r="F2" s="1388"/>
      <c r="G2" s="2705"/>
      <c r="H2" s="2694"/>
      <c r="I2" s="2694"/>
      <c r="J2" s="2694"/>
      <c r="K2" s="2695"/>
      <c r="L2" s="2694"/>
      <c r="M2" s="2694"/>
    </row>
    <row r="3" spans="1:37" ht="18" customHeight="1" thickBot="1">
      <c r="A3" s="1389" t="s">
        <v>881</v>
      </c>
      <c r="B3" s="1390">
        <f ca="1">IF(ISERROR(D2/F43),0,ROUND(D2/F43,0))</f>
        <v>22187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152174</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151984</v>
      </c>
      <c r="D6" s="155" t="s">
        <v>2106</v>
      </c>
      <c r="E6" s="302" t="s">
        <v>696</v>
      </c>
      <c r="F6" s="303">
        <f ca="1">INDIRECT("'数据-取费表'!u"&amp;$G$1)</f>
        <v>6</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77.11</v>
      </c>
      <c r="G7" s="1383"/>
      <c r="H7" s="304"/>
      <c r="I7" s="3661"/>
      <c r="J7" s="306"/>
      <c r="K7" s="307"/>
      <c r="L7" s="302" t="s">
        <v>697</v>
      </c>
      <c r="M7" s="303">
        <f ca="1">F7</f>
        <v>77.11</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190</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437059</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346995</v>
      </c>
      <c r="D14" s="1344" t="s">
        <v>708</v>
      </c>
      <c r="E14" s="1341"/>
      <c r="F14" s="319"/>
      <c r="G14" s="1383"/>
      <c r="H14" s="981" t="s">
        <v>398</v>
      </c>
      <c r="I14" s="302" t="s">
        <v>709</v>
      </c>
      <c r="J14" s="21">
        <f ca="1">C29</f>
        <v>526577</v>
      </c>
      <c r="K14" s="12"/>
      <c r="L14" s="806"/>
      <c r="M14" s="807"/>
    </row>
    <row r="15" spans="1:37" s="1396" customFormat="1" ht="18" customHeight="1" thickBot="1">
      <c r="A15" s="981" t="s">
        <v>399</v>
      </c>
      <c r="B15" s="302" t="s">
        <v>710</v>
      </c>
      <c r="C15" s="21">
        <f ca="1">ROUND(C14*F15,0)</f>
        <v>17350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2633</v>
      </c>
      <c r="K16" s="1086" t="s">
        <v>715</v>
      </c>
      <c r="L16" s="1087"/>
      <c r="M16" s="1071"/>
    </row>
    <row r="17" spans="1:37" s="1396" customFormat="1" ht="18" customHeight="1">
      <c r="A17" s="981" t="s">
        <v>681</v>
      </c>
      <c r="B17" s="302" t="s">
        <v>716</v>
      </c>
      <c r="C17" s="21">
        <f ca="1">ROUND(F17*(F43+INDIRECT("'数据-取费表'!S"&amp;$G$1)),0)</f>
        <v>15422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6940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386707</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7734</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2633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12228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-2633</v>
      </c>
      <c r="K25" s="1094" t="s">
        <v>753</v>
      </c>
      <c r="L25" s="1095"/>
      <c r="M25" s="1096"/>
    </row>
    <row r="26" spans="1:37" ht="18" customHeight="1">
      <c r="A26" s="981" t="s">
        <v>397</v>
      </c>
      <c r="B26" s="302" t="s">
        <v>754</v>
      </c>
      <c r="C26" s="21">
        <f ca="1">ROUND((C19+C20)*F26,0)</f>
        <v>78888</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526577</v>
      </c>
      <c r="D29" s="1091"/>
      <c r="E29" s="1089"/>
      <c r="F29" s="1092"/>
      <c r="G29" s="1395"/>
      <c r="H29" s="334" t="s">
        <v>396</v>
      </c>
      <c r="I29" s="335" t="s">
        <v>768</v>
      </c>
      <c r="J29" s="336">
        <f ca="1">ROUND(J26/(1+F40)^F41,0)</f>
        <v>0</v>
      </c>
      <c r="K29" s="337" t="s">
        <v>769</v>
      </c>
      <c r="L29" s="338"/>
      <c r="M29" s="339">
        <f ca="1">INDIRECT("'数据-取费表'!k"&amp;$G$1)</f>
        <v>77.11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29307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25476</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8106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17370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2633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437</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761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122867</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1639364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18.649999999999999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21260</v>
      </c>
      <c r="D43" s="337" t="s">
        <v>777</v>
      </c>
      <c r="E43" s="338" t="s">
        <v>778</v>
      </c>
      <c r="F43" s="339">
        <f ca="1">INDIRECT("'数据-取费表'!k"&amp;$G$1)</f>
        <v>77.11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-167.46180000000001</v>
      </c>
      <c r="D45" s="3431" t="s">
        <v>3349</v>
      </c>
      <c r="E45" s="1399"/>
      <c r="F45" s="1399"/>
      <c r="O45" s="1402" t="s">
        <v>808</v>
      </c>
      <c r="P45" s="1460"/>
      <c r="Q45" s="1460"/>
      <c r="R45" s="1460"/>
    </row>
    <row r="46" spans="1:18" s="1383" customFormat="1" ht="13.5" thickBot="1">
      <c r="A46" s="1403" t="s">
        <v>809</v>
      </c>
      <c r="C46" s="1404">
        <f ca="1">ROUND(C45,0)</f>
        <v>-167</v>
      </c>
      <c r="D46" s="1405" t="str">
        <f>C2</f>
        <v>万元</v>
      </c>
      <c r="I46" s="1406" t="s">
        <v>810</v>
      </c>
      <c r="J46" s="1407"/>
      <c r="K46" s="1408"/>
      <c r="L46" s="1409">
        <f ca="1">IF(M47="住宅",0,IF(L48&gt;J51,L60,J60))</f>
        <v>71482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1639364</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18.649999999999999</v>
      </c>
      <c r="O48" s="1417" t="s">
        <v>404</v>
      </c>
      <c r="P48" s="1418" t="s">
        <v>821</v>
      </c>
      <c r="Q48" s="1419">
        <f ca="1">J60</f>
        <v>71482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526577</v>
      </c>
      <c r="R49" s="1419" t="s">
        <v>818</v>
      </c>
    </row>
    <row r="50" spans="1:18" s="1383" customFormat="1" ht="13.5" thickBot="1">
      <c r="A50" s="975"/>
      <c r="B50" s="978"/>
      <c r="C50" s="979"/>
      <c r="D50" s="952"/>
      <c r="E50" s="1055" t="s">
        <v>697</v>
      </c>
      <c r="F50" s="1056">
        <f ca="1">F7</f>
        <v>77.11</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1684527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18.649999999999999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18.649999999999999</v>
      </c>
      <c r="K53" s="3658" t="s">
        <v>837</v>
      </c>
      <c r="L53" s="3659"/>
      <c r="O53" s="1417" t="s">
        <v>409</v>
      </c>
      <c r="P53" s="1418" t="s">
        <v>838</v>
      </c>
      <c r="Q53" s="1419">
        <f ca="1">Q47+Q48</f>
        <v>1710846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437059</v>
      </c>
      <c r="D56" s="1446"/>
      <c r="E56" s="1447"/>
      <c r="F56" s="1439"/>
      <c r="I56" s="1448" t="s">
        <v>842</v>
      </c>
      <c r="J56" s="1449" t="s">
        <v>3445</v>
      </c>
      <c r="K56" s="1420" t="s">
        <v>843</v>
      </c>
      <c r="L56" s="1423" t="str">
        <f ca="1">IF(L48&lt;J51,"——",L48-J51)</f>
        <v>——</v>
      </c>
      <c r="O56" s="1417" t="s">
        <v>403</v>
      </c>
      <c r="P56" s="1418" t="s">
        <v>817</v>
      </c>
      <c r="Q56" s="1419">
        <f ca="1">C40+J29</f>
        <v>1639364</v>
      </c>
      <c r="R56" s="1419" t="s">
        <v>818</v>
      </c>
    </row>
    <row r="57" spans="1:18" s="1383" customFormat="1" ht="24.75" thickBot="1">
      <c r="A57" s="1450"/>
      <c r="B57" s="949" t="s">
        <v>767</v>
      </c>
      <c r="C57" s="238">
        <f ca="1">C29</f>
        <v>526577</v>
      </c>
      <c r="D57" s="1451"/>
      <c r="E57" s="1452"/>
      <c r="F57" s="1453"/>
      <c r="I57" s="1454" t="s">
        <v>844</v>
      </c>
      <c r="J57" s="1455">
        <f ca="1">IF(OR(M47="住宅",J51&lt;L48,J56="是"),"——",J51-L48)</f>
        <v>31.35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3070</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275400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71482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1639364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2633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437</v>
      </c>
      <c r="D65" s="963" t="s">
        <v>743</v>
      </c>
      <c r="E65" s="949" t="s">
        <v>744</v>
      </c>
      <c r="F65" s="330">
        <f t="shared" ca="1" si="0"/>
        <v>1E-3</v>
      </c>
      <c r="I65" s="1461" t="s">
        <v>867</v>
      </c>
      <c r="J65" s="1462">
        <v>40</v>
      </c>
      <c r="K65" s="1462">
        <v>30</v>
      </c>
      <c r="L65" s="1462">
        <v>50</v>
      </c>
      <c r="M65" s="1464">
        <v>0.02</v>
      </c>
      <c r="O65" s="1417" t="s">
        <v>403</v>
      </c>
      <c r="P65" s="1418" t="s">
        <v>868</v>
      </c>
      <c r="Q65" s="1419">
        <f ca="1">C40+J29</f>
        <v>1639364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-3070</v>
      </c>
      <c r="D67" s="962" t="s">
        <v>753</v>
      </c>
      <c r="E67" s="967"/>
      <c r="F67" s="968"/>
      <c r="O67" s="1427" t="s">
        <v>405</v>
      </c>
      <c r="P67" s="1418" t="s">
        <v>850</v>
      </c>
      <c r="Q67" s="1465">
        <f ca="1">L51</f>
        <v>1684527</v>
      </c>
      <c r="R67" s="1419" t="s">
        <v>870</v>
      </c>
    </row>
    <row r="68" spans="1:18" s="1383" customFormat="1" ht="16.5" thickBot="1">
      <c r="A68" s="946" t="s">
        <v>395</v>
      </c>
      <c r="B68" s="947" t="s">
        <v>774</v>
      </c>
      <c r="C68" s="301">
        <f ca="1">ROUND(C67*(1-((1+F70)/(1+F68))^F69)/(F68-F70),0)</f>
        <v>-35254</v>
      </c>
      <c r="D68" s="964" t="s">
        <v>758</v>
      </c>
      <c r="E68" s="949" t="s">
        <v>759</v>
      </c>
      <c r="F68" s="312">
        <f ca="1">F40</f>
        <v>5.5E-2</v>
      </c>
      <c r="O68" s="1427" t="s">
        <v>406</v>
      </c>
      <c r="P68" s="1466" t="s">
        <v>871</v>
      </c>
      <c r="Q68" s="1419">
        <f ca="1">ROUND(Q69-Q70*Q71,0)</f>
        <v>92273</v>
      </c>
      <c r="R68" s="1419" t="s">
        <v>414</v>
      </c>
    </row>
    <row r="69" spans="1:18" s="1383" customFormat="1" ht="13.5" thickBot="1">
      <c r="A69" s="950"/>
      <c r="B69" s="951"/>
      <c r="C69" s="306"/>
      <c r="D69" s="969" t="s">
        <v>762</v>
      </c>
      <c r="E69" s="949" t="s">
        <v>763</v>
      </c>
      <c r="F69" s="333">
        <f ca="1">F41</f>
        <v>18.649999999999999</v>
      </c>
      <c r="O69" s="1427" t="s">
        <v>411</v>
      </c>
      <c r="P69" s="1466" t="s">
        <v>872</v>
      </c>
      <c r="Q69" s="1419">
        <f ca="1">C39</f>
        <v>122867</v>
      </c>
      <c r="R69" s="1419" t="s">
        <v>818</v>
      </c>
    </row>
    <row r="70" spans="1:18" s="1383" customFormat="1" ht="13.5" thickBot="1">
      <c r="A70" s="953"/>
      <c r="B70" s="954"/>
      <c r="C70" s="310"/>
      <c r="D70" s="965"/>
      <c r="E70" s="949" t="s">
        <v>766</v>
      </c>
      <c r="F70" s="1053"/>
      <c r="O70" s="1427" t="s">
        <v>412</v>
      </c>
      <c r="P70" s="1466" t="s">
        <v>873</v>
      </c>
      <c r="Q70" s="1419">
        <f ca="1">C13</f>
        <v>437059</v>
      </c>
      <c r="R70" s="1419" t="s">
        <v>818</v>
      </c>
    </row>
    <row r="71" spans="1:18" s="1383" customFormat="1" ht="13.5" thickBot="1">
      <c r="A71" s="970" t="s">
        <v>396</v>
      </c>
      <c r="B71" s="971" t="s">
        <v>776</v>
      </c>
      <c r="C71" s="336">
        <f ca="1">ROUND(C68/F71,0)</f>
        <v>-457</v>
      </c>
      <c r="D71" s="972" t="s">
        <v>777</v>
      </c>
      <c r="E71" s="973" t="s">
        <v>778</v>
      </c>
      <c r="F71" s="339">
        <f ca="1">F43</f>
        <v>77.11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30594</v>
      </c>
      <c r="D75" s="1383"/>
      <c r="E75" s="1383"/>
      <c r="F75" s="1383"/>
      <c r="K75" s="1401"/>
      <c r="L75" s="1383"/>
      <c r="O75" s="1417" t="s">
        <v>409</v>
      </c>
      <c r="P75" s="1418" t="s">
        <v>838</v>
      </c>
      <c r="Q75" s="1419">
        <f ca="1">Q65+Q66</f>
        <v>1639364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0.751</v>
      </c>
    </row>
    <row r="80" spans="1:18">
      <c r="B80" s="340" t="s">
        <v>800</v>
      </c>
      <c r="C80" s="274">
        <f ca="1">ROUND(C75/C39,3)</f>
        <v>0.249</v>
      </c>
    </row>
    <row r="81" spans="2:3">
      <c r="B81" s="270" t="s">
        <v>801</v>
      </c>
      <c r="C81" s="238"/>
    </row>
    <row r="82" spans="2:3">
      <c r="B82" s="273" t="s">
        <v>802</v>
      </c>
      <c r="C82" s="275">
        <f ca="1">1-C83</f>
        <v>0.73299999999999998</v>
      </c>
    </row>
    <row r="83" spans="2:3">
      <c r="B83" s="273" t="s">
        <v>803</v>
      </c>
      <c r="C83" s="274">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09" t="s">
        <v>2313</v>
      </c>
      <c r="K2" s="3710"/>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1" t="s">
        <v>2323</v>
      </c>
      <c r="K3" s="3712"/>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1" t="s">
        <v>2325</v>
      </c>
      <c r="K4" s="3712"/>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13" t="s">
        <v>2329</v>
      </c>
      <c r="B6" s="3714"/>
      <c r="C6" s="3715"/>
      <c r="D6" s="2869"/>
      <c r="E6" s="2870"/>
      <c r="F6" s="2871"/>
      <c r="G6" s="2872"/>
      <c r="H6" s="2847"/>
      <c r="I6" s="2848"/>
      <c r="J6" s="3716">
        <v>1</v>
      </c>
      <c r="K6" s="3717"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6"/>
      <c r="K7" s="3718"/>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0" t="s">
        <v>2343</v>
      </c>
      <c r="C8" s="3721"/>
      <c r="D8" s="2888" t="s">
        <v>2344</v>
      </c>
      <c r="E8" s="2889" t="s">
        <v>2345</v>
      </c>
      <c r="F8" s="2890" t="s">
        <v>2346</v>
      </c>
      <c r="G8" s="2891"/>
      <c r="H8" s="2847"/>
      <c r="I8" s="2848"/>
      <c r="J8" s="3716"/>
      <c r="K8" s="3718"/>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0" t="s">
        <v>2349</v>
      </c>
      <c r="C9" s="3721"/>
      <c r="D9" s="2888">
        <f>ROUND(D6*E9,0)</f>
        <v>0</v>
      </c>
      <c r="E9" s="2892"/>
      <c r="F9" s="2893" t="s">
        <v>2350</v>
      </c>
      <c r="G9" s="2872"/>
      <c r="H9" s="2847"/>
      <c r="I9" s="2848"/>
      <c r="J9" s="3716"/>
      <c r="K9" s="3718"/>
      <c r="L9" s="2882" t="s">
        <v>2351</v>
      </c>
      <c r="M9" s="2883"/>
      <c r="N9" s="2859"/>
      <c r="O9" s="2884"/>
      <c r="P9" s="2884"/>
      <c r="Q9" s="2885">
        <v>365</v>
      </c>
      <c r="R9" s="2886">
        <f t="shared" si="0"/>
        <v>0</v>
      </c>
      <c r="S9" s="2840"/>
      <c r="T9" s="2840"/>
      <c r="U9" s="2840"/>
      <c r="V9" s="2848"/>
    </row>
    <row r="10" spans="1:22" s="2852" customFormat="1" ht="13.15" customHeight="1">
      <c r="A10" s="2887">
        <v>2</v>
      </c>
      <c r="B10" s="3720" t="s">
        <v>2352</v>
      </c>
      <c r="C10" s="3721"/>
      <c r="D10" s="2888">
        <f>ROUND(D6*E10,0)</f>
        <v>0</v>
      </c>
      <c r="E10" s="2892"/>
      <c r="F10" s="2893" t="s">
        <v>2353</v>
      </c>
      <c r="G10" s="2872"/>
      <c r="H10" s="2847"/>
      <c r="I10" s="2848"/>
      <c r="J10" s="3716"/>
      <c r="K10" s="3718"/>
      <c r="L10" s="2882" t="s">
        <v>2354</v>
      </c>
      <c r="M10" s="2883"/>
      <c r="N10" s="2859"/>
      <c r="O10" s="2884"/>
      <c r="P10" s="2884"/>
      <c r="Q10" s="2885">
        <v>365</v>
      </c>
      <c r="R10" s="2886">
        <f t="shared" si="0"/>
        <v>0</v>
      </c>
      <c r="S10" s="2840"/>
      <c r="T10" s="2840"/>
      <c r="U10" s="2840"/>
      <c r="V10" s="2848"/>
    </row>
    <row r="11" spans="1:22" s="2852" customFormat="1" ht="13.15" customHeight="1">
      <c r="A11" s="2887">
        <v>3</v>
      </c>
      <c r="B11" s="3720" t="s">
        <v>2355</v>
      </c>
      <c r="C11" s="3721"/>
      <c r="D11" s="2888">
        <f>D12+D14+D15+D16</f>
        <v>0</v>
      </c>
      <c r="E11" s="2894" t="e">
        <f>D11/D6</f>
        <v>#DIV/0!</v>
      </c>
      <c r="F11" s="2890"/>
      <c r="G11" s="2891"/>
      <c r="H11" s="2847"/>
      <c r="I11" s="2848"/>
      <c r="J11" s="3716"/>
      <c r="K11" s="3718"/>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2" t="s">
        <v>2358</v>
      </c>
      <c r="C12" s="3723"/>
      <c r="D12" s="2896">
        <f>ROUND(D13*1.2%*(1-30%),0)</f>
        <v>0</v>
      </c>
      <c r="E12" s="2897">
        <v>1.2E-2</v>
      </c>
      <c r="F12" s="2890" t="s">
        <v>2359</v>
      </c>
      <c r="G12" s="2891"/>
      <c r="H12" s="2847"/>
      <c r="I12" s="2848"/>
      <c r="J12" s="3716"/>
      <c r="K12" s="3718"/>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6"/>
      <c r="K13" s="3718"/>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2" t="s">
        <v>2364</v>
      </c>
      <c r="C14" s="3723"/>
      <c r="D14" s="2896">
        <f>ROUND(E14*B5/10000,0)</f>
        <v>0</v>
      </c>
      <c r="E14" s="2885"/>
      <c r="F14" s="2890" t="s">
        <v>2365</v>
      </c>
      <c r="G14" s="2891"/>
      <c r="H14" s="2847"/>
      <c r="I14" s="2848"/>
      <c r="J14" s="3716"/>
      <c r="K14" s="3719"/>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2" t="s">
        <v>2368</v>
      </c>
      <c r="C15" s="3723"/>
      <c r="D15" s="2896">
        <f>ROUND(D6*E15,0)</f>
        <v>0</v>
      </c>
      <c r="E15" s="2897">
        <v>5.5E-2</v>
      </c>
      <c r="F15" s="2890" t="s">
        <v>2369</v>
      </c>
      <c r="G15" s="2872"/>
      <c r="H15" s="2847"/>
      <c r="I15" s="2848"/>
      <c r="J15" s="3716">
        <v>2</v>
      </c>
      <c r="K15" s="3717"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2" t="s">
        <v>2377</v>
      </c>
      <c r="C16" s="3723"/>
      <c r="D16" s="2907">
        <f>D6*E16</f>
        <v>0</v>
      </c>
      <c r="E16" s="2908"/>
      <c r="F16" s="2893" t="s">
        <v>2378</v>
      </c>
      <c r="G16" s="2872"/>
      <c r="H16" s="2847"/>
      <c r="I16" s="2848"/>
      <c r="J16" s="3716"/>
      <c r="K16" s="3718"/>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2380</v>
      </c>
      <c r="C17" s="3725"/>
      <c r="D17" s="2910">
        <f>ROUND(D6*E17,0)</f>
        <v>0</v>
      </c>
      <c r="E17" s="2911"/>
      <c r="F17" s="2912" t="s">
        <v>2381</v>
      </c>
      <c r="G17" s="2872"/>
      <c r="H17" s="2847"/>
      <c r="I17" s="2848"/>
      <c r="J17" s="3716"/>
      <c r="K17" s="3718"/>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6"/>
      <c r="K18" s="3718"/>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6"/>
      <c r="K19" s="3719"/>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6"/>
      <c r="K21" s="3718"/>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6"/>
      <c r="K22" s="3718"/>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6"/>
      <c r="K23" s="3718"/>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6"/>
      <c r="K24" s="3719"/>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26">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2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09" t="s">
        <v>2313</v>
      </c>
      <c r="K32" s="3710"/>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1" t="s">
        <v>2323</v>
      </c>
      <c r="K33" s="3712"/>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1" t="s">
        <v>2325</v>
      </c>
      <c r="K34" s="371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6">
        <v>1</v>
      </c>
      <c r="K36" s="3717"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6"/>
      <c r="K40" s="3719"/>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6">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2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171.08459999999999</v>
      </c>
      <c r="C2" s="1871" t="s">
        <v>1651</v>
      </c>
      <c r="D2" s="1872" t="s">
        <v>1652</v>
      </c>
      <c r="E2" s="2606">
        <f>SUM(E6:E13)</f>
        <v>77.11</v>
      </c>
      <c r="F2" s="2706"/>
      <c r="G2" s="1488"/>
      <c r="H2" s="1488"/>
      <c r="I2" s="1488"/>
      <c r="J2" s="1488"/>
      <c r="K2" s="1488"/>
      <c r="L2" s="1488"/>
      <c r="M2" s="1488"/>
      <c r="N2" s="1488"/>
      <c r="O2" s="1488"/>
      <c r="P2" s="1488"/>
      <c r="Q2" s="1488"/>
      <c r="R2" s="1488"/>
      <c r="S2" s="1488"/>
    </row>
    <row r="3" spans="1:22" ht="15.75">
      <c r="A3" s="1869" t="s">
        <v>686</v>
      </c>
      <c r="B3" s="2600">
        <f ca="1">ROUND(B2*10000/E2,0)</f>
        <v>22187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171.08459999999999</v>
      </c>
      <c r="C6" s="1871" t="s">
        <v>1651</v>
      </c>
      <c r="D6" s="2708"/>
      <c r="E6" s="2605">
        <f>IF(OR(A6=0,F6="否"),0,'数据-取费表'!K6+'数据-取费表'!S6)</f>
        <v>77.11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77.11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69" t="s">
        <v>1668</v>
      </c>
      <c r="S4" s="3670"/>
      <c r="T4" s="3669" t="s">
        <v>1669</v>
      </c>
      <c r="U4" s="3670"/>
      <c r="V4" s="3666" t="s">
        <v>1670</v>
      </c>
      <c r="W4" s="3666"/>
      <c r="X4" s="1354"/>
      <c r="Y4" s="3669" t="s">
        <v>1672</v>
      </c>
      <c r="Z4" s="3670"/>
      <c r="AA4" s="3663" t="s">
        <v>1668</v>
      </c>
      <c r="AB4" s="3663" t="s">
        <v>1669</v>
      </c>
      <c r="AC4" s="3663" t="s">
        <v>1670</v>
      </c>
    </row>
    <row r="5" spans="1:29" ht="15">
      <c r="A5" s="358"/>
      <c r="B5" s="359"/>
      <c r="C5" s="3675" t="s">
        <v>1673</v>
      </c>
      <c r="D5" s="3676"/>
      <c r="E5" s="3730" t="s">
        <v>1674</v>
      </c>
      <c r="F5" s="3674"/>
      <c r="G5" s="3675" t="s">
        <v>1675</v>
      </c>
      <c r="H5" s="3676"/>
      <c r="I5" s="3675" t="s">
        <v>1676</v>
      </c>
      <c r="J5" s="3676"/>
      <c r="K5" s="188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188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1680</v>
      </c>
      <c r="Q7" s="3694"/>
      <c r="R7" s="700" t="s">
        <v>20</v>
      </c>
      <c r="S7" s="701">
        <f t="shared" ref="S7:S15" si="0">F7</f>
        <v>0</v>
      </c>
      <c r="T7" s="700" t="s">
        <v>20</v>
      </c>
      <c r="U7" s="701">
        <f t="shared" ref="U7:U15" si="1">H7</f>
        <v>0</v>
      </c>
      <c r="V7" s="700" t="s">
        <v>20</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1683</v>
      </c>
      <c r="Q8" s="3668"/>
      <c r="R8" s="700" t="s">
        <v>20</v>
      </c>
      <c r="S8" s="701">
        <f t="shared" si="0"/>
        <v>100</v>
      </c>
      <c r="T8" s="700" t="s">
        <v>20</v>
      </c>
      <c r="U8" s="701">
        <f t="shared" si="1"/>
        <v>100</v>
      </c>
      <c r="V8" s="700" t="s">
        <v>20</v>
      </c>
      <c r="W8" s="701">
        <f t="shared" si="2"/>
        <v>100</v>
      </c>
      <c r="X8" s="702"/>
      <c r="Y8" s="3667" t="s">
        <v>1683</v>
      </c>
      <c r="Z8" s="366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3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5" t="s">
        <v>1691</v>
      </c>
      <c r="Q15" s="1351" t="str">
        <f t="shared" si="6"/>
        <v>居住社区成熟度</v>
      </c>
      <c r="R15" s="704" t="s">
        <v>18</v>
      </c>
      <c r="S15" s="705">
        <f t="shared" si="0"/>
        <v>100</v>
      </c>
      <c r="T15" s="704" t="s">
        <v>18</v>
      </c>
      <c r="U15" s="705">
        <f t="shared" si="1"/>
        <v>100</v>
      </c>
      <c r="V15" s="704" t="s">
        <v>18</v>
      </c>
      <c r="W15" s="705">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6"/>
      <c r="Q16" s="1351"/>
      <c r="R16" s="704"/>
      <c r="S16" s="705"/>
      <c r="T16" s="704"/>
      <c r="U16" s="705"/>
      <c r="V16" s="704"/>
      <c r="W16" s="705"/>
      <c r="X16" s="1354"/>
      <c r="Y16" s="3698"/>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6"/>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6"/>
      <c r="Q18" s="1351"/>
      <c r="R18" s="704"/>
      <c r="S18" s="705"/>
      <c r="T18" s="704"/>
      <c r="U18" s="705"/>
      <c r="V18" s="704"/>
      <c r="W18" s="705"/>
      <c r="X18" s="1354"/>
      <c r="Y18" s="3698"/>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6"/>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6"/>
      <c r="Q20" s="1351"/>
      <c r="R20" s="704"/>
      <c r="S20" s="705"/>
      <c r="T20" s="704"/>
      <c r="U20" s="705"/>
      <c r="V20" s="704"/>
      <c r="W20" s="705"/>
      <c r="X20" s="1354"/>
      <c r="Y20" s="3698"/>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6"/>
      <c r="Q22" s="1351"/>
      <c r="R22" s="704"/>
      <c r="S22" s="705"/>
      <c r="T22" s="704"/>
      <c r="U22" s="705"/>
      <c r="V22" s="704"/>
      <c r="W22" s="705"/>
      <c r="X22" s="1354"/>
      <c r="Y22" s="3698"/>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6"/>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6"/>
      <c r="Q24" s="1351"/>
      <c r="R24" s="704"/>
      <c r="S24" s="705"/>
      <c r="T24" s="704"/>
      <c r="U24" s="705"/>
      <c r="V24" s="704"/>
      <c r="W24" s="705"/>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6"/>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6"/>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6"/>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6"/>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6"/>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6"/>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9" t="s">
        <v>1696</v>
      </c>
      <c r="Q32" s="1351" t="str">
        <f t="shared" si="11"/>
        <v>建筑类型</v>
      </c>
      <c r="R32" s="704" t="s">
        <v>18</v>
      </c>
      <c r="S32" s="705">
        <f t="shared" si="12"/>
        <v>100</v>
      </c>
      <c r="T32" s="704" t="s">
        <v>18</v>
      </c>
      <c r="U32" s="705">
        <f t="shared" si="13"/>
        <v>100</v>
      </c>
      <c r="V32" s="704" t="s">
        <v>18</v>
      </c>
      <c r="W32" s="705">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0" t="s">
        <v>1696</v>
      </c>
      <c r="Q38" s="1351" t="str">
        <f t="shared" si="11"/>
        <v>物业管理</v>
      </c>
      <c r="R38" s="704" t="s">
        <v>18</v>
      </c>
      <c r="S38" s="705">
        <f t="shared" si="12"/>
        <v>100</v>
      </c>
      <c r="T38" s="704" t="s">
        <v>18</v>
      </c>
      <c r="U38" s="705">
        <f t="shared" si="13"/>
        <v>100</v>
      </c>
      <c r="V38" s="704" t="s">
        <v>18</v>
      </c>
      <c r="W38" s="705">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77.11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32" t="s">
        <v>1771</v>
      </c>
      <c r="S4" s="3733"/>
      <c r="T4" s="3732" t="s">
        <v>1772</v>
      </c>
      <c r="U4" s="3733"/>
      <c r="V4" s="3741" t="s">
        <v>1773</v>
      </c>
      <c r="W4" s="3741"/>
      <c r="X4" s="1957"/>
      <c r="Y4" s="3732" t="s">
        <v>1775</v>
      </c>
      <c r="Z4" s="3733"/>
      <c r="AA4" s="3731" t="s">
        <v>1771</v>
      </c>
      <c r="AB4" s="3731" t="s">
        <v>1772</v>
      </c>
      <c r="AC4" s="3734" t="s">
        <v>1773</v>
      </c>
    </row>
    <row r="5" spans="1:29" ht="15">
      <c r="A5" s="358"/>
      <c r="B5" s="359"/>
      <c r="C5" s="3675" t="s">
        <v>1673</v>
      </c>
      <c r="D5" s="3676"/>
      <c r="E5" s="3730" t="s">
        <v>1674</v>
      </c>
      <c r="F5" s="3674"/>
      <c r="G5" s="3675" t="s">
        <v>1675</v>
      </c>
      <c r="H5" s="3676"/>
      <c r="I5" s="3675" t="s">
        <v>1676</v>
      </c>
      <c r="J5" s="3676"/>
      <c r="K5" s="559"/>
      <c r="L5" s="2714"/>
      <c r="M5" s="2715"/>
      <c r="N5" s="2715"/>
      <c r="O5" s="2715"/>
      <c r="P5" s="3739"/>
      <c r="Q5" s="3689"/>
      <c r="R5" s="3671"/>
      <c r="S5" s="3672"/>
      <c r="T5" s="3671"/>
      <c r="U5" s="3672"/>
      <c r="V5" s="3666"/>
      <c r="W5" s="3666"/>
      <c r="X5" s="1354"/>
      <c r="Y5" s="3671"/>
      <c r="Z5" s="3672"/>
      <c r="AA5" s="3664"/>
      <c r="AB5" s="3664"/>
      <c r="AC5" s="373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740"/>
      <c r="Q6" s="3691"/>
      <c r="R6" s="3671"/>
      <c r="S6" s="3672"/>
      <c r="T6" s="3692"/>
      <c r="U6" s="3693"/>
      <c r="V6" s="3666"/>
      <c r="W6" s="3666"/>
      <c r="X6" s="1354"/>
      <c r="Y6" s="3692"/>
      <c r="Z6" s="3693"/>
      <c r="AA6" s="3665"/>
      <c r="AB6" s="3665"/>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2"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2" t="s">
        <v>1683</v>
      </c>
      <c r="Q8" s="3668"/>
      <c r="R8" s="700" t="s">
        <v>14</v>
      </c>
      <c r="S8" s="701">
        <f t="shared" si="0"/>
        <v>100</v>
      </c>
      <c r="T8" s="700" t="s">
        <v>14</v>
      </c>
      <c r="U8" s="701">
        <f t="shared" si="1"/>
        <v>100</v>
      </c>
      <c r="V8" s="700" t="s">
        <v>14</v>
      </c>
      <c r="W8" s="701">
        <f t="shared" si="2"/>
        <v>100</v>
      </c>
      <c r="X8" s="702"/>
      <c r="Y8" s="3667" t="s">
        <v>1683</v>
      </c>
      <c r="Z8" s="366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5" t="s">
        <v>1691</v>
      </c>
      <c r="Q15" s="1351" t="str">
        <f t="shared" si="6"/>
        <v>办公集聚程度</v>
      </c>
      <c r="R15" s="704" t="s">
        <v>14</v>
      </c>
      <c r="S15" s="705">
        <f t="shared" si="0"/>
        <v>100</v>
      </c>
      <c r="T15" s="704" t="s">
        <v>14</v>
      </c>
      <c r="U15" s="705">
        <f t="shared" si="1"/>
        <v>100</v>
      </c>
      <c r="V15" s="704" t="s">
        <v>14</v>
      </c>
      <c r="W15" s="705">
        <f t="shared" si="2"/>
        <v>100</v>
      </c>
      <c r="X15" s="1354"/>
      <c r="Y15" s="369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6"/>
      <c r="Q16" s="1351"/>
      <c r="R16" s="704"/>
      <c r="S16" s="705"/>
      <c r="T16" s="704"/>
      <c r="U16" s="705"/>
      <c r="V16" s="704"/>
      <c r="W16" s="705"/>
      <c r="X16" s="1354"/>
      <c r="Y16" s="3698"/>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6"/>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6"/>
      <c r="Q18" s="1351"/>
      <c r="R18" s="704"/>
      <c r="S18" s="705"/>
      <c r="T18" s="704"/>
      <c r="U18" s="705"/>
      <c r="V18" s="704"/>
      <c r="W18" s="705"/>
      <c r="X18" s="1354"/>
      <c r="Y18" s="3698"/>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6"/>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6"/>
      <c r="Q20" s="1351"/>
      <c r="R20" s="704"/>
      <c r="S20" s="705"/>
      <c r="T20" s="704"/>
      <c r="U20" s="705"/>
      <c r="V20" s="704"/>
      <c r="W20" s="705"/>
      <c r="X20" s="1354"/>
      <c r="Y20" s="3698"/>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6"/>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6"/>
      <c r="Q22" s="1351"/>
      <c r="R22" s="704"/>
      <c r="S22" s="705"/>
      <c r="T22" s="704"/>
      <c r="U22" s="705"/>
      <c r="V22" s="704"/>
      <c r="W22" s="705"/>
      <c r="X22" s="1354"/>
      <c r="Y22" s="3698"/>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6"/>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6"/>
      <c r="Q24" s="1351"/>
      <c r="R24" s="704"/>
      <c r="S24" s="705"/>
      <c r="T24" s="704"/>
      <c r="U24" s="705"/>
      <c r="V24" s="704"/>
      <c r="W24" s="705"/>
      <c r="X24" s="1354"/>
      <c r="Y24" s="369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6"/>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6"/>
      <c r="Q26" s="1351"/>
      <c r="R26" s="704"/>
      <c r="S26" s="705"/>
      <c r="T26" s="704"/>
      <c r="U26" s="705"/>
      <c r="V26" s="704"/>
      <c r="W26" s="705"/>
      <c r="X26" s="1354"/>
      <c r="Y26" s="369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6"/>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6"/>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6"/>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6"/>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6"/>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6"/>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9" t="s">
        <v>1696</v>
      </c>
      <c r="Q33" s="1351" t="str">
        <f t="shared" si="11"/>
        <v>建筑类型</v>
      </c>
      <c r="R33" s="704" t="s">
        <v>14</v>
      </c>
      <c r="S33" s="705">
        <f t="shared" si="12"/>
        <v>100</v>
      </c>
      <c r="T33" s="704" t="s">
        <v>14</v>
      </c>
      <c r="U33" s="705">
        <f t="shared" si="13"/>
        <v>100</v>
      </c>
      <c r="V33" s="704" t="s">
        <v>14</v>
      </c>
      <c r="W33" s="705">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1" t="str">
        <f t="shared" si="11"/>
        <v>物业管理</v>
      </c>
      <c r="R39" s="704" t="s">
        <v>14</v>
      </c>
      <c r="S39" s="705">
        <f t="shared" si="12"/>
        <v>100</v>
      </c>
      <c r="T39" s="704" t="s">
        <v>14</v>
      </c>
      <c r="U39" s="705">
        <f t="shared" si="13"/>
        <v>100</v>
      </c>
      <c r="V39" s="704" t="s">
        <v>14</v>
      </c>
      <c r="W39" s="705">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1"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77.11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912"/>
      <c r="M5" s="913"/>
      <c r="N5" s="913"/>
      <c r="O5" s="913"/>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912"/>
      <c r="M6" s="913"/>
      <c r="N6" s="913"/>
      <c r="O6" s="913"/>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7" t="s">
        <v>1683</v>
      </c>
      <c r="Q8" s="3668"/>
      <c r="R8" s="700" t="s">
        <v>14</v>
      </c>
      <c r="S8" s="701">
        <f t="shared" si="0"/>
        <v>100</v>
      </c>
      <c r="T8" s="700" t="s">
        <v>14</v>
      </c>
      <c r="U8" s="701">
        <f t="shared" si="1"/>
        <v>100</v>
      </c>
      <c r="V8" s="700" t="s">
        <v>14</v>
      </c>
      <c r="W8" s="701">
        <f t="shared" si="2"/>
        <v>100</v>
      </c>
      <c r="X8" s="702"/>
      <c r="Y8" s="3667" t="s">
        <v>1683</v>
      </c>
      <c r="Z8" s="366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8"/>
      <c r="Q16" s="1351"/>
      <c r="R16" s="704"/>
      <c r="S16" s="705"/>
      <c r="T16" s="704"/>
      <c r="U16" s="705"/>
      <c r="V16" s="704"/>
      <c r="W16" s="705"/>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8"/>
      <c r="Q18" s="1351"/>
      <c r="R18" s="704"/>
      <c r="S18" s="705"/>
      <c r="T18" s="704"/>
      <c r="U18" s="705"/>
      <c r="V18" s="704"/>
      <c r="W18" s="705"/>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8"/>
      <c r="Q20" s="1351"/>
      <c r="R20" s="704"/>
      <c r="S20" s="705"/>
      <c r="T20" s="704"/>
      <c r="U20" s="705"/>
      <c r="V20" s="704"/>
      <c r="W20" s="705"/>
      <c r="X20" s="1354"/>
      <c r="Y20" s="369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2" t="s">
        <v>1696</v>
      </c>
      <c r="Q35" s="1351" t="str">
        <f t="shared" si="11"/>
        <v>市政基础设施</v>
      </c>
      <c r="R35" s="704" t="s">
        <v>14</v>
      </c>
      <c r="S35" s="705">
        <f t="shared" si="12"/>
        <v>100</v>
      </c>
      <c r="T35" s="704" t="s">
        <v>14</v>
      </c>
      <c r="U35" s="705">
        <f t="shared" si="13"/>
        <v>100</v>
      </c>
      <c r="V35" s="704" t="s">
        <v>14</v>
      </c>
      <c r="W35" s="705">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估价对象为北京市房地产,属开发建设的，该项目尚在开发建设中。根据《国有土地使用证》[]，估价对象（分摊）出让国有建设用地使用权面积为0平方米，规划建筑面积为77.11平方米。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8"/>
      <c r="Q15" s="1351"/>
      <c r="R15" s="704"/>
      <c r="S15" s="705"/>
      <c r="T15" s="704"/>
      <c r="U15" s="705"/>
      <c r="V15" s="704"/>
      <c r="W15" s="705"/>
      <c r="X15" s="1354"/>
      <c r="Y15" s="3698"/>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8"/>
      <c r="Q17" s="1351"/>
      <c r="R17" s="704"/>
      <c r="S17" s="705"/>
      <c r="T17" s="704"/>
      <c r="U17" s="705"/>
      <c r="V17" s="704"/>
      <c r="W17" s="705"/>
      <c r="X17" s="1354"/>
      <c r="Y17" s="3698"/>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8"/>
      <c r="Q19" s="1351"/>
      <c r="R19" s="704"/>
      <c r="S19" s="705"/>
      <c r="T19" s="704"/>
      <c r="U19" s="705"/>
      <c r="V19" s="704"/>
      <c r="W19" s="705"/>
      <c r="X19" s="1354"/>
      <c r="Y19" s="3698"/>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8"/>
      <c r="Q21" s="1351"/>
      <c r="R21" s="704"/>
      <c r="S21" s="705"/>
      <c r="T21" s="704"/>
      <c r="U21" s="705"/>
      <c r="V21" s="704"/>
      <c r="W21" s="705"/>
      <c r="X21" s="1354"/>
      <c r="Y21" s="369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1" t="str">
        <f t="shared" si="11"/>
        <v>车位类型</v>
      </c>
      <c r="R32" s="704" t="s">
        <v>14</v>
      </c>
      <c r="S32" s="705">
        <f t="shared" si="12"/>
        <v>100</v>
      </c>
      <c r="T32" s="704" t="s">
        <v>14</v>
      </c>
      <c r="U32" s="705">
        <f t="shared" si="13"/>
        <v>100</v>
      </c>
      <c r="V32" s="704" t="s">
        <v>14</v>
      </c>
      <c r="W32" s="705">
        <f t="shared" si="14"/>
        <v>100</v>
      </c>
      <c r="X32" s="1354"/>
      <c r="Y32" s="370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1680</v>
      </c>
      <c r="Q7" s="3694"/>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1" t="str">
        <f t="shared" si="6"/>
        <v>交通便捷度</v>
      </c>
      <c r="R14" s="704" t="s">
        <v>14</v>
      </c>
      <c r="S14" s="705">
        <f t="shared" si="0"/>
        <v>100</v>
      </c>
      <c r="T14" s="704" t="s">
        <v>14</v>
      </c>
      <c r="U14" s="705">
        <f t="shared" si="1"/>
        <v>100</v>
      </c>
      <c r="V14" s="704" t="s">
        <v>14</v>
      </c>
      <c r="W14" s="705">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8"/>
      <c r="Q15" s="1351"/>
      <c r="R15" s="704"/>
      <c r="S15" s="705"/>
      <c r="T15" s="704"/>
      <c r="U15" s="705"/>
      <c r="V15" s="704"/>
      <c r="W15" s="705"/>
      <c r="X15" s="1354"/>
      <c r="Y15" s="3698"/>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8"/>
      <c r="Q17" s="1351"/>
      <c r="R17" s="704"/>
      <c r="S17" s="705"/>
      <c r="T17" s="704"/>
      <c r="U17" s="705"/>
      <c r="V17" s="704"/>
      <c r="W17" s="705"/>
      <c r="X17" s="1354"/>
      <c r="Y17" s="3698"/>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8"/>
      <c r="Q19" s="1351"/>
      <c r="R19" s="704"/>
      <c r="S19" s="705"/>
      <c r="T19" s="704"/>
      <c r="U19" s="705"/>
      <c r="V19" s="704"/>
      <c r="W19" s="705"/>
      <c r="X19" s="1354"/>
      <c r="Y19" s="3698"/>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8"/>
      <c r="Q21" s="1351"/>
      <c r="R21" s="704"/>
      <c r="S21" s="705"/>
      <c r="T21" s="704"/>
      <c r="U21" s="705"/>
      <c r="V21" s="704"/>
      <c r="W21" s="705"/>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1">
        <f t="shared" si="11"/>
        <v>111</v>
      </c>
      <c r="R32" s="704" t="s">
        <v>14</v>
      </c>
      <c r="S32" s="705">
        <f t="shared" si="12"/>
        <v>100</v>
      </c>
      <c r="T32" s="704" t="s">
        <v>14</v>
      </c>
      <c r="U32" s="705">
        <f t="shared" si="13"/>
        <v>100</v>
      </c>
      <c r="V32" s="704" t="s">
        <v>14</v>
      </c>
      <c r="W32" s="705">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30"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30"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4"/>
      <c r="Y6" s="3692"/>
      <c r="Z6" s="3693"/>
      <c r="AA6" s="3665"/>
      <c r="AB6" s="3665"/>
      <c r="AC6" s="3665"/>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8"/>
      <c r="M10" s="2719"/>
      <c r="N10" s="2719"/>
      <c r="O10" s="2772"/>
      <c r="P10" s="3704"/>
      <c r="Q10" s="1342" t="str">
        <f t="shared" si="6"/>
        <v>土地使用年限（年）</v>
      </c>
      <c r="R10" s="700" t="s">
        <v>14</v>
      </c>
      <c r="S10" s="701">
        <f t="shared" si="0"/>
        <v>144</v>
      </c>
      <c r="T10" s="700" t="s">
        <v>14</v>
      </c>
      <c r="U10" s="701">
        <f t="shared" si="1"/>
        <v>144</v>
      </c>
      <c r="V10" s="700" t="s">
        <v>14</v>
      </c>
      <c r="W10" s="701">
        <f t="shared" si="2"/>
        <v>144</v>
      </c>
      <c r="X10" s="702"/>
      <c r="Y10" s="3631"/>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63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7" t="s">
        <v>1691</v>
      </c>
      <c r="Q15" s="1351" t="str">
        <f t="shared" si="6"/>
        <v>居住社区成熟度</v>
      </c>
      <c r="R15" s="704" t="s">
        <v>14</v>
      </c>
      <c r="S15" s="705">
        <f t="shared" si="0"/>
        <v>100</v>
      </c>
      <c r="T15" s="704" t="s">
        <v>14</v>
      </c>
      <c r="U15" s="705">
        <f t="shared" si="1"/>
        <v>100</v>
      </c>
      <c r="V15" s="704" t="s">
        <v>14</v>
      </c>
      <c r="W15" s="705">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8"/>
      <c r="Q20" s="1351"/>
      <c r="R20" s="704"/>
      <c r="S20" s="705"/>
      <c r="T20" s="704"/>
      <c r="U20" s="705"/>
      <c r="V20" s="704"/>
      <c r="W20" s="705"/>
      <c r="X20" s="1354"/>
      <c r="Y20" s="3698"/>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8"/>
      <c r="Q24" s="1351"/>
      <c r="R24" s="704"/>
      <c r="S24" s="705"/>
      <c r="T24" s="704"/>
      <c r="U24" s="705"/>
      <c r="V24" s="704"/>
      <c r="W24" s="705"/>
      <c r="X24" s="1354"/>
      <c r="Y24" s="3698"/>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8"/>
      <c r="Q26" s="1351"/>
      <c r="R26" s="704"/>
      <c r="S26" s="705"/>
      <c r="T26" s="704"/>
      <c r="U26" s="705"/>
      <c r="V26" s="704"/>
      <c r="W26" s="705"/>
      <c r="X26" s="1354"/>
      <c r="Y26" s="3698"/>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8"/>
      <c r="Q28" s="1342"/>
      <c r="R28" s="700"/>
      <c r="S28" s="701"/>
      <c r="T28" s="700"/>
      <c r="U28" s="701"/>
      <c r="V28" s="700"/>
      <c r="W28" s="701"/>
      <c r="X28" s="702"/>
      <c r="Y28" s="3698"/>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8"/>
      <c r="Q30" s="1342"/>
      <c r="R30" s="700"/>
      <c r="S30" s="701"/>
      <c r="T30" s="700"/>
      <c r="U30" s="701"/>
      <c r="V30" s="700"/>
      <c r="W30" s="701"/>
      <c r="X30" s="702"/>
      <c r="Y30" s="369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8"/>
      <c r="Q33" s="1351"/>
      <c r="R33" s="704"/>
      <c r="S33" s="705"/>
      <c r="T33" s="704"/>
      <c r="U33" s="705"/>
      <c r="V33" s="704"/>
      <c r="W33" s="705"/>
      <c r="X33" s="1354"/>
      <c r="Y33" s="369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70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2" t="s">
        <v>1696</v>
      </c>
      <c r="Q42" s="1351" t="str">
        <f t="shared" si="14"/>
        <v>工程地质条件</v>
      </c>
      <c r="R42" s="704" t="s">
        <v>14</v>
      </c>
      <c r="S42" s="705">
        <f t="shared" si="10"/>
        <v>100</v>
      </c>
      <c r="T42" s="704" t="s">
        <v>14</v>
      </c>
      <c r="U42" s="705">
        <f t="shared" si="11"/>
        <v>100</v>
      </c>
      <c r="V42" s="704" t="s">
        <v>14</v>
      </c>
      <c r="W42" s="705">
        <f t="shared" si="12"/>
        <v>100</v>
      </c>
      <c r="X42" s="1354"/>
      <c r="Y42" s="370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4" t="str">
        <f>A46</f>
        <v>成交单价</v>
      </c>
      <c r="Q46" s="3704"/>
      <c r="R46" s="3666">
        <f>E46</f>
        <v>0</v>
      </c>
      <c r="S46" s="3666"/>
      <c r="T46" s="3666">
        <f>G46</f>
        <v>0</v>
      </c>
      <c r="U46" s="3666"/>
      <c r="V46" s="3666">
        <f>I46</f>
        <v>0</v>
      </c>
      <c r="W46" s="366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6" t="str">
        <f>A48</f>
        <v>估价对象XX用房的比较价值（楼面单价，元/平方米）</v>
      </c>
      <c r="Q48" s="3707"/>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77.11</v>
      </c>
      <c r="F56" s="885" t="e">
        <f t="shared" ref="F56:F64" si="15">ROUND(B56*E56/10000,0)</f>
        <v>#DIV/0!</v>
      </c>
      <c r="G56" s="3681"/>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77.11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4"/>
      <c r="Y4" s="3669" t="s">
        <v>1775</v>
      </c>
      <c r="Z4" s="3670"/>
      <c r="AA4" s="3663" t="s">
        <v>1771</v>
      </c>
      <c r="AB4" s="3664" t="s">
        <v>1772</v>
      </c>
      <c r="AC4" s="3663" t="s">
        <v>1773</v>
      </c>
    </row>
    <row r="5" spans="1:29" ht="15">
      <c r="A5" s="358"/>
      <c r="B5" s="359"/>
      <c r="C5" s="3675" t="s">
        <v>1673</v>
      </c>
      <c r="D5" s="3676"/>
      <c r="E5" s="3730" t="s">
        <v>1674</v>
      </c>
      <c r="F5" s="3674"/>
      <c r="G5" s="3675" t="s">
        <v>1675</v>
      </c>
      <c r="H5" s="3676"/>
      <c r="I5" s="3675" t="s">
        <v>1676</v>
      </c>
      <c r="J5" s="3676"/>
      <c r="K5" s="559"/>
      <c r="L5" s="2714"/>
      <c r="M5" s="2715"/>
      <c r="N5" s="2715"/>
      <c r="O5" s="2715"/>
      <c r="P5" s="3688"/>
      <c r="Q5" s="3689"/>
      <c r="R5" s="3671"/>
      <c r="S5" s="3672"/>
      <c r="T5" s="3671"/>
      <c r="U5" s="3672"/>
      <c r="V5" s="3666"/>
      <c r="W5" s="3666"/>
      <c r="X5" s="1354"/>
      <c r="Y5" s="3671"/>
      <c r="Z5" s="3672"/>
      <c r="AA5" s="3664"/>
      <c r="AB5" s="3664"/>
      <c r="AC5" s="3664"/>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71"/>
      <c r="S6" s="3672"/>
      <c r="T6" s="3692"/>
      <c r="U6" s="3693"/>
      <c r="V6" s="3666"/>
      <c r="W6" s="3666"/>
      <c r="X6" s="1354"/>
      <c r="Y6" s="3692"/>
      <c r="Z6" s="3693"/>
      <c r="AA6" s="3665"/>
      <c r="AB6" s="3665"/>
      <c r="AC6" s="3665"/>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1680</v>
      </c>
      <c r="Q7" s="3694"/>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8"/>
      <c r="M10" s="2719"/>
      <c r="N10" s="2719"/>
      <c r="O10" s="2772"/>
      <c r="P10" s="3704"/>
      <c r="Q10" s="1342" t="str">
        <f t="shared" si="6"/>
        <v>土地使用年限（年）</v>
      </c>
      <c r="R10" s="700" t="s">
        <v>14</v>
      </c>
      <c r="S10" s="701">
        <f t="shared" si="0"/>
        <v>144</v>
      </c>
      <c r="T10" s="700" t="s">
        <v>14</v>
      </c>
      <c r="U10" s="701">
        <f t="shared" si="1"/>
        <v>144</v>
      </c>
      <c r="V10" s="700" t="s">
        <v>14</v>
      </c>
      <c r="W10" s="701">
        <f t="shared" si="2"/>
        <v>144</v>
      </c>
      <c r="X10" s="702"/>
      <c r="Y10" s="3631"/>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97" t="s">
        <v>1691</v>
      </c>
      <c r="Q15" s="1351" t="str">
        <f t="shared" si="6"/>
        <v>产业集聚程度</v>
      </c>
      <c r="R15" s="704" t="s">
        <v>14</v>
      </c>
      <c r="S15" s="705">
        <f t="shared" si="0"/>
        <v>100</v>
      </c>
      <c r="T15" s="704" t="s">
        <v>14</v>
      </c>
      <c r="U15" s="705">
        <f t="shared" si="1"/>
        <v>100</v>
      </c>
      <c r="V15" s="704" t="s">
        <v>14</v>
      </c>
      <c r="W15" s="705">
        <f t="shared" si="2"/>
        <v>100</v>
      </c>
      <c r="X15" s="1354"/>
      <c r="Y15" s="369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8"/>
      <c r="Q16" s="1351"/>
      <c r="R16" s="704"/>
      <c r="S16" s="705"/>
      <c r="T16" s="704"/>
      <c r="U16" s="705"/>
      <c r="V16" s="704"/>
      <c r="W16" s="705"/>
      <c r="X16" s="1354"/>
      <c r="Y16" s="369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8"/>
      <c r="Q18" s="1351"/>
      <c r="R18" s="704"/>
      <c r="S18" s="705"/>
      <c r="T18" s="704"/>
      <c r="U18" s="705"/>
      <c r="V18" s="704"/>
      <c r="W18" s="705"/>
      <c r="X18" s="1354"/>
      <c r="Y18" s="369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8"/>
      <c r="Q20" s="1351"/>
      <c r="R20" s="704"/>
      <c r="S20" s="705"/>
      <c r="T20" s="704"/>
      <c r="U20" s="705"/>
      <c r="V20" s="704"/>
      <c r="W20" s="705"/>
      <c r="X20" s="1354"/>
      <c r="Y20" s="369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8"/>
      <c r="Q22" s="1351"/>
      <c r="R22" s="704"/>
      <c r="S22" s="705"/>
      <c r="T22" s="704"/>
      <c r="U22" s="705"/>
      <c r="V22" s="704"/>
      <c r="W22" s="705"/>
      <c r="X22" s="1354"/>
      <c r="Y22" s="369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8"/>
      <c r="Q24" s="1342"/>
      <c r="R24" s="700"/>
      <c r="S24" s="701"/>
      <c r="T24" s="700"/>
      <c r="U24" s="701"/>
      <c r="V24" s="700"/>
      <c r="W24" s="701"/>
      <c r="X24" s="702"/>
      <c r="Y24" s="369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8"/>
      <c r="Q26" s="1342"/>
      <c r="R26" s="700"/>
      <c r="S26" s="701"/>
      <c r="T26" s="700"/>
      <c r="U26" s="701"/>
      <c r="V26" s="700"/>
      <c r="W26" s="701"/>
      <c r="X26" s="702"/>
      <c r="Y26" s="369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8"/>
      <c r="Q29" s="1351"/>
      <c r="R29" s="704"/>
      <c r="S29" s="705"/>
      <c r="T29" s="704"/>
      <c r="U29" s="705"/>
      <c r="V29" s="704"/>
      <c r="W29" s="705"/>
      <c r="X29" s="1354"/>
      <c r="Y29" s="369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70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2" t="s">
        <v>1696</v>
      </c>
      <c r="Q37" s="1351" t="str">
        <f t="shared" si="14"/>
        <v>工程地质条件</v>
      </c>
      <c r="R37" s="704" t="s">
        <v>14</v>
      </c>
      <c r="S37" s="705">
        <f t="shared" si="10"/>
        <v>100</v>
      </c>
      <c r="T37" s="704" t="s">
        <v>14</v>
      </c>
      <c r="U37" s="705">
        <f t="shared" si="11"/>
        <v>100</v>
      </c>
      <c r="V37" s="704" t="s">
        <v>14</v>
      </c>
      <c r="W37" s="705">
        <f t="shared" si="12"/>
        <v>100</v>
      </c>
      <c r="X37" s="1354"/>
      <c r="Y37" s="370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4" t="str">
        <f>A41</f>
        <v>成交单价</v>
      </c>
      <c r="Q41" s="3704"/>
      <c r="R41" s="3666">
        <f>E41</f>
        <v>0</v>
      </c>
      <c r="S41" s="3666"/>
      <c r="T41" s="3666">
        <f>G41</f>
        <v>0</v>
      </c>
      <c r="U41" s="3666"/>
      <c r="V41" s="3666">
        <f>I41</f>
        <v>0</v>
      </c>
      <c r="W41" s="366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04" t="str">
        <f>A42</f>
        <v>比较价值（元/平方米）</v>
      </c>
      <c r="Q42" s="3704"/>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6" t="str">
        <f>A43</f>
        <v>估价对象XX用房的比较价值（楼面单价，元/平方米）</v>
      </c>
      <c r="Q43" s="3707"/>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77.11</v>
      </c>
      <c r="F51" s="638" t="e">
        <f t="shared" ref="F51:F60" si="15">ROUND(B51*E51/10000,0)</f>
        <v>#DIV/0!</v>
      </c>
      <c r="G51" s="3681"/>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7" t="s">
        <v>2603</v>
      </c>
      <c r="B20" s="3780" t="s">
        <v>2624</v>
      </c>
      <c r="C20" s="3102" t="s">
        <v>2435</v>
      </c>
      <c r="D20" s="3103"/>
      <c r="E20" s="3104">
        <v>1</v>
      </c>
      <c r="F20" s="3105" t="s">
        <v>2436</v>
      </c>
      <c r="G20" s="3105"/>
    </row>
    <row r="21" spans="1:13" ht="19.5" customHeight="1">
      <c r="A21" s="3788"/>
      <c r="B21" s="3781"/>
      <c r="C21" s="3106" t="s">
        <v>2437</v>
      </c>
      <c r="D21" s="3107"/>
      <c r="E21" s="3108">
        <v>1</v>
      </c>
      <c r="F21" s="3105" t="s">
        <v>2438</v>
      </c>
      <c r="G21" s="3105"/>
    </row>
    <row r="22" spans="1:13" ht="19.5" customHeight="1">
      <c r="A22" s="3788"/>
      <c r="B22" s="3781"/>
      <c r="C22" s="3106" t="s">
        <v>2439</v>
      </c>
      <c r="D22" s="3107"/>
      <c r="E22" s="3108">
        <v>0.9</v>
      </c>
      <c r="F22" s="3105" t="s">
        <v>2440</v>
      </c>
      <c r="G22" s="3105"/>
    </row>
    <row r="23" spans="1:13" ht="19.5" customHeight="1">
      <c r="A23" s="3788"/>
      <c r="B23" s="3781"/>
      <c r="C23" s="3106" t="s">
        <v>2441</v>
      </c>
      <c r="D23" s="3107"/>
      <c r="E23" s="3108">
        <v>0.9</v>
      </c>
      <c r="F23" s="3105" t="s">
        <v>2442</v>
      </c>
      <c r="G23" s="3105"/>
    </row>
    <row r="24" spans="1:13" ht="19.5" customHeight="1">
      <c r="A24" s="3788"/>
      <c r="B24" s="3781"/>
      <c r="C24" s="3106" t="s">
        <v>2443</v>
      </c>
      <c r="D24" s="3107"/>
      <c r="E24" s="3108">
        <v>0.8</v>
      </c>
      <c r="F24" s="3105" t="s">
        <v>2444</v>
      </c>
      <c r="G24" s="3105"/>
    </row>
    <row r="25" spans="1:13" ht="19.5" customHeight="1" thickBot="1">
      <c r="A25" s="3789"/>
      <c r="B25" s="3782"/>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3" t="s">
        <v>2627</v>
      </c>
      <c r="B27" s="3780" t="s">
        <v>2608</v>
      </c>
      <c r="C27" s="3102" t="s">
        <v>2448</v>
      </c>
      <c r="D27" s="3103"/>
      <c r="E27" s="3104">
        <v>1</v>
      </c>
      <c r="F27" s="3105" t="s">
        <v>2449</v>
      </c>
      <c r="G27" s="3105"/>
    </row>
    <row r="28" spans="1:13" ht="19.5" customHeight="1">
      <c r="A28" s="3784"/>
      <c r="B28" s="3781"/>
      <c r="C28" s="3106" t="s">
        <v>2450</v>
      </c>
      <c r="D28" s="3107"/>
      <c r="E28" s="3108">
        <v>1</v>
      </c>
      <c r="F28" s="3105" t="s">
        <v>2451</v>
      </c>
      <c r="G28" s="3105"/>
    </row>
    <row r="29" spans="1:13" ht="19.5" customHeight="1">
      <c r="A29" s="3784"/>
      <c r="B29" s="3781"/>
      <c r="C29" s="3106" t="s">
        <v>2452</v>
      </c>
      <c r="D29" s="3107"/>
      <c r="E29" s="3108">
        <v>0.8</v>
      </c>
      <c r="F29" s="3105" t="s">
        <v>2453</v>
      </c>
      <c r="G29" s="3105"/>
    </row>
    <row r="30" spans="1:13" ht="19.5" customHeight="1">
      <c r="A30" s="3784"/>
      <c r="B30" s="3781"/>
      <c r="C30" s="3106" t="s">
        <v>2454</v>
      </c>
      <c r="D30" s="3107"/>
      <c r="E30" s="3108">
        <v>0.8</v>
      </c>
      <c r="F30" s="3105" t="s">
        <v>2455</v>
      </c>
      <c r="G30" s="3105"/>
    </row>
    <row r="31" spans="1:13" ht="19.5" customHeight="1">
      <c r="A31" s="3784"/>
      <c r="B31" s="3781"/>
      <c r="C31" s="3106" t="s">
        <v>2456</v>
      </c>
      <c r="D31" s="3107"/>
      <c r="E31" s="3108">
        <v>0.8</v>
      </c>
      <c r="F31" s="3105" t="s">
        <v>2457</v>
      </c>
      <c r="G31" s="3105"/>
    </row>
    <row r="32" spans="1:13" ht="19.5" customHeight="1">
      <c r="A32" s="3784"/>
      <c r="B32" s="3781"/>
      <c r="C32" s="3106" t="s">
        <v>2458</v>
      </c>
      <c r="D32" s="3107"/>
      <c r="E32" s="3108">
        <v>0.7</v>
      </c>
      <c r="F32" s="3105" t="s">
        <v>2459</v>
      </c>
      <c r="G32" s="3105"/>
    </row>
    <row r="33" spans="1:7" ht="19.5" customHeight="1">
      <c r="A33" s="3784"/>
      <c r="B33" s="3781"/>
      <c r="C33" s="3106" t="s">
        <v>2460</v>
      </c>
      <c r="D33" s="3107"/>
      <c r="E33" s="3108">
        <v>0.8</v>
      </c>
      <c r="F33" s="3105" t="s">
        <v>2461</v>
      </c>
      <c r="G33" s="3105"/>
    </row>
    <row r="34" spans="1:7" ht="19.5" customHeight="1">
      <c r="A34" s="3784"/>
      <c r="B34" s="3781"/>
      <c r="C34" s="3106" t="s">
        <v>2462</v>
      </c>
      <c r="D34" s="3107"/>
      <c r="E34" s="3108">
        <v>0.6</v>
      </c>
      <c r="F34" s="3105" t="s">
        <v>2463</v>
      </c>
      <c r="G34" s="3105"/>
    </row>
    <row r="35" spans="1:7" ht="19.5" customHeight="1">
      <c r="A35" s="3784"/>
      <c r="B35" s="3781"/>
      <c r="C35" s="3106" t="s">
        <v>2464</v>
      </c>
      <c r="D35" s="3107"/>
      <c r="E35" s="3108">
        <v>0.2</v>
      </c>
      <c r="F35" s="3105" t="s">
        <v>2465</v>
      </c>
      <c r="G35" s="3105"/>
    </row>
    <row r="36" spans="1:7" ht="19.5" customHeight="1">
      <c r="A36" s="3784"/>
      <c r="B36" s="3781"/>
      <c r="C36" s="3106" t="s">
        <v>2466</v>
      </c>
      <c r="D36" s="3107"/>
      <c r="E36" s="3108">
        <v>0.2</v>
      </c>
      <c r="F36" s="3105" t="s">
        <v>2467</v>
      </c>
      <c r="G36" s="3105"/>
    </row>
    <row r="37" spans="1:7" ht="19.5" customHeight="1">
      <c r="A37" s="3784"/>
      <c r="B37" s="3786" t="s">
        <v>2628</v>
      </c>
      <c r="C37" s="3106" t="s">
        <v>2468</v>
      </c>
      <c r="D37" s="3107"/>
      <c r="E37" s="3108">
        <v>0.6</v>
      </c>
      <c r="F37" s="3105" t="s">
        <v>2469</v>
      </c>
      <c r="G37" s="3105"/>
    </row>
    <row r="38" spans="1:7" ht="19.5" customHeight="1">
      <c r="A38" s="3784"/>
      <c r="B38" s="3781"/>
      <c r="C38" s="3106" t="s">
        <v>2470</v>
      </c>
      <c r="D38" s="3107"/>
      <c r="E38" s="3108">
        <v>0.6</v>
      </c>
      <c r="F38" s="3105" t="s">
        <v>2471</v>
      </c>
      <c r="G38" s="3105"/>
    </row>
    <row r="39" spans="1:7" ht="19.5" customHeight="1" thickBot="1">
      <c r="A39" s="3785"/>
      <c r="B39" s="3782"/>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7" t="s">
        <v>2606</v>
      </c>
      <c r="B41" s="3780" t="s">
        <v>2630</v>
      </c>
      <c r="C41" s="3102" t="s">
        <v>2475</v>
      </c>
      <c r="D41" s="3103"/>
      <c r="E41" s="3104">
        <v>1</v>
      </c>
      <c r="F41" s="3105" t="s">
        <v>2476</v>
      </c>
      <c r="G41" s="3105"/>
    </row>
    <row r="42" spans="1:7" ht="19.5" customHeight="1">
      <c r="A42" s="3788"/>
      <c r="B42" s="3781"/>
      <c r="C42" s="3106" t="s">
        <v>2477</v>
      </c>
      <c r="D42" s="3107"/>
      <c r="E42" s="3108">
        <v>1</v>
      </c>
      <c r="F42" s="3105" t="s">
        <v>2478</v>
      </c>
      <c r="G42" s="3105"/>
    </row>
    <row r="43" spans="1:7" ht="19.5" customHeight="1">
      <c r="A43" s="3788"/>
      <c r="B43" s="3790"/>
      <c r="C43" s="3106" t="s">
        <v>2479</v>
      </c>
      <c r="D43" s="3107"/>
      <c r="E43" s="3108">
        <v>1.5</v>
      </c>
      <c r="F43" s="3105" t="s">
        <v>2480</v>
      </c>
      <c r="G43" s="3105"/>
    </row>
    <row r="44" spans="1:7" ht="19.5" customHeight="1">
      <c r="A44" s="3788"/>
      <c r="B44" s="3117" t="s">
        <v>2631</v>
      </c>
      <c r="C44" s="3106" t="s">
        <v>2632</v>
      </c>
      <c r="D44" s="3107"/>
      <c r="E44" s="3108">
        <v>2</v>
      </c>
      <c r="F44" s="3105" t="s">
        <v>2481</v>
      </c>
      <c r="G44" s="3105"/>
    </row>
    <row r="45" spans="1:7" ht="19.5" customHeight="1">
      <c r="A45" s="3788"/>
      <c r="B45" s="3786" t="s">
        <v>2633</v>
      </c>
      <c r="C45" s="3106" t="s">
        <v>2482</v>
      </c>
      <c r="D45" s="3107"/>
      <c r="E45" s="3108">
        <v>1</v>
      </c>
      <c r="F45" s="3105" t="s">
        <v>2483</v>
      </c>
      <c r="G45" s="3105"/>
    </row>
    <row r="46" spans="1:7" ht="19.5" customHeight="1">
      <c r="A46" s="3788"/>
      <c r="B46" s="3781"/>
      <c r="C46" s="3106" t="s">
        <v>2484</v>
      </c>
      <c r="D46" s="3107"/>
      <c r="E46" s="3108">
        <v>1</v>
      </c>
      <c r="F46" s="3105" t="s">
        <v>2485</v>
      </c>
      <c r="G46" s="3105"/>
    </row>
    <row r="47" spans="1:7" ht="19.5" customHeight="1">
      <c r="A47" s="3788"/>
      <c r="B47" s="3781"/>
      <c r="C47" s="3106" t="s">
        <v>2486</v>
      </c>
      <c r="D47" s="3107"/>
      <c r="E47" s="3108">
        <v>1</v>
      </c>
      <c r="F47" s="3105" t="s">
        <v>2487</v>
      </c>
      <c r="G47" s="3105"/>
    </row>
    <row r="48" spans="1:7" ht="19.5" customHeight="1">
      <c r="A48" s="3788"/>
      <c r="B48" s="3781"/>
      <c r="C48" s="3106" t="s">
        <v>2488</v>
      </c>
      <c r="D48" s="3107"/>
      <c r="E48" s="3108">
        <v>1</v>
      </c>
      <c r="F48" s="3105" t="s">
        <v>2489</v>
      </c>
      <c r="G48" s="3105"/>
    </row>
    <row r="49" spans="1:7" ht="19.5" customHeight="1">
      <c r="A49" s="3788"/>
      <c r="B49" s="3781"/>
      <c r="C49" s="3106" t="s">
        <v>2490</v>
      </c>
      <c r="D49" s="3107"/>
      <c r="E49" s="3108">
        <v>1</v>
      </c>
      <c r="F49" s="3105" t="s">
        <v>2491</v>
      </c>
      <c r="G49" s="3105"/>
    </row>
    <row r="50" spans="1:7" ht="19.5" customHeight="1">
      <c r="A50" s="3788"/>
      <c r="B50" s="3781"/>
      <c r="C50" s="3106" t="s">
        <v>2492</v>
      </c>
      <c r="D50" s="3107"/>
      <c r="E50" s="3108">
        <v>1</v>
      </c>
      <c r="F50" s="3105" t="s">
        <v>2493</v>
      </c>
      <c r="G50" s="3105"/>
    </row>
    <row r="51" spans="1:7" ht="19.5" customHeight="1" thickBot="1">
      <c r="A51" s="3789"/>
      <c r="B51" s="3782"/>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6" t="s">
        <v>2647</v>
      </c>
      <c r="C73" s="3091" t="s">
        <v>2648</v>
      </c>
      <c r="D73" s="3091" t="s">
        <v>2649</v>
      </c>
      <c r="E73" s="3117">
        <v>0.2</v>
      </c>
      <c r="F73" s="3117">
        <v>25</v>
      </c>
    </row>
    <row r="74" spans="1:7" ht="24">
      <c r="A74" s="3117">
        <v>2</v>
      </c>
      <c r="B74" s="3781"/>
      <c r="C74" s="3091" t="s">
        <v>2650</v>
      </c>
      <c r="D74" s="3091" t="s">
        <v>2651</v>
      </c>
      <c r="E74" s="3117">
        <v>0.2</v>
      </c>
      <c r="F74" s="3117">
        <v>25</v>
      </c>
    </row>
    <row r="75" spans="1:7" ht="24">
      <c r="A75" s="3117">
        <v>3</v>
      </c>
      <c r="B75" s="3781"/>
      <c r="C75" s="3091" t="s">
        <v>2652</v>
      </c>
      <c r="D75" s="3091" t="s">
        <v>2653</v>
      </c>
      <c r="E75" s="3117">
        <v>0.2</v>
      </c>
      <c r="F75" s="3117">
        <v>25</v>
      </c>
    </row>
    <row r="76" spans="1:7" ht="13.5">
      <c r="A76" s="3117">
        <v>4</v>
      </c>
      <c r="B76" s="3781"/>
      <c r="C76" s="3091" t="s">
        <v>2654</v>
      </c>
      <c r="D76" s="3091" t="s">
        <v>2655</v>
      </c>
      <c r="E76" s="3117">
        <v>0.15</v>
      </c>
      <c r="F76" s="3117">
        <v>20</v>
      </c>
    </row>
    <row r="77" spans="1:7" ht="24">
      <c r="A77" s="3117">
        <v>5</v>
      </c>
      <c r="B77" s="3781"/>
      <c r="C77" s="3091" t="s">
        <v>2656</v>
      </c>
      <c r="D77" s="3091" t="s">
        <v>2657</v>
      </c>
      <c r="E77" s="3117">
        <v>0.15</v>
      </c>
      <c r="F77" s="3117">
        <v>20</v>
      </c>
    </row>
    <row r="78" spans="1:7" ht="24">
      <c r="A78" s="3117">
        <v>6</v>
      </c>
      <c r="B78" s="3781"/>
      <c r="C78" s="3091" t="s">
        <v>2658</v>
      </c>
      <c r="D78" s="3091" t="s">
        <v>2659</v>
      </c>
      <c r="E78" s="3117">
        <v>0.15</v>
      </c>
      <c r="F78" s="3117">
        <v>20</v>
      </c>
    </row>
    <row r="79" spans="1:7" ht="24">
      <c r="A79" s="3117">
        <v>7</v>
      </c>
      <c r="B79" s="3781"/>
      <c r="C79" s="3091" t="s">
        <v>2660</v>
      </c>
      <c r="D79" s="3091" t="s">
        <v>2661</v>
      </c>
      <c r="E79" s="3117">
        <v>0.15</v>
      </c>
      <c r="F79" s="3117">
        <v>20</v>
      </c>
    </row>
    <row r="80" spans="1:7" ht="24">
      <c r="A80" s="3117">
        <v>8</v>
      </c>
      <c r="B80" s="3781"/>
      <c r="C80" s="3091" t="s">
        <v>2662</v>
      </c>
      <c r="D80" s="3091" t="s">
        <v>2663</v>
      </c>
      <c r="E80" s="3117">
        <v>0.1</v>
      </c>
      <c r="F80" s="3117">
        <v>15</v>
      </c>
    </row>
    <row r="81" spans="1:6" ht="24">
      <c r="A81" s="3117">
        <v>9</v>
      </c>
      <c r="B81" s="3781"/>
      <c r="C81" s="3091" t="s">
        <v>2664</v>
      </c>
      <c r="D81" s="3091" t="s">
        <v>2665</v>
      </c>
      <c r="E81" s="3117">
        <v>0.1</v>
      </c>
      <c r="F81" s="3117">
        <v>15</v>
      </c>
    </row>
    <row r="82" spans="1:6" ht="24">
      <c r="A82" s="3117">
        <v>10</v>
      </c>
      <c r="B82" s="3781"/>
      <c r="C82" s="3091" t="s">
        <v>2666</v>
      </c>
      <c r="D82" s="3091" t="s">
        <v>2667</v>
      </c>
      <c r="E82" s="3117">
        <v>0.1</v>
      </c>
      <c r="F82" s="3117">
        <v>15</v>
      </c>
    </row>
    <row r="83" spans="1:6" ht="24">
      <c r="A83" s="3117">
        <v>11</v>
      </c>
      <c r="B83" s="3781"/>
      <c r="C83" s="3091" t="s">
        <v>2668</v>
      </c>
      <c r="D83" s="3091" t="s">
        <v>2669</v>
      </c>
      <c r="E83" s="3117">
        <v>0.1</v>
      </c>
      <c r="F83" s="3117">
        <v>15</v>
      </c>
    </row>
    <row r="84" spans="1:6" ht="24">
      <c r="A84" s="3117">
        <v>12</v>
      </c>
      <c r="B84" s="3781"/>
      <c r="C84" s="3091" t="s">
        <v>2670</v>
      </c>
      <c r="D84" s="3091" t="s">
        <v>2671</v>
      </c>
      <c r="E84" s="3117">
        <v>0.1</v>
      </c>
      <c r="F84" s="3117">
        <v>15</v>
      </c>
    </row>
    <row r="85" spans="1:6" ht="13.5">
      <c r="A85" s="3117">
        <v>13</v>
      </c>
      <c r="B85" s="3781"/>
      <c r="C85" s="3091" t="s">
        <v>2672</v>
      </c>
      <c r="D85" s="3091" t="s">
        <v>2673</v>
      </c>
      <c r="E85" s="3117">
        <v>0.1</v>
      </c>
      <c r="F85" s="3117">
        <v>15</v>
      </c>
    </row>
    <row r="86" spans="1:6" ht="13.5">
      <c r="A86" s="3117">
        <v>14</v>
      </c>
      <c r="B86" s="3781"/>
      <c r="C86" s="3091" t="s">
        <v>2674</v>
      </c>
      <c r="D86" s="3091" t="s">
        <v>2675</v>
      </c>
      <c r="E86" s="3117">
        <v>0.1</v>
      </c>
      <c r="F86" s="3117">
        <v>15</v>
      </c>
    </row>
    <row r="87" spans="1:6" ht="13.5">
      <c r="A87" s="3117">
        <v>15</v>
      </c>
      <c r="B87" s="3781"/>
      <c r="C87" s="3091" t="s">
        <v>2676</v>
      </c>
      <c r="D87" s="3091" t="s">
        <v>2677</v>
      </c>
      <c r="E87" s="3117">
        <v>0.1</v>
      </c>
      <c r="F87" s="3117">
        <v>15</v>
      </c>
    </row>
    <row r="88" spans="1:6" ht="24">
      <c r="A88" s="3117">
        <v>16</v>
      </c>
      <c r="B88" s="3781"/>
      <c r="C88" s="3091" t="s">
        <v>2678</v>
      </c>
      <c r="D88" s="3091" t="s">
        <v>2679</v>
      </c>
      <c r="E88" s="3117">
        <v>0.1</v>
      </c>
      <c r="F88" s="3117">
        <v>15</v>
      </c>
    </row>
    <row r="89" spans="1:6" ht="24">
      <c r="A89" s="3117">
        <v>17</v>
      </c>
      <c r="B89" s="3790"/>
      <c r="C89" s="3091" t="s">
        <v>2680</v>
      </c>
      <c r="D89" s="3091" t="s">
        <v>2681</v>
      </c>
      <c r="E89" s="3117">
        <v>0.1</v>
      </c>
      <c r="F89" s="3117">
        <v>15</v>
      </c>
    </row>
    <row r="90" spans="1:6" ht="13.5">
      <c r="A90" s="3117">
        <v>18</v>
      </c>
      <c r="B90" s="3786" t="s">
        <v>2682</v>
      </c>
      <c r="C90" s="3091" t="s">
        <v>2683</v>
      </c>
      <c r="D90" s="3091" t="s">
        <v>2684</v>
      </c>
      <c r="E90" s="3117">
        <v>0.2</v>
      </c>
      <c r="F90" s="3117">
        <v>25</v>
      </c>
    </row>
    <row r="91" spans="1:6" ht="24">
      <c r="A91" s="3117">
        <v>19</v>
      </c>
      <c r="B91" s="3781"/>
      <c r="C91" s="3091" t="s">
        <v>2685</v>
      </c>
      <c r="D91" s="3091" t="s">
        <v>2686</v>
      </c>
      <c r="E91" s="3117">
        <v>0.2</v>
      </c>
      <c r="F91" s="3117">
        <v>25</v>
      </c>
    </row>
    <row r="92" spans="1:6" ht="13.5">
      <c r="A92" s="3117">
        <v>20</v>
      </c>
      <c r="B92" s="3781"/>
      <c r="C92" s="3091" t="s">
        <v>2687</v>
      </c>
      <c r="D92" s="3091" t="s">
        <v>2688</v>
      </c>
      <c r="E92" s="3117">
        <v>0.15</v>
      </c>
      <c r="F92" s="3117">
        <v>20</v>
      </c>
    </row>
    <row r="93" spans="1:6" ht="13.5">
      <c r="A93" s="3117">
        <v>21</v>
      </c>
      <c r="B93" s="3781"/>
      <c r="C93" s="3091" t="s">
        <v>2689</v>
      </c>
      <c r="D93" s="3091" t="s">
        <v>2690</v>
      </c>
      <c r="E93" s="3117">
        <v>0.15</v>
      </c>
      <c r="F93" s="3117">
        <v>20</v>
      </c>
    </row>
    <row r="94" spans="1:6" ht="13.5">
      <c r="A94" s="3117">
        <v>22</v>
      </c>
      <c r="B94" s="3781"/>
      <c r="C94" s="3091" t="s">
        <v>2691</v>
      </c>
      <c r="D94" s="3091" t="s">
        <v>2692</v>
      </c>
      <c r="E94" s="3117">
        <v>0.15</v>
      </c>
      <c r="F94" s="3117">
        <v>20</v>
      </c>
    </row>
    <row r="95" spans="1:6" ht="36">
      <c r="A95" s="3117">
        <v>23</v>
      </c>
      <c r="B95" s="3781"/>
      <c r="C95" s="3091" t="s">
        <v>2693</v>
      </c>
      <c r="D95" s="3091" t="s">
        <v>2694</v>
      </c>
      <c r="E95" s="3117">
        <v>0.15</v>
      </c>
      <c r="F95" s="3117">
        <v>20</v>
      </c>
    </row>
    <row r="96" spans="1:6" ht="13.5">
      <c r="A96" s="3117">
        <v>24</v>
      </c>
      <c r="B96" s="3781"/>
      <c r="C96" s="3091" t="s">
        <v>2695</v>
      </c>
      <c r="D96" s="3091" t="s">
        <v>2696</v>
      </c>
      <c r="E96" s="3117">
        <v>0.1</v>
      </c>
      <c r="F96" s="3117">
        <v>15</v>
      </c>
    </row>
    <row r="97" spans="1:6" ht="13.5">
      <c r="A97" s="3117">
        <v>25</v>
      </c>
      <c r="B97" s="3781"/>
      <c r="C97" s="3091" t="s">
        <v>2697</v>
      </c>
      <c r="D97" s="3091" t="s">
        <v>2698</v>
      </c>
      <c r="E97" s="3117">
        <v>0.1</v>
      </c>
      <c r="F97" s="3117">
        <v>15</v>
      </c>
    </row>
    <row r="98" spans="1:6" ht="24">
      <c r="A98" s="3117">
        <v>26</v>
      </c>
      <c r="B98" s="3781"/>
      <c r="C98" s="3091" t="s">
        <v>2699</v>
      </c>
      <c r="D98" s="3091" t="s">
        <v>2700</v>
      </c>
      <c r="E98" s="3117">
        <v>0.1</v>
      </c>
      <c r="F98" s="3117">
        <v>15</v>
      </c>
    </row>
    <row r="99" spans="1:6" ht="24">
      <c r="A99" s="3117">
        <v>27</v>
      </c>
      <c r="B99" s="3781"/>
      <c r="C99" s="3091" t="s">
        <v>2701</v>
      </c>
      <c r="D99" s="3091" t="s">
        <v>2702</v>
      </c>
      <c r="E99" s="3117">
        <v>0.1</v>
      </c>
      <c r="F99" s="3117">
        <v>15</v>
      </c>
    </row>
    <row r="100" spans="1:6" ht="13.5">
      <c r="A100" s="3117">
        <v>28</v>
      </c>
      <c r="B100" s="3781"/>
      <c r="C100" s="3091" t="s">
        <v>2703</v>
      </c>
      <c r="D100" s="3091" t="s">
        <v>2704</v>
      </c>
      <c r="E100" s="3117">
        <v>0.1</v>
      </c>
      <c r="F100" s="3117">
        <v>15</v>
      </c>
    </row>
    <row r="101" spans="1:6" ht="13.5">
      <c r="A101" s="3117">
        <v>29</v>
      </c>
      <c r="B101" s="3781"/>
      <c r="C101" s="3091" t="s">
        <v>2705</v>
      </c>
      <c r="D101" s="3091" t="s">
        <v>2706</v>
      </c>
      <c r="E101" s="3117">
        <v>0.1</v>
      </c>
      <c r="F101" s="3117">
        <v>15</v>
      </c>
    </row>
    <row r="102" spans="1:6" ht="13.5">
      <c r="A102" s="3117">
        <v>30</v>
      </c>
      <c r="B102" s="3781"/>
      <c r="C102" s="3091" t="s">
        <v>2707</v>
      </c>
      <c r="D102" s="3091" t="s">
        <v>2708</v>
      </c>
      <c r="E102" s="3117">
        <v>0.1</v>
      </c>
      <c r="F102" s="3117">
        <v>15</v>
      </c>
    </row>
    <row r="103" spans="1:6" ht="24">
      <c r="A103" s="3117">
        <v>31</v>
      </c>
      <c r="B103" s="3781"/>
      <c r="C103" s="3091" t="s">
        <v>2709</v>
      </c>
      <c r="D103" s="3091" t="s">
        <v>2710</v>
      </c>
      <c r="E103" s="3117">
        <v>0.1</v>
      </c>
      <c r="F103" s="3117">
        <v>15</v>
      </c>
    </row>
    <row r="104" spans="1:6" ht="24">
      <c r="A104" s="3117">
        <v>32</v>
      </c>
      <c r="B104" s="3781"/>
      <c r="C104" s="3091" t="s">
        <v>2711</v>
      </c>
      <c r="D104" s="3091" t="s">
        <v>2712</v>
      </c>
      <c r="E104" s="3117">
        <v>0.1</v>
      </c>
      <c r="F104" s="3117">
        <v>15</v>
      </c>
    </row>
    <row r="105" spans="1:6" ht="24">
      <c r="A105" s="3117">
        <v>33</v>
      </c>
      <c r="B105" s="3781"/>
      <c r="C105" s="3091" t="s">
        <v>2713</v>
      </c>
      <c r="D105" s="3091" t="s">
        <v>2714</v>
      </c>
      <c r="E105" s="3117">
        <v>0.1</v>
      </c>
      <c r="F105" s="3117">
        <v>15</v>
      </c>
    </row>
    <row r="106" spans="1:6" ht="24">
      <c r="A106" s="3117">
        <v>34</v>
      </c>
      <c r="B106" s="3790"/>
      <c r="C106" s="3091" t="s">
        <v>2715</v>
      </c>
      <c r="D106" s="3091" t="s">
        <v>2716</v>
      </c>
      <c r="E106" s="3117">
        <v>0.1</v>
      </c>
      <c r="F106" s="3117">
        <v>15</v>
      </c>
    </row>
    <row r="107" spans="1:6" ht="24">
      <c r="A107" s="3117">
        <v>35</v>
      </c>
      <c r="B107" s="3786" t="s">
        <v>2717</v>
      </c>
      <c r="C107" s="3117" t="s">
        <v>2718</v>
      </c>
      <c r="D107" s="3091" t="s">
        <v>2719</v>
      </c>
      <c r="E107" s="3117">
        <v>0.15</v>
      </c>
      <c r="F107" s="3117">
        <v>20</v>
      </c>
    </row>
    <row r="108" spans="1:6" ht="13.5">
      <c r="A108" s="3117">
        <v>36</v>
      </c>
      <c r="B108" s="3781"/>
      <c r="C108" s="3117" t="s">
        <v>2720</v>
      </c>
      <c r="D108" s="3091" t="s">
        <v>2721</v>
      </c>
      <c r="E108" s="3117">
        <v>0.15</v>
      </c>
      <c r="F108" s="3117">
        <v>20</v>
      </c>
    </row>
    <row r="109" spans="1:6" ht="13.5">
      <c r="A109" s="3117">
        <v>37</v>
      </c>
      <c r="B109" s="3781"/>
      <c r="C109" s="3117" t="s">
        <v>2722</v>
      </c>
      <c r="D109" s="3091" t="s">
        <v>2723</v>
      </c>
      <c r="E109" s="3117">
        <v>0.15</v>
      </c>
      <c r="F109" s="3117">
        <v>20</v>
      </c>
    </row>
    <row r="110" spans="1:6" ht="13.5">
      <c r="A110" s="3117">
        <v>38</v>
      </c>
      <c r="B110" s="3781"/>
      <c r="C110" s="3117" t="s">
        <v>2724</v>
      </c>
      <c r="D110" s="3091" t="s">
        <v>2725</v>
      </c>
      <c r="E110" s="3117">
        <v>0.1</v>
      </c>
      <c r="F110" s="3117">
        <v>15</v>
      </c>
    </row>
    <row r="111" spans="1:6" ht="24">
      <c r="A111" s="3117">
        <v>39</v>
      </c>
      <c r="B111" s="3781"/>
      <c r="C111" s="3117" t="s">
        <v>2726</v>
      </c>
      <c r="D111" s="3091" t="s">
        <v>2727</v>
      </c>
      <c r="E111" s="3117">
        <v>0.1</v>
      </c>
      <c r="F111" s="3117">
        <v>15</v>
      </c>
    </row>
    <row r="112" spans="1:6" ht="24">
      <c r="A112" s="3117">
        <v>40</v>
      </c>
      <c r="B112" s="3790"/>
      <c r="C112" s="3117" t="s">
        <v>2728</v>
      </c>
      <c r="D112" s="3091" t="s">
        <v>2729</v>
      </c>
      <c r="E112" s="3117">
        <v>0.1</v>
      </c>
      <c r="F112" s="3117">
        <v>15</v>
      </c>
    </row>
    <row r="113" spans="1:6" ht="13.5">
      <c r="A113" s="3117">
        <v>41</v>
      </c>
      <c r="B113" s="3791" t="s">
        <v>2730</v>
      </c>
      <c r="C113" s="3117" t="s">
        <v>2731</v>
      </c>
      <c r="D113" s="3091" t="s">
        <v>2732</v>
      </c>
      <c r="E113" s="3117">
        <v>0.1</v>
      </c>
      <c r="F113" s="3117">
        <v>15</v>
      </c>
    </row>
    <row r="114" spans="1:6" ht="13.5">
      <c r="A114" s="3117">
        <v>42</v>
      </c>
      <c r="B114" s="3791"/>
      <c r="C114" s="3117" t="s">
        <v>2733</v>
      </c>
      <c r="D114" s="3091" t="s">
        <v>2734</v>
      </c>
      <c r="E114" s="3117">
        <v>0.1</v>
      </c>
      <c r="F114" s="3117">
        <v>15</v>
      </c>
    </row>
    <row r="115" spans="1:6" ht="24">
      <c r="A115" s="3117">
        <v>43</v>
      </c>
      <c r="B115" s="3791"/>
      <c r="C115" s="3117" t="s">
        <v>2735</v>
      </c>
      <c r="D115" s="3091" t="s">
        <v>2736</v>
      </c>
      <c r="E115" s="3117">
        <v>0.1</v>
      </c>
      <c r="F115" s="3117">
        <v>15</v>
      </c>
    </row>
    <row r="116" spans="1:6" ht="13.5">
      <c r="A116" s="3117">
        <v>44</v>
      </c>
      <c r="B116" s="3786" t="s">
        <v>2737</v>
      </c>
      <c r="C116" s="3117" t="s">
        <v>2738</v>
      </c>
      <c r="D116" s="3091" t="s">
        <v>2739</v>
      </c>
      <c r="E116" s="3117">
        <v>0.1</v>
      </c>
      <c r="F116" s="3117">
        <v>15</v>
      </c>
    </row>
    <row r="117" spans="1:6" ht="24">
      <c r="A117" s="3117">
        <v>45</v>
      </c>
      <c r="B117" s="3790"/>
      <c r="C117" s="3091" t="s">
        <v>2740</v>
      </c>
      <c r="D117" s="3091" t="s">
        <v>2741</v>
      </c>
      <c r="E117" s="3117">
        <v>0.1</v>
      </c>
      <c r="F117" s="3117">
        <v>15</v>
      </c>
    </row>
    <row r="118" spans="1:6" ht="24">
      <c r="A118" s="3117">
        <v>46</v>
      </c>
      <c r="B118" s="3786" t="s">
        <v>2742</v>
      </c>
      <c r="C118" s="3117" t="s">
        <v>2743</v>
      </c>
      <c r="D118" s="3091" t="s">
        <v>2744</v>
      </c>
      <c r="E118" s="3117">
        <v>0.1</v>
      </c>
      <c r="F118" s="3117">
        <v>15</v>
      </c>
    </row>
    <row r="119" spans="1:6" ht="24">
      <c r="A119" s="3117">
        <v>47</v>
      </c>
      <c r="B119" s="3790"/>
      <c r="C119" s="3117" t="s">
        <v>2745</v>
      </c>
      <c r="D119" s="3091" t="s">
        <v>2746</v>
      </c>
      <c r="E119" s="3117">
        <v>0.1</v>
      </c>
      <c r="F119" s="3117">
        <v>15</v>
      </c>
    </row>
    <row r="120" spans="1:6" ht="13.5">
      <c r="A120" s="3117">
        <v>48</v>
      </c>
      <c r="B120" s="3786" t="s">
        <v>2747</v>
      </c>
      <c r="C120" s="3117" t="s">
        <v>2748</v>
      </c>
      <c r="D120" s="3091" t="s">
        <v>2749</v>
      </c>
      <c r="E120" s="3117">
        <v>0.1</v>
      </c>
      <c r="F120" s="3117">
        <v>15</v>
      </c>
    </row>
    <row r="121" spans="1:6" ht="13.5">
      <c r="A121" s="3117">
        <v>49</v>
      </c>
      <c r="B121" s="3790"/>
      <c r="C121" s="3117" t="s">
        <v>2750</v>
      </c>
      <c r="D121" s="3091" t="s">
        <v>2751</v>
      </c>
      <c r="E121" s="3117">
        <v>0.1</v>
      </c>
      <c r="F121" s="3117">
        <v>15</v>
      </c>
    </row>
    <row r="122" spans="1:6" ht="24">
      <c r="A122" s="3117">
        <v>50</v>
      </c>
      <c r="B122" s="3791" t="s">
        <v>2752</v>
      </c>
      <c r="C122" s="3117" t="s">
        <v>2753</v>
      </c>
      <c r="D122" s="3091" t="s">
        <v>2754</v>
      </c>
      <c r="E122" s="3117">
        <v>0.1</v>
      </c>
      <c r="F122" s="3117">
        <v>15</v>
      </c>
    </row>
    <row r="123" spans="1:6" ht="24">
      <c r="A123" s="3117">
        <v>51</v>
      </c>
      <c r="B123" s="3791"/>
      <c r="C123" s="3117" t="s">
        <v>2755</v>
      </c>
      <c r="D123" s="3091" t="s">
        <v>2756</v>
      </c>
      <c r="E123" s="3117">
        <v>0.1</v>
      </c>
      <c r="F123" s="3117">
        <v>15</v>
      </c>
    </row>
    <row r="124" spans="1:6" ht="24">
      <c r="A124" s="3117">
        <v>52</v>
      </c>
      <c r="B124" s="3791" t="s">
        <v>2757</v>
      </c>
      <c r="C124" s="3117" t="s">
        <v>2758</v>
      </c>
      <c r="D124" s="3091" t="s">
        <v>2759</v>
      </c>
      <c r="E124" s="3117">
        <v>0.1</v>
      </c>
      <c r="F124" s="3117">
        <v>15</v>
      </c>
    </row>
    <row r="125" spans="1:6" ht="24">
      <c r="A125" s="3117">
        <v>53</v>
      </c>
      <c r="B125" s="3791"/>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1" t="s">
        <v>2765</v>
      </c>
      <c r="C127" s="3117" t="s">
        <v>2766</v>
      </c>
      <c r="D127" s="3091" t="s">
        <v>2767</v>
      </c>
      <c r="E127" s="3117">
        <v>0.1</v>
      </c>
      <c r="F127" s="3117">
        <v>15</v>
      </c>
    </row>
    <row r="128" spans="1:6" ht="13.5">
      <c r="A128" s="3117">
        <v>56</v>
      </c>
      <c r="B128" s="3791"/>
      <c r="C128" s="3117" t="s">
        <v>2768</v>
      </c>
      <c r="D128" s="3091" t="s">
        <v>2769</v>
      </c>
      <c r="E128" s="3117">
        <v>0.1</v>
      </c>
      <c r="F128" s="3117">
        <v>15</v>
      </c>
    </row>
    <row r="129" spans="1:6" ht="24">
      <c r="A129" s="3117">
        <v>57</v>
      </c>
      <c r="B129" s="3791"/>
      <c r="C129" s="3117" t="s">
        <v>2770</v>
      </c>
      <c r="D129" s="3091" t="s">
        <v>2771</v>
      </c>
      <c r="E129" s="3117">
        <v>0.1</v>
      </c>
      <c r="F129" s="3117">
        <v>15</v>
      </c>
    </row>
    <row r="130" spans="1:6" ht="24">
      <c r="A130" s="3117">
        <v>58</v>
      </c>
      <c r="B130" s="3791" t="s">
        <v>2772</v>
      </c>
      <c r="C130" s="3117" t="s">
        <v>2773</v>
      </c>
      <c r="D130" s="3091" t="s">
        <v>2774</v>
      </c>
      <c r="E130" s="3117">
        <v>0.1</v>
      </c>
      <c r="F130" s="3117">
        <v>15</v>
      </c>
    </row>
    <row r="131" spans="1:6" ht="13.5">
      <c r="A131" s="3117">
        <v>59</v>
      </c>
      <c r="B131" s="3791"/>
      <c r="C131" s="3117" t="s">
        <v>2775</v>
      </c>
      <c r="D131" s="3091" t="s">
        <v>2776</v>
      </c>
      <c r="E131" s="3117">
        <v>0.1</v>
      </c>
      <c r="F131" s="3117">
        <v>15</v>
      </c>
    </row>
    <row r="132" spans="1:6" ht="13.5">
      <c r="A132" s="3117">
        <v>60</v>
      </c>
      <c r="B132" s="3786" t="s">
        <v>2777</v>
      </c>
      <c r="C132" s="3117" t="s">
        <v>2778</v>
      </c>
      <c r="D132" s="3091" t="s">
        <v>2779</v>
      </c>
      <c r="E132" s="3117">
        <v>0.1</v>
      </c>
      <c r="F132" s="3117">
        <v>15</v>
      </c>
    </row>
    <row r="133" spans="1:6" ht="13.5">
      <c r="A133" s="3117">
        <v>61</v>
      </c>
      <c r="B133" s="3790"/>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1" t="s">
        <v>2785</v>
      </c>
      <c r="C135" s="3117" t="s">
        <v>2786</v>
      </c>
      <c r="D135" s="3091" t="s">
        <v>2787</v>
      </c>
      <c r="E135" s="3117">
        <v>0.1</v>
      </c>
      <c r="F135" s="3117">
        <v>15</v>
      </c>
    </row>
    <row r="136" spans="1:6" ht="13.5">
      <c r="A136" s="3117">
        <v>64</v>
      </c>
      <c r="B136" s="3791"/>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28828</v>
      </c>
      <c r="C2" s="2" t="s">
        <v>106</v>
      </c>
      <c r="D2" s="199"/>
      <c r="E2" s="199"/>
      <c r="F2" s="199"/>
      <c r="G2" s="199"/>
    </row>
    <row r="3" spans="1:7" s="200" customFormat="1" ht="18" customHeight="1" thickBot="1">
      <c r="A3" s="203" t="s">
        <v>58</v>
      </c>
      <c r="B3" s="204">
        <f ca="1">ROUND(B2*10000/'数据-汇总表'!E3,0)</f>
        <v>3738555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77.11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77.11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77.11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8</v>
      </c>
      <c r="D45" s="235">
        <f>C47</f>
        <v>4.0000000000000001E-3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54</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45</v>
      </c>
      <c r="D51" s="232"/>
      <c r="E51" s="232"/>
      <c r="F51" s="264"/>
      <c r="G51" s="234" t="s">
        <v>37</v>
      </c>
    </row>
    <row r="52" spans="1:7" s="208" customFormat="1" ht="16.5" thickBot="1">
      <c r="A52" s="265" t="s">
        <v>38</v>
      </c>
      <c r="B52" s="266"/>
      <c r="C52" s="267">
        <f ca="1">C31+C51</f>
        <v>28828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377</v>
      </c>
      <c r="E5" s="1490"/>
    </row>
    <row r="6" spans="1:5" ht="15.75">
      <c r="A6" s="1490"/>
      <c r="B6" s="3474"/>
      <c r="C6" s="1493" t="s">
        <v>911</v>
      </c>
      <c r="D6" s="849" t="str">
        <f ca="1">NUMBERSTRING(INT(D5*10000),2)&amp;"元整"</f>
        <v>叁佰柒拾柒万元整</v>
      </c>
      <c r="E6" s="1490"/>
    </row>
    <row r="7" spans="1:5" ht="15.75">
      <c r="A7" s="1490"/>
      <c r="B7" s="3479"/>
      <c r="C7" s="1494" t="s">
        <v>912</v>
      </c>
      <c r="D7" s="850">
        <f ca="1">结果表!H102</f>
        <v>48916</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377</v>
      </c>
      <c r="E13" s="1490"/>
    </row>
    <row r="14" spans="1:5" ht="15.75">
      <c r="A14" s="1490"/>
      <c r="B14" s="3474"/>
      <c r="C14" s="1493" t="s">
        <v>911</v>
      </c>
      <c r="D14" s="849" t="str">
        <f ca="1">NUMBERSTRING(INT(D13*10000),2)&amp;"元整"</f>
        <v>叁佰柒拾柒万元整</v>
      </c>
      <c r="E14" s="1490"/>
    </row>
    <row r="15" spans="1:5" ht="15">
      <c r="A15" s="1490"/>
      <c r="B15" s="3479"/>
      <c r="C15" s="1494" t="s">
        <v>921</v>
      </c>
      <c r="D15" s="858">
        <f ca="1">结果表!H108</f>
        <v>48916</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77.11</v>
      </c>
      <c r="C4" s="853">
        <f>项目基本情况!C18</f>
        <v>0</v>
      </c>
      <c r="D4" s="853">
        <f ca="1">结果表!D118</f>
        <v>283</v>
      </c>
      <c r="E4" s="853">
        <f ca="1">结果表!E118</f>
        <v>36736</v>
      </c>
      <c r="F4" s="853">
        <f ca="1">结果表!F118</f>
        <v>94</v>
      </c>
      <c r="G4" s="853">
        <f ca="1">结果表!G118</f>
        <v>12180</v>
      </c>
      <c r="H4" s="853">
        <f ca="1">结果表!H118</f>
        <v>377</v>
      </c>
      <c r="I4" s="853">
        <f ca="1">结果表!I118</f>
        <v>48916</v>
      </c>
    </row>
    <row r="5" spans="1:9" ht="30" customHeight="1">
      <c r="A5" s="3485" t="s">
        <v>927</v>
      </c>
      <c r="B5" s="3485"/>
      <c r="C5" s="3485"/>
      <c r="D5" s="3485" t="str">
        <f ca="1">结果表!D119</f>
        <v>贰佰捌拾叁万元整</v>
      </c>
      <c r="E5" s="3485"/>
      <c r="F5" s="3485" t="str">
        <f ca="1">结果表!F119</f>
        <v>玖拾肆万元整</v>
      </c>
      <c r="G5" s="3485"/>
      <c r="H5" s="3485" t="str">
        <f ca="1">结果表!H119</f>
        <v>叁佰柒拾柒万元整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377</v>
      </c>
      <c r="E8" s="3486"/>
      <c r="F8" s="3486"/>
      <c r="G8" s="3486"/>
      <c r="H8" s="3486"/>
      <c r="I8" s="3486"/>
    </row>
    <row r="9" spans="1:9" ht="15">
      <c r="A9" s="3485" t="s">
        <v>927</v>
      </c>
      <c r="B9" s="3485"/>
      <c r="C9" s="3485"/>
      <c r="D9" s="3485" t="str">
        <f ca="1">结果表!D123</f>
        <v>叁佰柒拾柒万元整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2025-05-08T05:18:35Z</dcterms:modified>
</cp:coreProperties>
</file>