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E000359怀柔区峪道河西侧综合楼\"/>
    </mc:Choice>
  </mc:AlternateContent>
  <xr:revisionPtr revIDLastSave="0" documentId="13_ncr:1_{7A00DAAB-B414-45A9-BFD2-81EAF4733ADB}"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U4" i="43" l="1"/>
  <c r="U3" i="43"/>
  <c r="U2" i="43"/>
  <c r="G51" i="43"/>
  <c r="G52" i="43"/>
  <c r="G53" i="43"/>
  <c r="G54" i="43"/>
  <c r="G55" i="43"/>
  <c r="G56" i="43"/>
  <c r="G57" i="43"/>
  <c r="G58" i="43"/>
  <c r="G50" i="43"/>
  <c r="E34" i="77"/>
  <c r="D34" i="77"/>
  <c r="O23" i="1"/>
  <c r="O22" i="1"/>
  <c r="M22" i="1"/>
  <c r="M24" i="1" s="1"/>
  <c r="M25" i="1" s="1"/>
  <c r="C14" i="74"/>
  <c r="B14" i="74"/>
  <c r="D14" i="77"/>
  <c r="E14" i="77"/>
  <c r="B5" i="77"/>
  <c r="B4" i="77"/>
  <c r="R7" i="77"/>
  <c r="D33" i="43"/>
  <c r="Y6" i="1"/>
  <c r="F19" i="6"/>
  <c r="C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8" i="79"/>
  <c r="AD37"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T33" i="79"/>
  <c r="T34" i="79"/>
  <c r="T35"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6" i="79" l="1"/>
  <c r="AK16" i="79" s="1"/>
  <c r="AH16" i="79"/>
  <c r="W41" i="79"/>
  <c r="AK41" i="79" s="1"/>
  <c r="AH41" i="79"/>
  <c r="W46" i="79"/>
  <c r="AK46" i="79" s="1"/>
  <c r="AH46" i="79"/>
  <c r="AH34" i="79"/>
  <c r="W34" i="79"/>
  <c r="AK34" i="79" s="1"/>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14" i="79"/>
  <c r="AK14" i="79" s="1"/>
  <c r="AH14" i="79"/>
  <c r="W19" i="79"/>
  <c r="AK19" i="79" s="1"/>
  <c r="AH19" i="79"/>
  <c r="W50" i="79"/>
  <c r="AK50" i="79" s="1"/>
  <c r="AH50" i="79"/>
  <c r="W51" i="79"/>
  <c r="AK51" i="79" s="1"/>
  <c r="AH51" i="79"/>
  <c r="W44" i="79"/>
  <c r="AK44" i="79" s="1"/>
  <c r="AH44" i="79"/>
  <c r="W11" i="79"/>
  <c r="AK11" i="79" s="1"/>
  <c r="AH11" i="79"/>
  <c r="W17" i="79"/>
  <c r="AK17" i="79" s="1"/>
  <c r="AH17" i="79"/>
  <c r="W10" i="79"/>
  <c r="AK10" i="79" s="1"/>
  <c r="AH10" i="79"/>
  <c r="W18" i="79"/>
  <c r="AK18" i="79" s="1"/>
  <c r="AH18" i="79"/>
  <c r="W20" i="79"/>
  <c r="AK20" i="79" s="1"/>
  <c r="AH20"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C23" i="77" l="1"/>
  <c r="D10" i="77"/>
  <c r="D15" i="77"/>
  <c r="D17" i="77"/>
  <c r="D18" i="77"/>
  <c r="D16" i="77"/>
  <c r="D9" i="77"/>
  <c r="E24" i="43"/>
  <c r="D23" i="77" l="1"/>
  <c r="C29" i="77"/>
  <c r="Q32" i="43"/>
  <c r="P32" i="43"/>
  <c r="O32" i="43"/>
  <c r="N32" i="43"/>
  <c r="M32" i="43"/>
  <c r="AH11" i="71"/>
  <c r="AG11" i="71"/>
  <c r="AE11" i="71"/>
  <c r="AF11" i="71" s="1"/>
  <c r="AD11" i="71"/>
  <c r="Q11" i="71"/>
  <c r="P11" i="71"/>
  <c r="O11" i="71"/>
  <c r="N11" i="71"/>
  <c r="D29" i="77" l="1"/>
  <c r="E23" i="77"/>
  <c r="D26" i="77"/>
  <c r="D32" i="77" s="1"/>
  <c r="D38" i="77" s="1"/>
  <c r="AH12" i="71"/>
  <c r="AG12" i="71"/>
  <c r="AE12" i="71"/>
  <c r="AF12" i="71" s="1"/>
  <c r="AD12" i="71"/>
  <c r="Q12" i="71"/>
  <c r="P12" i="71"/>
  <c r="O12" i="71"/>
  <c r="N12" i="71"/>
  <c r="E26" i="77" l="1"/>
  <c r="E29" i="77"/>
  <c r="E32" i="77"/>
  <c r="E38" i="77" s="1"/>
  <c r="AH13" i="7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AB32" i="71" s="1"/>
  <c r="P32" i="71"/>
  <c r="O32" i="71"/>
  <c r="N32" i="71"/>
  <c r="X32" i="71" s="1"/>
  <c r="Q31" i="71"/>
  <c r="P31" i="71"/>
  <c r="O31" i="71"/>
  <c r="N31" i="71"/>
  <c r="Q30" i="71"/>
  <c r="P30" i="71"/>
  <c r="O30" i="71"/>
  <c r="Y30" i="71"/>
  <c r="Z30" i="71" s="1"/>
  <c r="N30" i="71"/>
  <c r="Q29" i="71"/>
  <c r="F30" i="71" s="1"/>
  <c r="P29" i="71"/>
  <c r="O29" i="71"/>
  <c r="N29" i="71"/>
  <c r="D29" i="71"/>
  <c r="O28" i="71"/>
  <c r="N28" i="71"/>
  <c r="B28" i="71" s="1"/>
  <c r="B30" i="71"/>
  <c r="B31" i="71" s="1"/>
  <c r="E30" i="71"/>
  <c r="E31" i="71"/>
  <c r="E32" i="71" s="1"/>
  <c r="U32" i="71" s="1"/>
  <c r="B34" i="71"/>
  <c r="B35" i="71" s="1"/>
  <c r="B36" i="71" s="1"/>
  <c r="S36" i="71" s="1"/>
  <c r="B40" i="71"/>
  <c r="S40" i="71" s="1"/>
  <c r="E38" i="71"/>
  <c r="E39" i="71" s="1"/>
  <c r="E40" i="71" s="1"/>
  <c r="U40" i="71" s="1"/>
  <c r="AA37" i="71"/>
  <c r="N68" i="71"/>
  <c r="X35" i="71"/>
  <c r="C38" i="71"/>
  <c r="D38" i="71" s="1"/>
  <c r="Y37" i="71"/>
  <c r="Z37" i="71" s="1"/>
  <c r="X38" i="71"/>
  <c r="C28" i="71"/>
  <c r="C39" i="71"/>
  <c r="C43" i="71"/>
  <c r="C51" i="71"/>
  <c r="P28" i="71"/>
  <c r="E28" i="71" s="1"/>
  <c r="E63" i="71"/>
  <c r="E64" i="71"/>
  <c r="U64" i="71" s="1"/>
  <c r="E67" i="71"/>
  <c r="Q28" i="71"/>
  <c r="C59" i="71"/>
  <c r="C60" i="71" s="1"/>
  <c r="D58" i="71"/>
  <c r="Q68" i="71"/>
  <c r="C71" i="71"/>
  <c r="C70" i="71" s="1"/>
  <c r="D70" i="71" s="1"/>
  <c r="E71" i="71"/>
  <c r="E70" i="71" s="1"/>
  <c r="D72" i="71"/>
  <c r="C75" i="71"/>
  <c r="E75" i="71"/>
  <c r="E74" i="71" s="1"/>
  <c r="C79" i="71"/>
  <c r="D79" i="71" s="1"/>
  <c r="E79" i="71"/>
  <c r="E78" i="71" s="1"/>
  <c r="D80" i="71"/>
  <c r="C83" i="71"/>
  <c r="D83" i="71" s="1"/>
  <c r="C87" i="71"/>
  <c r="F28" i="71"/>
  <c r="F27" i="71" s="1"/>
  <c r="F26" i="71" s="1"/>
  <c r="AA27" i="71"/>
  <c r="C82" i="71"/>
  <c r="D82" i="71"/>
  <c r="C78" i="71"/>
  <c r="D78" i="71" s="1"/>
  <c r="D71" i="71"/>
  <c r="D59" i="71"/>
  <c r="P67"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77" i="43" s="1"/>
  <c r="S25" i="40"/>
  <c r="S21" i="34"/>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M53" i="43"/>
  <c r="N53" i="43" s="1"/>
  <c r="K53" i="43"/>
  <c r="J53" i="43" s="1"/>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K6" i="1" s="1"/>
  <c r="AP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18" i="31"/>
  <c r="S316" i="31"/>
  <c r="S314" i="31"/>
  <c r="S310" i="31"/>
  <c r="S308" i="31"/>
  <c r="S306" i="31"/>
  <c r="S302" i="31"/>
  <c r="S300" i="31"/>
  <c r="S298"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G494" i="3" s="1"/>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R5" i="3" s="1"/>
  <c r="BS495" i="3"/>
  <c r="BT495" i="3"/>
  <c r="H496" i="3"/>
  <c r="AC496" i="3"/>
  <c r="G496" i="3" s="1"/>
  <c r="BB496" i="3"/>
  <c r="BC496" i="3"/>
  <c r="BD496" i="3"/>
  <c r="BE496" i="3"/>
  <c r="BF496" i="3"/>
  <c r="BG496" i="3"/>
  <c r="BH496" i="3"/>
  <c r="BI496" i="3"/>
  <c r="BI5" i="3" s="1"/>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F5" i="3" s="1"/>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L499" i="3" s="1"/>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A510" i="3" s="1"/>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L520" i="3" s="1"/>
  <c r="BP520" i="3"/>
  <c r="BQ520" i="3"/>
  <c r="BR520" i="3"/>
  <c r="BS520" i="3"/>
  <c r="BT520" i="3"/>
  <c r="H521" i="3"/>
  <c r="BB521" i="3"/>
  <c r="BC521" i="3"/>
  <c r="BA521" i="3" s="1"/>
  <c r="BD521" i="3"/>
  <c r="BE521" i="3"/>
  <c r="BF521" i="3"/>
  <c r="BG521" i="3"/>
  <c r="BH521" i="3"/>
  <c r="BI521" i="3"/>
  <c r="BJ521" i="3"/>
  <c r="BK521" i="3"/>
  <c r="BM521" i="3"/>
  <c r="BN521" i="3"/>
  <c r="BO521" i="3"/>
  <c r="BP521" i="3"/>
  <c r="BL521" i="3" s="1"/>
  <c r="AZ521" i="3" s="1"/>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AZ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A533" i="3" s="1"/>
  <c r="BF533" i="3"/>
  <c r="BG533" i="3"/>
  <c r="BH533" i="3"/>
  <c r="BI533" i="3"/>
  <c r="BJ533" i="3"/>
  <c r="BK533" i="3"/>
  <c r="BM533" i="3"/>
  <c r="BN533" i="3"/>
  <c r="BL533" i="3" s="1"/>
  <c r="BO533" i="3"/>
  <c r="BP533" i="3"/>
  <c r="BR533" i="3"/>
  <c r="BS533" i="3"/>
  <c r="BT533" i="3"/>
  <c r="H534" i="3"/>
  <c r="AC534" i="3"/>
  <c r="BB534" i="3"/>
  <c r="BA534" i="3" s="1"/>
  <c r="AZ534" i="3" s="1"/>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L544" i="3" s="1"/>
  <c r="AZ544" i="3" s="1"/>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L549" i="3" s="1"/>
  <c r="AZ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AZ552" i="3" s="1"/>
  <c r="BD552" i="3"/>
  <c r="BE552" i="3"/>
  <c r="BF552" i="3"/>
  <c r="BG552" i="3"/>
  <c r="BH552" i="3"/>
  <c r="BI552" i="3"/>
  <c r="BJ552" i="3"/>
  <c r="BK552" i="3"/>
  <c r="BM552" i="3"/>
  <c r="BN552" i="3"/>
  <c r="BO552" i="3"/>
  <c r="BP552" i="3"/>
  <c r="BL552" i="3" s="1"/>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H34" i="35" s="1"/>
  <c r="U34" i="35" s="1"/>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F44" i="21" s="1"/>
  <c r="AA44" i="21" s="1"/>
  <c r="B98" i="21"/>
  <c r="H31" i="21"/>
  <c r="B96" i="21"/>
  <c r="B94" i="21"/>
  <c r="J29" i="21" s="1"/>
  <c r="AC29" i="2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c r="F26" i="21"/>
  <c r="S26" i="21" s="1"/>
  <c r="S41" i="21"/>
  <c r="AA41" i="21"/>
  <c r="F45" i="39"/>
  <c r="S45" i="39" s="1"/>
  <c r="J45" i="39"/>
  <c r="W45" i="39" s="1"/>
  <c r="J44" i="39"/>
  <c r="AC44" i="39"/>
  <c r="F36" i="39"/>
  <c r="S36" i="39" s="1"/>
  <c r="H36" i="39"/>
  <c r="AB36" i="39"/>
  <c r="J35" i="39"/>
  <c r="AC35" i="39" s="1"/>
  <c r="J36" i="39"/>
  <c r="AC36" i="39" s="1"/>
  <c r="U9" i="39"/>
  <c r="W40" i="39"/>
  <c r="W25" i="37"/>
  <c r="U30" i="37"/>
  <c r="F103" i="37"/>
  <c r="G103" i="37" s="1"/>
  <c r="H103" i="37" s="1"/>
  <c r="I103" i="37" s="1"/>
  <c r="J103" i="37" s="1"/>
  <c r="K103" i="37" s="1"/>
  <c r="L103" i="37" s="1"/>
  <c r="M103" i="37" s="1"/>
  <c r="F29" i="36"/>
  <c r="AA29" i="36" s="1"/>
  <c r="F16" i="36"/>
  <c r="AA16" i="36" s="1"/>
  <c r="W28" i="36"/>
  <c r="U31" i="36"/>
  <c r="J33" i="36"/>
  <c r="AC33" i="36" s="1"/>
  <c r="H22" i="35"/>
  <c r="AB22" i="35"/>
  <c r="AC27" i="35"/>
  <c r="W28" i="35"/>
  <c r="U31" i="35"/>
  <c r="W22" i="35"/>
  <c r="S31" i="35"/>
  <c r="F36" i="34"/>
  <c r="J35" i="34"/>
  <c r="W9" i="34"/>
  <c r="H39" i="33"/>
  <c r="AB39" i="33"/>
  <c r="F26" i="33"/>
  <c r="AA26" i="33" s="1"/>
  <c r="U35" i="33"/>
  <c r="S40" i="33"/>
  <c r="W33" i="33"/>
  <c r="W39" i="33"/>
  <c r="H39" i="37"/>
  <c r="AB39" i="37"/>
  <c r="F11" i="40"/>
  <c r="AA11" i="40"/>
  <c r="H11" i="40"/>
  <c r="AB11" i="40" s="1"/>
  <c r="W8" i="40"/>
  <c r="AB39" i="40"/>
  <c r="AA9" i="40"/>
  <c r="U9" i="40"/>
  <c r="S34" i="40"/>
  <c r="U38" i="40"/>
  <c r="W31" i="40"/>
  <c r="U34" i="40"/>
  <c r="F42" i="39"/>
  <c r="AA42" i="39" s="1"/>
  <c r="F41" i="39"/>
  <c r="S41" i="39" s="1"/>
  <c r="H40" i="39"/>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c r="H23" i="40"/>
  <c r="AB23" i="40" s="1"/>
  <c r="H17" i="40"/>
  <c r="U17" i="40"/>
  <c r="J15" i="40"/>
  <c r="J11" i="40"/>
  <c r="W11" i="40"/>
  <c r="AB8" i="39"/>
  <c r="AC12" i="34"/>
  <c r="AB12" i="36"/>
  <c r="W32" i="40"/>
  <c r="F37" i="39"/>
  <c r="AA37" i="39" s="1"/>
  <c r="U30" i="36"/>
  <c r="J30" i="35"/>
  <c r="W30" i="35" s="1"/>
  <c r="H30" i="35"/>
  <c r="AB30" i="35" s="1"/>
  <c r="F22" i="35"/>
  <c r="AA22" i="35"/>
  <c r="H10" i="35"/>
  <c r="U10" i="35" s="1"/>
  <c r="F33" i="36"/>
  <c r="AA33" i="36"/>
  <c r="W30" i="36"/>
  <c r="H16" i="36"/>
  <c r="AB16" i="36" s="1"/>
  <c r="E85" i="36"/>
  <c r="F85" i="36" s="1"/>
  <c r="G85" i="36" s="1"/>
  <c r="H85" i="36" s="1"/>
  <c r="I85" i="36" s="1"/>
  <c r="J85" i="36" s="1"/>
  <c r="K85" i="36" s="1"/>
  <c r="L85" i="36" s="1"/>
  <c r="M85" i="36" s="1"/>
  <c r="J29" i="36"/>
  <c r="AC29" i="36" s="1"/>
  <c r="F12" i="36"/>
  <c r="F24" i="36"/>
  <c r="AA24" i="36"/>
  <c r="F14" i="35"/>
  <c r="AA14" i="35"/>
  <c r="J32" i="35"/>
  <c r="AC32" i="35" s="1"/>
  <c r="J16" i="35"/>
  <c r="W16" i="35" s="1"/>
  <c r="AC16" i="35"/>
  <c r="H16" i="35"/>
  <c r="U16" i="35" s="1"/>
  <c r="F16" i="35"/>
  <c r="S16" i="35"/>
  <c r="H14" i="35"/>
  <c r="AB14" i="35" s="1"/>
  <c r="J29" i="35"/>
  <c r="H33" i="35"/>
  <c r="J20" i="35"/>
  <c r="W20" i="35" s="1"/>
  <c r="F35" i="37"/>
  <c r="S35" i="37" s="1"/>
  <c r="E101" i="37"/>
  <c r="F101" i="37"/>
  <c r="G101" i="37" s="1"/>
  <c r="H101" i="37" s="1"/>
  <c r="I101" i="37" s="1"/>
  <c r="J101" i="37" s="1"/>
  <c r="K101" i="37"/>
  <c r="L101" i="37" s="1"/>
  <c r="M101" i="37" s="1"/>
  <c r="J34" i="37"/>
  <c r="W34" i="37" s="1"/>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AA41" i="33" s="1"/>
  <c r="S38" i="33"/>
  <c r="E113" i="33"/>
  <c r="F32" i="33"/>
  <c r="AA32" i="33"/>
  <c r="J19" i="33"/>
  <c r="AC19" i="33"/>
  <c r="J15" i="33"/>
  <c r="AC15" i="33"/>
  <c r="F11" i="33"/>
  <c r="AA11" i="33" s="1"/>
  <c r="S26" i="33"/>
  <c r="W40" i="33"/>
  <c r="F37" i="40"/>
  <c r="AA37" i="40"/>
  <c r="F36" i="40"/>
  <c r="AA36" i="40"/>
  <c r="H28" i="40"/>
  <c r="U28" i="40"/>
  <c r="F23" i="40"/>
  <c r="AA23" i="40"/>
  <c r="F17" i="40"/>
  <c r="AA17" i="40" s="1"/>
  <c r="J17" i="40"/>
  <c r="W17" i="40" s="1"/>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c r="J17" i="34"/>
  <c r="W17" i="34" s="1"/>
  <c r="S41" i="33"/>
  <c r="F113" i="33"/>
  <c r="G113" i="33" s="1"/>
  <c r="H113" i="33" s="1"/>
  <c r="I113" i="33" s="1"/>
  <c r="J113" i="33" s="1"/>
  <c r="K113" i="33" s="1"/>
  <c r="L113" i="33" s="1"/>
  <c r="M113" i="33" s="1"/>
  <c r="H37" i="33"/>
  <c r="AB37" i="33" s="1"/>
  <c r="H15" i="33"/>
  <c r="AB15" i="33" s="1"/>
  <c r="H11" i="33"/>
  <c r="AB11" i="33" s="1"/>
  <c r="F28" i="40"/>
  <c r="AA29" i="35"/>
  <c r="AA42" i="34"/>
  <c r="S42" i="34"/>
  <c r="AC38" i="34"/>
  <c r="AA38" i="34"/>
  <c r="J37" i="34"/>
  <c r="AC37" i="34" s="1"/>
  <c r="J11" i="33"/>
  <c r="W11" i="33" s="1"/>
  <c r="S28" i="34"/>
  <c r="I123" i="21"/>
  <c r="J123" i="21" s="1"/>
  <c r="K123" i="21" s="1"/>
  <c r="L123" i="21" s="1"/>
  <c r="M123" i="21"/>
  <c r="J42" i="21"/>
  <c r="AC42" i="21" s="1"/>
  <c r="H42" i="21"/>
  <c r="U42" i="21"/>
  <c r="J44" i="34"/>
  <c r="F44" i="34"/>
  <c r="AA44" i="34"/>
  <c r="J10" i="35"/>
  <c r="AC10" i="35" s="1"/>
  <c r="J14" i="21"/>
  <c r="W14" i="21" s="1"/>
  <c r="F14" i="21"/>
  <c r="S14" i="21" s="1"/>
  <c r="H14" i="21"/>
  <c r="U14" i="21"/>
  <c r="H28" i="21"/>
  <c r="AB28" i="21" s="1"/>
  <c r="F28" i="21"/>
  <c r="AA28" i="21"/>
  <c r="J28" i="21"/>
  <c r="H30" i="21"/>
  <c r="U30" i="21"/>
  <c r="F30" i="21"/>
  <c r="S30" i="21" s="1"/>
  <c r="J30" i="21"/>
  <c r="AC30" i="21" s="1"/>
  <c r="H44" i="21"/>
  <c r="U44" i="21"/>
  <c r="H46" i="21"/>
  <c r="U46" i="21"/>
  <c r="J46" i="21"/>
  <c r="F46" i="21"/>
  <c r="AA46" i="2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J31" i="21"/>
  <c r="AC31" i="21" s="1"/>
  <c r="F31" i="21"/>
  <c r="S31" i="21" s="1"/>
  <c r="F45" i="21"/>
  <c r="AA45" i="21" s="1"/>
  <c r="F27" i="33"/>
  <c r="AA27" i="33"/>
  <c r="J13" i="33"/>
  <c r="H13" i="33"/>
  <c r="U13" i="33" s="1"/>
  <c r="F13" i="33"/>
  <c r="AA13" i="33" s="1"/>
  <c r="S13" i="33"/>
  <c r="J29" i="33"/>
  <c r="H29" i="33"/>
  <c r="U29" i="33"/>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W46" i="34" s="1"/>
  <c r="H11" i="35"/>
  <c r="AB11" i="35" s="1"/>
  <c r="J11" i="35"/>
  <c r="W11" i="35" s="1"/>
  <c r="AC11" i="35"/>
  <c r="F11" i="35"/>
  <c r="J26" i="36"/>
  <c r="W26" i="36"/>
  <c r="H28" i="36"/>
  <c r="U28" i="36" s="1"/>
  <c r="H32" i="36"/>
  <c r="AB32" i="36" s="1"/>
  <c r="J32" i="36"/>
  <c r="W32" i="36" s="1"/>
  <c r="J11" i="36"/>
  <c r="AC11" i="36" s="1"/>
  <c r="H11" i="36"/>
  <c r="U11" i="36" s="1"/>
  <c r="F11" i="36"/>
  <c r="F13" i="36"/>
  <c r="S13" i="36" s="1"/>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H13" i="34"/>
  <c r="U13" i="34" s="1"/>
  <c r="J13" i="34"/>
  <c r="W13" i="34"/>
  <c r="F13" i="34"/>
  <c r="AA13" i="34" s="1"/>
  <c r="J29" i="34"/>
  <c r="F29" i="34"/>
  <c r="S29" i="34"/>
  <c r="H29" i="34"/>
  <c r="AB29" i="34" s="1"/>
  <c r="J31" i="34"/>
  <c r="AC31" i="34"/>
  <c r="H31" i="34"/>
  <c r="F31" i="34"/>
  <c r="S31" i="34"/>
  <c r="H45" i="34"/>
  <c r="U45" i="34" s="1"/>
  <c r="J45" i="34"/>
  <c r="W45" i="34" s="1"/>
  <c r="F45" i="34"/>
  <c r="S45" i="34" s="1"/>
  <c r="H47" i="34"/>
  <c r="U47" i="34"/>
  <c r="F47" i="34"/>
  <c r="S47" i="34" s="1"/>
  <c r="J47" i="34"/>
  <c r="AC47" i="34"/>
  <c r="F13" i="35"/>
  <c r="J13" i="35"/>
  <c r="AC13" i="35"/>
  <c r="H13" i="35"/>
  <c r="U13" i="35" s="1"/>
  <c r="J25" i="35"/>
  <c r="W25" i="35" s="1"/>
  <c r="F25" i="35"/>
  <c r="S25" i="35" s="1"/>
  <c r="H25" i="35"/>
  <c r="AB25" i="35"/>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U12" i="40" s="1"/>
  <c r="AB12" i="40"/>
  <c r="H30" i="40"/>
  <c r="AB30" i="40" s="1"/>
  <c r="F33" i="40"/>
  <c r="AA33" i="40"/>
  <c r="H33" i="40"/>
  <c r="U33" i="40" s="1"/>
  <c r="J35" i="40"/>
  <c r="W35" i="40" s="1"/>
  <c r="AC35" i="40"/>
  <c r="J37" i="40"/>
  <c r="AC37" i="40" s="1"/>
  <c r="H13" i="40"/>
  <c r="U13" i="40"/>
  <c r="J13" i="40"/>
  <c r="W13" i="40" s="1"/>
  <c r="F13" i="40"/>
  <c r="AA13" i="40"/>
  <c r="F14" i="37"/>
  <c r="S14" i="37" s="1"/>
  <c r="F27" i="37"/>
  <c r="AA27" i="37"/>
  <c r="H14" i="40"/>
  <c r="AB14" i="40" s="1"/>
  <c r="J14" i="40"/>
  <c r="W14" i="40" s="1"/>
  <c r="F14" i="40"/>
  <c r="AA14" i="40"/>
  <c r="J14" i="37"/>
  <c r="J27" i="37"/>
  <c r="AC27" i="37"/>
  <c r="AA44" i="33"/>
  <c r="AA14" i="33"/>
  <c r="J36" i="37"/>
  <c r="AC36" i="37"/>
  <c r="J10" i="36"/>
  <c r="AC10" i="36" s="1"/>
  <c r="AB30" i="21"/>
  <c r="AA14" i="37"/>
  <c r="W31" i="34"/>
  <c r="AB46" i="34"/>
  <c r="AA14" i="34"/>
  <c r="AB45" i="33"/>
  <c r="S44" i="34"/>
  <c r="F17" i="21"/>
  <c r="AA17" i="21" s="1"/>
  <c r="H17" i="21"/>
  <c r="AB17" i="21" s="1"/>
  <c r="F15" i="21"/>
  <c r="S15" i="21" s="1"/>
  <c r="J41" i="39"/>
  <c r="W41" i="39" s="1"/>
  <c r="W44" i="39"/>
  <c r="U36" i="39"/>
  <c r="G544" i="3"/>
  <c r="G536" i="3"/>
  <c r="G535" i="3"/>
  <c r="G528" i="3"/>
  <c r="G527" i="3"/>
  <c r="G514" i="3"/>
  <c r="G508" i="3"/>
  <c r="G500" i="3"/>
  <c r="G584" i="3"/>
  <c r="G580" i="3"/>
  <c r="G576" i="3"/>
  <c r="G572" i="3"/>
  <c r="G568" i="3"/>
  <c r="G564" i="3"/>
  <c r="G560" i="3"/>
  <c r="G550" i="3"/>
  <c r="BL584" i="3"/>
  <c r="BL580" i="3"/>
  <c r="BL576" i="3"/>
  <c r="BL572" i="3"/>
  <c r="BL568" i="3"/>
  <c r="BL564" i="3"/>
  <c r="BL560" i="3"/>
  <c r="BL526" i="3"/>
  <c r="BL582" i="3"/>
  <c r="BL578" i="3"/>
  <c r="BL574" i="3"/>
  <c r="BL570" i="3"/>
  <c r="BL566" i="3"/>
  <c r="BL562" i="3"/>
  <c r="BL556" i="3"/>
  <c r="G529" i="3"/>
  <c r="BL524"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22" i="3"/>
  <c r="BA583" i="3"/>
  <c r="BA581" i="3"/>
  <c r="BA579" i="3"/>
  <c r="BA577" i="3"/>
  <c r="BA575" i="3"/>
  <c r="BA573" i="3"/>
  <c r="BA571" i="3"/>
  <c r="BA569" i="3"/>
  <c r="BA567" i="3"/>
  <c r="BA565" i="3"/>
  <c r="BA563" i="3"/>
  <c r="AZ563" i="3" s="1"/>
  <c r="BA561" i="3"/>
  <c r="BA559" i="3"/>
  <c r="BA541" i="3"/>
  <c r="BA505"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BQ561" i="3"/>
  <c r="BL561" i="3"/>
  <c r="BQ559" i="3"/>
  <c r="BL559" i="3" s="1"/>
  <c r="AZ559" i="3" s="1"/>
  <c r="G559" i="3"/>
  <c r="G553" i="3"/>
  <c r="G545" i="3"/>
  <c r="G543" i="3"/>
  <c r="G537" i="3"/>
  <c r="BQ555" i="3"/>
  <c r="BQ553" i="3"/>
  <c r="BQ551" i="3"/>
  <c r="BQ549" i="3"/>
  <c r="BQ547" i="3"/>
  <c r="BQ545" i="3"/>
  <c r="BQ543" i="3"/>
  <c r="BQ541" i="3"/>
  <c r="BQ539" i="3"/>
  <c r="BQ537" i="3"/>
  <c r="BQ535" i="3"/>
  <c r="BQ533" i="3"/>
  <c r="BQ531" i="3"/>
  <c r="BQ529" i="3"/>
  <c r="BQ527" i="3"/>
  <c r="BQ525" i="3"/>
  <c r="BQ523" i="3"/>
  <c r="AC521" i="3"/>
  <c r="G521" i="3" s="1"/>
  <c r="BQ521" i="3"/>
  <c r="G515" i="3"/>
  <c r="G513" i="3"/>
  <c r="BQ519" i="3"/>
  <c r="BQ517" i="3"/>
  <c r="BQ515" i="3"/>
  <c r="BQ513" i="3"/>
  <c r="BQ511" i="3"/>
  <c r="AC509" i="3"/>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S39" i="33" s="1"/>
  <c r="E123" i="33"/>
  <c r="F42" i="33"/>
  <c r="AA42" i="33" s="1"/>
  <c r="H28" i="34"/>
  <c r="AB28" i="34" s="1"/>
  <c r="F14" i="36"/>
  <c r="AA14" i="36" s="1"/>
  <c r="F22" i="36"/>
  <c r="S22" i="36" s="1"/>
  <c r="F26" i="36"/>
  <c r="S26" i="36" s="1"/>
  <c r="H27" i="34"/>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s="1"/>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U39" i="37"/>
  <c r="U26" i="37"/>
  <c r="W47" i="34"/>
  <c r="AC36" i="34"/>
  <c r="AC31" i="33"/>
  <c r="AC45" i="33"/>
  <c r="W44" i="33"/>
  <c r="U19" i="21"/>
  <c r="AB38" i="21"/>
  <c r="F43" i="33"/>
  <c r="AA43" i="33" s="1"/>
  <c r="W15" i="34"/>
  <c r="AC15" i="34"/>
  <c r="G107" i="37"/>
  <c r="H107" i="37" s="1"/>
  <c r="I107" i="37" s="1"/>
  <c r="J107" i="37" s="1"/>
  <c r="K107" i="37" s="1"/>
  <c r="L107" i="37" s="1"/>
  <c r="M107" i="37" s="1"/>
  <c r="H37" i="21"/>
  <c r="U37" i="21" s="1"/>
  <c r="S42" i="21"/>
  <c r="H19" i="34"/>
  <c r="AB19" i="34" s="1"/>
  <c r="F36" i="35"/>
  <c r="J9" i="37"/>
  <c r="W9" i="37" s="1"/>
  <c r="H9" i="37"/>
  <c r="U9" i="37" s="1"/>
  <c r="F9" i="37"/>
  <c r="S9" i="37" s="1"/>
  <c r="J12" i="37"/>
  <c r="W12" i="37" s="1"/>
  <c r="H12" i="37"/>
  <c r="AB12" i="37" s="1"/>
  <c r="F12" i="37"/>
  <c r="S12" i="37" s="1"/>
  <c r="E71" i="37"/>
  <c r="F71" i="37" s="1"/>
  <c r="G71" i="37" s="1"/>
  <c r="F15" i="37"/>
  <c r="AA15" i="37" s="1"/>
  <c r="E94" i="37"/>
  <c r="F31" i="37"/>
  <c r="S31" i="37" s="1"/>
  <c r="F12" i="39"/>
  <c r="J42" i="39"/>
  <c r="AC42" i="39" s="1"/>
  <c r="H21" i="40"/>
  <c r="AB21" i="40" s="1"/>
  <c r="AC12" i="37"/>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AB33" i="40"/>
  <c r="W23" i="39"/>
  <c r="AC43" i="39"/>
  <c r="W43" i="39"/>
  <c r="U45" i="39"/>
  <c r="AB45" i="39"/>
  <c r="AB44" i="39"/>
  <c r="U44" i="39"/>
  <c r="H37" i="39"/>
  <c r="U37" i="39" s="1"/>
  <c r="AC37" i="39"/>
  <c r="W37" i="39"/>
  <c r="H25" i="39"/>
  <c r="AB25" i="39" s="1"/>
  <c r="J25" i="39"/>
  <c r="F25" i="39"/>
  <c r="AA25" i="39" s="1"/>
  <c r="F15" i="39"/>
  <c r="H15" i="39"/>
  <c r="U15" i="39" s="1"/>
  <c r="J15" i="39"/>
  <c r="W15" i="39" s="1"/>
  <c r="H41" i="39"/>
  <c r="AB41" i="39" s="1"/>
  <c r="W27" i="39"/>
  <c r="AB34"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J11" i="39"/>
  <c r="F11" i="39"/>
  <c r="S11" i="39" s="1"/>
  <c r="AA11" i="39"/>
  <c r="G4" i="4"/>
  <c r="I4" i="4"/>
  <c r="F61" i="43"/>
  <c r="H64" i="43" s="1"/>
  <c r="G64" i="43" s="1"/>
  <c r="M64" i="43" s="1"/>
  <c r="N64" i="43" s="1"/>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BL176" i="3"/>
  <c r="G177" i="3"/>
  <c r="BA179" i="3"/>
  <c r="BL180" i="3"/>
  <c r="G181" i="3"/>
  <c r="BA183" i="3"/>
  <c r="BL184" i="3"/>
  <c r="AZ184" i="3" s="1"/>
  <c r="G185" i="3"/>
  <c r="BA187" i="3"/>
  <c r="AZ187" i="3" s="1"/>
  <c r="BL188" i="3"/>
  <c r="AZ188" i="3" s="1"/>
  <c r="G189" i="3"/>
  <c r="BA191" i="3"/>
  <c r="BL192" i="3"/>
  <c r="AZ192" i="3" s="1"/>
  <c r="G193" i="3"/>
  <c r="BA195" i="3"/>
  <c r="AZ195" i="3" s="1"/>
  <c r="BL196" i="3"/>
  <c r="G197" i="3"/>
  <c r="BA199" i="3"/>
  <c r="AZ199" i="3" s="1"/>
  <c r="BL200" i="3"/>
  <c r="AZ200" i="3" s="1"/>
  <c r="G201" i="3"/>
  <c r="BA203" i="3"/>
  <c r="BL204" i="3"/>
  <c r="AZ144" i="3"/>
  <c r="AZ176" i="3"/>
  <c r="AZ120" i="3"/>
  <c r="G534" i="3"/>
  <c r="G512" i="3"/>
  <c r="G506" i="3"/>
  <c r="G498"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s="1"/>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G375" i="3"/>
  <c r="BA377" i="3"/>
  <c r="AZ377" i="3" s="1"/>
  <c r="AZ233" i="3"/>
  <c r="AZ249" i="3"/>
  <c r="BA379" i="3"/>
  <c r="BL380" i="3"/>
  <c r="G381" i="3"/>
  <c r="BA383" i="3"/>
  <c r="AZ383" i="3" s="1"/>
  <c r="BL384" i="3"/>
  <c r="G385" i="3"/>
  <c r="BA387" i="3"/>
  <c r="BL388" i="3"/>
  <c r="G389" i="3"/>
  <c r="BA391" i="3"/>
  <c r="AZ391" i="3" s="1"/>
  <c r="BL392" i="3"/>
  <c r="G393" i="3"/>
  <c r="AZ275" i="3"/>
  <c r="AZ341" i="3"/>
  <c r="G520" i="3"/>
  <c r="BG5" i="3"/>
  <c r="G17" i="3"/>
  <c r="BA17" i="3"/>
  <c r="BA15" i="3"/>
  <c r="AZ380" i="3"/>
  <c r="AZ392" i="3"/>
  <c r="G509" i="3"/>
  <c r="U36" i="40"/>
  <c r="F83" i="43"/>
  <c r="H85" i="43" s="1"/>
  <c r="F50" i="43"/>
  <c r="H54" i="43" s="1"/>
  <c r="F72" i="43"/>
  <c r="H75" i="43" s="1"/>
  <c r="U17" i="39"/>
  <c r="S14" i="35"/>
  <c r="U43" i="21"/>
  <c r="U35" i="21"/>
  <c r="AC35" i="21"/>
  <c r="U13" i="37"/>
  <c r="AA12" i="40"/>
  <c r="J37" i="33"/>
  <c r="W37" i="33" s="1"/>
  <c r="AC17" i="34"/>
  <c r="F106" i="33"/>
  <c r="G106" i="33" s="1"/>
  <c r="H106" i="33" s="1"/>
  <c r="I106" i="33" s="1"/>
  <c r="J106" i="33" s="1"/>
  <c r="K106" i="33" s="1"/>
  <c r="L106" i="33" s="1"/>
  <c r="M106" i="33" s="1"/>
  <c r="J34" i="33"/>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35" i="3"/>
  <c r="AZ251" i="3"/>
  <c r="AZ110" i="3"/>
  <c r="F23" i="39"/>
  <c r="AA23" i="39" s="1"/>
  <c r="H27" i="36"/>
  <c r="U27" i="36" s="1"/>
  <c r="F27" i="36"/>
  <c r="AA27" i="36" s="1"/>
  <c r="H33" i="34"/>
  <c r="U33" i="34" s="1"/>
  <c r="F32" i="37"/>
  <c r="S32" i="37" s="1"/>
  <c r="F20" i="36"/>
  <c r="AA20" i="36" s="1"/>
  <c r="J33" i="34"/>
  <c r="AC33" i="34" s="1"/>
  <c r="H23" i="39"/>
  <c r="U23" i="39" s="1"/>
  <c r="D48" i="9"/>
  <c r="M52" i="9" s="1"/>
  <c r="K9" i="1"/>
  <c r="M9" i="1" s="1"/>
  <c r="AC26" i="33"/>
  <c r="W26" i="33"/>
  <c r="W27" i="34"/>
  <c r="AC27" i="34"/>
  <c r="AB33" i="36"/>
  <c r="U33" i="36"/>
  <c r="AC12" i="39"/>
  <c r="W12" i="39"/>
  <c r="AC39" i="40"/>
  <c r="W39" i="40"/>
  <c r="AZ465" i="3"/>
  <c r="W12" i="33"/>
  <c r="AC12" i="33"/>
  <c r="AA32" i="36"/>
  <c r="S32" i="36"/>
  <c r="BL14" i="3"/>
  <c r="U30" i="33"/>
  <c r="AC13" i="34"/>
  <c r="AA47" i="34"/>
  <c r="W28" i="37"/>
  <c r="S19" i="39"/>
  <c r="F12" i="33"/>
  <c r="H12" i="39"/>
  <c r="F39" i="40"/>
  <c r="BA14" i="3"/>
  <c r="AZ14" i="3" s="1"/>
  <c r="AZ367" i="3"/>
  <c r="AZ189" i="3"/>
  <c r="B12" i="1"/>
  <c r="E12" i="1" s="1"/>
  <c r="B10" i="1"/>
  <c r="E10" i="1" s="1"/>
  <c r="K12" i="1"/>
  <c r="M12" i="1" s="1"/>
  <c r="S13" i="1"/>
  <c r="AR13" i="1" s="1"/>
  <c r="R13" i="1"/>
  <c r="C42" i="1"/>
  <c r="C24" i="12" s="1"/>
  <c r="AB37" i="40"/>
  <c r="S35" i="40"/>
  <c r="U35" i="40"/>
  <c r="AC36" i="40"/>
  <c r="W38" i="40"/>
  <c r="AA32" i="40"/>
  <c r="S17" i="40"/>
  <c r="S23" i="40"/>
  <c r="AC17" i="40"/>
  <c r="S30" i="40"/>
  <c r="AA19" i="40"/>
  <c r="U21" i="40"/>
  <c r="AB19" i="40"/>
  <c r="S37" i="39"/>
  <c r="F32" i="39"/>
  <c r="F106" i="39"/>
  <c r="G106" i="39" s="1"/>
  <c r="H106" i="39" s="1"/>
  <c r="I106" i="39" s="1"/>
  <c r="J106" i="39" s="1"/>
  <c r="K106" i="39" s="1"/>
  <c r="L106" i="39" s="1"/>
  <c r="M106" i="39" s="1"/>
  <c r="U25" i="39"/>
  <c r="AB27" i="39"/>
  <c r="U31" i="39"/>
  <c r="J21" i="39"/>
  <c r="W21" i="39" s="1"/>
  <c r="F21" i="39"/>
  <c r="AA21" i="39" s="1"/>
  <c r="G94" i="39"/>
  <c r="H21" i="39"/>
  <c r="W19" i="39"/>
  <c r="U19" i="39"/>
  <c r="S17" i="39"/>
  <c r="S9" i="39"/>
  <c r="U14" i="39"/>
  <c r="S23" i="36"/>
  <c r="U26" i="36"/>
  <c r="S33" i="36"/>
  <c r="AA26" i="36"/>
  <c r="AC26" i="36"/>
  <c r="AA22" i="36"/>
  <c r="W14" i="36"/>
  <c r="AB14" i="36"/>
  <c r="U22" i="36"/>
  <c r="S16" i="36"/>
  <c r="AA25" i="36"/>
  <c r="S24" i="36"/>
  <c r="U23" i="36"/>
  <c r="AB20" i="36"/>
  <c r="U16" i="36"/>
  <c r="S14" i="36"/>
  <c r="AA25" i="35"/>
  <c r="W24" i="35"/>
  <c r="AB13" i="35"/>
  <c r="U29" i="35"/>
  <c r="U28" i="35"/>
  <c r="AB27" i="35"/>
  <c r="U36" i="35"/>
  <c r="U32" i="35"/>
  <c r="AA33" i="35"/>
  <c r="AC30" i="35"/>
  <c r="S32" i="35"/>
  <c r="S28" i="35"/>
  <c r="AB16" i="35"/>
  <c r="U22" i="35"/>
  <c r="S20"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F75" i="37"/>
  <c r="G75" i="37" s="1"/>
  <c r="F19" i="37"/>
  <c r="S19" i="37" s="1"/>
  <c r="F79" i="37"/>
  <c r="G79" i="37" s="1"/>
  <c r="F23" i="37"/>
  <c r="S23" i="37" s="1"/>
  <c r="U23" i="37"/>
  <c r="U15" i="37"/>
  <c r="AC13" i="37"/>
  <c r="AA13" i="37"/>
  <c r="H10" i="37"/>
  <c r="AB10" i="37" s="1"/>
  <c r="F63" i="37"/>
  <c r="F11" i="37"/>
  <c r="S11" i="37" s="1"/>
  <c r="W25" i="34"/>
  <c r="AB8" i="34"/>
  <c r="AA33" i="34"/>
  <c r="U43" i="34"/>
  <c r="AC42" i="34"/>
  <c r="AB35" i="34"/>
  <c r="U39" i="34"/>
  <c r="S43" i="34"/>
  <c r="AB41" i="34"/>
  <c r="AA45" i="34"/>
  <c r="AA25"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A43" i="21"/>
  <c r="S39" i="21"/>
  <c r="AA38" i="21"/>
  <c r="AC40" i="21"/>
  <c r="J15" i="21"/>
  <c r="W15" i="21" s="1"/>
  <c r="F77" i="21"/>
  <c r="G77" i="21" s="1"/>
  <c r="F23" i="21"/>
  <c r="S23" i="21" s="1"/>
  <c r="E85" i="21"/>
  <c r="AA14" i="21"/>
  <c r="D120" i="9"/>
  <c r="D121" i="9" s="1"/>
  <c r="D7" i="52" s="1"/>
  <c r="BL17" i="3"/>
  <c r="AZ17" i="3"/>
  <c r="J56" i="9"/>
  <c r="J57" i="9" s="1"/>
  <c r="J59" i="9" s="1"/>
  <c r="J61" i="9" s="1"/>
  <c r="U29" i="34"/>
  <c r="E5" i="6"/>
  <c r="E32" i="6"/>
  <c r="K1" i="12"/>
  <c r="E19" i="69"/>
  <c r="E19" i="68"/>
  <c r="E19" i="11"/>
  <c r="G22" i="68"/>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S37" i="40"/>
  <c r="AB28" i="40"/>
  <c r="W28" i="40"/>
  <c r="W34" i="40"/>
  <c r="W19" i="40"/>
  <c r="W27" i="40"/>
  <c r="S36" i="40"/>
  <c r="W37" i="40"/>
  <c r="AC14" i="40"/>
  <c r="S13" i="40"/>
  <c r="S33" i="40"/>
  <c r="AA15" i="40"/>
  <c r="U11" i="40"/>
  <c r="S31" i="40"/>
  <c r="AB13" i="40"/>
  <c r="U15" i="40"/>
  <c r="AB17" i="40"/>
  <c r="U8" i="40"/>
  <c r="S8" i="40"/>
  <c r="AC41" i="39"/>
  <c r="U42" i="39"/>
  <c r="U41" i="39"/>
  <c r="W25" i="39"/>
  <c r="AC25" i="39"/>
  <c r="S14" i="39"/>
  <c r="AA14" i="39"/>
  <c r="U43" i="39"/>
  <c r="AB43" i="39"/>
  <c r="AB11" i="39"/>
  <c r="U11" i="39"/>
  <c r="AA27" i="39"/>
  <c r="S27" i="39"/>
  <c r="W17" i="39"/>
  <c r="AC17" i="39"/>
  <c r="W31" i="39"/>
  <c r="AC31" i="39"/>
  <c r="S23" i="39"/>
  <c r="AA45" i="39"/>
  <c r="AB39" i="39"/>
  <c r="W34" i="39"/>
  <c r="U38" i="39"/>
  <c r="S8" i="39"/>
  <c r="AC25"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U19" i="37"/>
  <c r="AA29" i="37"/>
  <c r="U8" i="37"/>
  <c r="AA40" i="34"/>
  <c r="AB40" i="34"/>
  <c r="U19" i="34"/>
  <c r="W19" i="34"/>
  <c r="AB33" i="34"/>
  <c r="AC45" i="34"/>
  <c r="AA31" i="34"/>
  <c r="AA30" i="34"/>
  <c r="AB45" i="34"/>
  <c r="AB47" i="34"/>
  <c r="U25" i="34"/>
  <c r="AB36" i="34"/>
  <c r="W33" i="34"/>
  <c r="AC14" i="34"/>
  <c r="AC29" i="34"/>
  <c r="W29"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AA32" i="39"/>
  <c r="S32" i="39"/>
  <c r="AB21" i="39"/>
  <c r="U21" i="39"/>
  <c r="AC17" i="37"/>
  <c r="S17" i="37"/>
  <c r="J19" i="37"/>
  <c r="W19" i="37" s="1"/>
  <c r="AA19" i="37"/>
  <c r="AA23" i="37"/>
  <c r="J23" i="37"/>
  <c r="J10" i="37"/>
  <c r="W10" i="37" s="1"/>
  <c r="G63" i="37"/>
  <c r="H63" i="37" s="1"/>
  <c r="I63" i="37" s="1"/>
  <c r="H11" i="37"/>
  <c r="AB11" i="37" s="1"/>
  <c r="G70" i="34"/>
  <c r="H11" i="34"/>
  <c r="U11" i="34" s="1"/>
  <c r="J10" i="34"/>
  <c r="AC10" i="34" s="1"/>
  <c r="AB41" i="33"/>
  <c r="U41" i="33"/>
  <c r="W35" i="33"/>
  <c r="AC35" i="33"/>
  <c r="J36" i="33"/>
  <c r="W36" i="33" s="1"/>
  <c r="H36" i="33"/>
  <c r="U36" i="33" s="1"/>
  <c r="S36" i="33"/>
  <c r="AC32" i="33"/>
  <c r="W32" i="33"/>
  <c r="U27" i="33"/>
  <c r="AB27" i="33"/>
  <c r="G91" i="33"/>
  <c r="H91" i="33" s="1"/>
  <c r="I91" i="33" s="1"/>
  <c r="J91" i="33" s="1"/>
  <c r="K91" i="33" s="1"/>
  <c r="L91" i="33" s="1"/>
  <c r="M91" i="33" s="1"/>
  <c r="J27" i="33"/>
  <c r="AB25" i="33"/>
  <c r="S25" i="33"/>
  <c r="AA25" i="33"/>
  <c r="J25" i="33"/>
  <c r="AC25" i="33" s="1"/>
  <c r="U23" i="33"/>
  <c r="F23" i="33"/>
  <c r="G85" i="33"/>
  <c r="AA19" i="33"/>
  <c r="H19" i="33"/>
  <c r="U19" i="33" s="1"/>
  <c r="G81" i="33"/>
  <c r="H17" i="33"/>
  <c r="U17" i="33" s="1"/>
  <c r="F17" i="33"/>
  <c r="S17" i="33" s="1"/>
  <c r="W17" i="33"/>
  <c r="AC17" i="33"/>
  <c r="J23" i="21"/>
  <c r="F85" i="21"/>
  <c r="G85" i="21" s="1"/>
  <c r="H23" i="21"/>
  <c r="S13" i="21"/>
  <c r="AP7" i="1"/>
  <c r="AB9" i="21"/>
  <c r="U9" i="21"/>
  <c r="AA32" i="21"/>
  <c r="W9" i="21"/>
  <c r="AC9" i="21"/>
  <c r="AB32" i="21"/>
  <c r="U32" i="39"/>
  <c r="W23" i="37"/>
  <c r="AC23" i="37"/>
  <c r="J63" i="37"/>
  <c r="K63" i="37" s="1"/>
  <c r="L63" i="37" s="1"/>
  <c r="M63" i="37" s="1"/>
  <c r="J11" i="37"/>
  <c r="AC11" i="37" s="1"/>
  <c r="H70" i="34"/>
  <c r="I70" i="34" s="1"/>
  <c r="J70" i="34" s="1"/>
  <c r="K70" i="34" s="1"/>
  <c r="L70" i="34" s="1"/>
  <c r="M70" i="34" s="1"/>
  <c r="J11" i="34"/>
  <c r="W11" i="34" s="1"/>
  <c r="W27" i="33"/>
  <c r="AC27" i="33"/>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8"/>
  <c r="F7" i="15"/>
  <c r="F6" i="73"/>
  <c r="B10" i="76"/>
  <c r="AO13" i="1"/>
  <c r="F3" i="73"/>
  <c r="E2" i="69"/>
  <c r="E11" i="76"/>
  <c r="L47" i="15"/>
  <c r="E8" i="76"/>
  <c r="F42" i="15"/>
  <c r="M26" i="15"/>
  <c r="F43" i="15"/>
  <c r="F9" i="15"/>
  <c r="F8" i="15"/>
  <c r="F4" i="73"/>
  <c r="M29" i="15"/>
  <c r="M24" i="15"/>
  <c r="B9" i="76"/>
  <c r="F16" i="15"/>
  <c r="B8" i="76"/>
  <c r="F6" i="15"/>
  <c r="F5" i="73"/>
  <c r="M23" i="15"/>
  <c r="C76" i="15"/>
  <c r="E13" i="76"/>
  <c r="F20" i="31"/>
  <c r="E7" i="76"/>
  <c r="B7" i="76"/>
  <c r="E12" i="76"/>
  <c r="D6" i="73"/>
  <c r="E9" i="76"/>
  <c r="B12" i="76"/>
  <c r="F7" i="73"/>
  <c r="M22" i="15"/>
  <c r="E10" i="76"/>
  <c r="M8" i="15"/>
  <c r="B13" i="76"/>
  <c r="L48" i="15"/>
  <c r="B11" i="76"/>
  <c r="F26" i="15"/>
  <c r="F13" i="15"/>
  <c r="G22" i="69" l="1"/>
  <c r="G22" i="11"/>
  <c r="E1" i="73"/>
  <c r="G26" i="12"/>
  <c r="D55" i="43"/>
  <c r="D54" i="43"/>
  <c r="D53" i="43"/>
  <c r="D50" i="43"/>
  <c r="K64" i="43"/>
  <c r="J64" i="43" s="1"/>
  <c r="C18" i="9"/>
  <c r="D18" i="9" s="1"/>
  <c r="A4" i="52"/>
  <c r="B41" i="72" s="1"/>
  <c r="A118" i="9"/>
  <c r="A2" i="9"/>
  <c r="F34" i="15"/>
  <c r="F62" i="15" s="1"/>
  <c r="M20" i="67"/>
  <c r="F34" i="67"/>
  <c r="F62" i="67" s="1"/>
  <c r="B41" i="1"/>
  <c r="D93" i="9"/>
  <c r="D68" i="9"/>
  <c r="F32" i="67"/>
  <c r="F60" i="67" s="1"/>
  <c r="F28" i="15"/>
  <c r="C28" i="15" s="1"/>
  <c r="M18" i="67"/>
  <c r="M18" i="15"/>
  <c r="F31" i="12"/>
  <c r="F30" i="69"/>
  <c r="F48" i="69" s="1"/>
  <c r="F28" i="67"/>
  <c r="C40" i="68"/>
  <c r="C21" i="68"/>
  <c r="G1" i="67"/>
  <c r="G1" i="68"/>
  <c r="G1" i="69"/>
  <c r="BS5" i="3"/>
  <c r="B75" i="43"/>
  <c r="AZ497" i="3"/>
  <c r="AC40" i="37"/>
  <c r="W40" i="37"/>
  <c r="BA550" i="3"/>
  <c r="BA543" i="3"/>
  <c r="BL538" i="3"/>
  <c r="AZ538" i="3" s="1"/>
  <c r="BL536" i="3"/>
  <c r="BA535" i="3"/>
  <c r="BA531" i="3"/>
  <c r="BA528" i="3"/>
  <c r="AZ528" i="3" s="1"/>
  <c r="BA526" i="3"/>
  <c r="AZ526" i="3" s="1"/>
  <c r="BL525" i="3"/>
  <c r="AZ525" i="3" s="1"/>
  <c r="BL518" i="3"/>
  <c r="BA518" i="3"/>
  <c r="AZ518" i="3" s="1"/>
  <c r="BL510" i="3"/>
  <c r="AZ510" i="3" s="1"/>
  <c r="BA509" i="3"/>
  <c r="AZ509" i="3" s="1"/>
  <c r="BA507" i="3"/>
  <c r="BA506" i="3"/>
  <c r="AZ506" i="3" s="1"/>
  <c r="BA502" i="3"/>
  <c r="BA501" i="3"/>
  <c r="AZ501" i="3" s="1"/>
  <c r="BL500" i="3"/>
  <c r="BA500" i="3"/>
  <c r="AZ500" i="3" s="1"/>
  <c r="BA499" i="3"/>
  <c r="AZ499" i="3" s="1"/>
  <c r="BA495" i="3"/>
  <c r="AZ495" i="3" s="1"/>
  <c r="BM5" i="3"/>
  <c r="BL494" i="3"/>
  <c r="BA493" i="3"/>
  <c r="AZ493" i="3" s="1"/>
  <c r="BC5" i="3"/>
  <c r="AB36" i="33"/>
  <c r="W32" i="39"/>
  <c r="AB45" i="21"/>
  <c r="AA23" i="21"/>
  <c r="S21" i="39"/>
  <c r="F54" i="9"/>
  <c r="F32" i="15"/>
  <c r="F60" i="15" s="1"/>
  <c r="F52" i="9"/>
  <c r="F30" i="68"/>
  <c r="F48" i="68" s="1"/>
  <c r="S27" i="21"/>
  <c r="AC15" i="21"/>
  <c r="AC46" i="34"/>
  <c r="AC32" i="34"/>
  <c r="S20" i="36"/>
  <c r="AA39" i="39"/>
  <c r="AB31" i="40"/>
  <c r="U28" i="34"/>
  <c r="W41" i="34"/>
  <c r="AC15" i="37"/>
  <c r="S15" i="37"/>
  <c r="AZ124" i="3"/>
  <c r="AZ376" i="3"/>
  <c r="W11" i="39"/>
  <c r="AC11" i="39"/>
  <c r="AB46" i="33"/>
  <c r="U46" i="33"/>
  <c r="F9" i="33"/>
  <c r="AA9" i="33" s="1"/>
  <c r="J9" i="33"/>
  <c r="H9" i="33"/>
  <c r="H28" i="33"/>
  <c r="J28" i="33"/>
  <c r="H13" i="36"/>
  <c r="J13" i="36"/>
  <c r="AC13" i="36" s="1"/>
  <c r="AC31" i="37"/>
  <c r="W31" i="37"/>
  <c r="AC8" i="39"/>
  <c r="W8" i="39"/>
  <c r="AA44" i="39"/>
  <c r="S44" i="39"/>
  <c r="F13" i="39"/>
  <c r="J13" i="39"/>
  <c r="H13" i="39"/>
  <c r="AB15" i="21"/>
  <c r="S27" i="40"/>
  <c r="AA27" i="40"/>
  <c r="U23" i="34"/>
  <c r="AB23" i="34"/>
  <c r="BL555" i="3"/>
  <c r="BL554" i="3"/>
  <c r="BA551" i="3"/>
  <c r="BA546" i="3"/>
  <c r="AZ546" i="3" s="1"/>
  <c r="BA545" i="3"/>
  <c r="BA542" i="3"/>
  <c r="AZ542" i="3" s="1"/>
  <c r="BL541" i="3"/>
  <c r="AZ541" i="3" s="1"/>
  <c r="BA537" i="3"/>
  <c r="AZ537" i="3" s="1"/>
  <c r="BA536" i="3"/>
  <c r="AZ536" i="3" s="1"/>
  <c r="AZ533" i="3"/>
  <c r="BA524" i="3"/>
  <c r="AZ524" i="3" s="1"/>
  <c r="BL522" i="3"/>
  <c r="AZ522" i="3" s="1"/>
  <c r="BA519" i="3"/>
  <c r="BA508" i="3"/>
  <c r="AZ508" i="3" s="1"/>
  <c r="BL505" i="3"/>
  <c r="AZ505" i="3" s="1"/>
  <c r="S35" i="21"/>
  <c r="AA36" i="21"/>
  <c r="AB39" i="21"/>
  <c r="W34" i="33"/>
  <c r="AC34" i="33"/>
  <c r="W37" i="37"/>
  <c r="BP5" i="3"/>
  <c r="AZ384" i="3"/>
  <c r="AZ379" i="3"/>
  <c r="AZ123" i="3"/>
  <c r="AB37" i="39"/>
  <c r="H5" i="3"/>
  <c r="S36" i="35"/>
  <c r="AA36" i="35"/>
  <c r="BL519" i="3"/>
  <c r="U26" i="33"/>
  <c r="AB26" i="33"/>
  <c r="W44" i="34"/>
  <c r="AC44" i="34"/>
  <c r="S12" i="36"/>
  <c r="AA12" i="36"/>
  <c r="W15" i="40"/>
  <c r="AC15" i="40"/>
  <c r="BA587" i="3"/>
  <c r="BA586" i="3"/>
  <c r="BA585" i="3"/>
  <c r="AZ585" i="3" s="1"/>
  <c r="AB19" i="33"/>
  <c r="AB12" i="39"/>
  <c r="U12" i="39"/>
  <c r="AB27" i="34"/>
  <c r="U27" i="34"/>
  <c r="BA554" i="3"/>
  <c r="AZ554" i="3" s="1"/>
  <c r="BL551" i="3"/>
  <c r="BL540" i="3"/>
  <c r="AZ540" i="3" s="1"/>
  <c r="BA540" i="3"/>
  <c r="AZ520" i="3"/>
  <c r="BL512" i="3"/>
  <c r="BA512" i="3"/>
  <c r="AZ512" i="3" s="1"/>
  <c r="BA511" i="3"/>
  <c r="BA503" i="3"/>
  <c r="AZ503" i="3" s="1"/>
  <c r="AZ502" i="3"/>
  <c r="BJ5" i="3"/>
  <c r="BB5" i="3"/>
  <c r="E14" i="6" s="1"/>
  <c r="E63" i="39" s="1"/>
  <c r="BA498" i="3"/>
  <c r="AZ498" i="3" s="1"/>
  <c r="BL497" i="3"/>
  <c r="BN5" i="3"/>
  <c r="G29" i="6" s="1"/>
  <c r="BL496" i="3"/>
  <c r="BA496" i="3"/>
  <c r="AZ496" i="3" s="1"/>
  <c r="BE5" i="3"/>
  <c r="BK5" i="3"/>
  <c r="S37" i="21"/>
  <c r="D6" i="52"/>
  <c r="AA31" i="37"/>
  <c r="U32" i="36"/>
  <c r="AA32" i="37"/>
  <c r="W39" i="34"/>
  <c r="AC39" i="34"/>
  <c r="S34" i="33"/>
  <c r="AA34" i="33"/>
  <c r="U27" i="40"/>
  <c r="AB27" i="40"/>
  <c r="AC5" i="3"/>
  <c r="BO5" i="3"/>
  <c r="AZ357" i="3"/>
  <c r="AA15" i="39"/>
  <c r="S15" i="39"/>
  <c r="S12" i="39"/>
  <c r="AA12" i="39"/>
  <c r="AA39" i="33"/>
  <c r="AC28" i="34"/>
  <c r="BL531" i="3"/>
  <c r="AZ531" i="3" s="1"/>
  <c r="AA45" i="33"/>
  <c r="S45" i="33"/>
  <c r="W28" i="21"/>
  <c r="AC28" i="21"/>
  <c r="AB40" i="39"/>
  <c r="U40" i="39"/>
  <c r="AB34" i="21"/>
  <c r="U34" i="21"/>
  <c r="AA11" i="36"/>
  <c r="S11" i="36"/>
  <c r="S11" i="35"/>
  <c r="AA11" i="35"/>
  <c r="AA28" i="40"/>
  <c r="S28" i="40"/>
  <c r="BL548" i="3"/>
  <c r="BA548" i="3"/>
  <c r="BA547" i="3"/>
  <c r="BA532" i="3"/>
  <c r="AZ532" i="3" s="1"/>
  <c r="AZ529" i="3"/>
  <c r="BA517" i="3"/>
  <c r="BL516" i="3"/>
  <c r="BA516" i="3"/>
  <c r="BL514" i="3"/>
  <c r="AZ514" i="3" s="1"/>
  <c r="BA513" i="3"/>
  <c r="AZ513" i="3" s="1"/>
  <c r="BA504" i="3"/>
  <c r="AZ504" i="3" s="1"/>
  <c r="BT5" i="3"/>
  <c r="BD5" i="3"/>
  <c r="BA494" i="3"/>
  <c r="AZ494" i="3" s="1"/>
  <c r="BL503" i="3"/>
  <c r="BL515" i="3"/>
  <c r="AZ515" i="3" s="1"/>
  <c r="BL523" i="3"/>
  <c r="AZ523" i="3" s="1"/>
  <c r="BL527" i="3"/>
  <c r="AZ527" i="3" s="1"/>
  <c r="BL547" i="3"/>
  <c r="AZ547" i="3" s="1"/>
  <c r="AZ561" i="3"/>
  <c r="AZ569" i="3"/>
  <c r="AZ571" i="3"/>
  <c r="AZ579" i="3"/>
  <c r="BL585" i="3"/>
  <c r="U12" i="35"/>
  <c r="AB12" i="35"/>
  <c r="J23" i="35"/>
  <c r="H23" i="35"/>
  <c r="H34" i="36"/>
  <c r="F34" i="36"/>
  <c r="U41" i="21"/>
  <c r="AB41" i="21"/>
  <c r="AB17" i="37"/>
  <c r="S43" i="39"/>
  <c r="AZ387" i="3"/>
  <c r="AZ362" i="3"/>
  <c r="AZ338" i="3"/>
  <c r="AZ390" i="3"/>
  <c r="AZ371" i="3"/>
  <c r="AZ351" i="3"/>
  <c r="AZ336" i="3"/>
  <c r="AZ305" i="3"/>
  <c r="AZ204" i="3"/>
  <c r="AZ360" i="3"/>
  <c r="BL511" i="3"/>
  <c r="AZ511" i="3" s="1"/>
  <c r="BL539" i="3"/>
  <c r="AZ539" i="3" s="1"/>
  <c r="BL543" i="3"/>
  <c r="BL553" i="3"/>
  <c r="AZ553" i="3" s="1"/>
  <c r="AZ564" i="3"/>
  <c r="AZ580" i="3"/>
  <c r="J44" i="21"/>
  <c r="AB17" i="34"/>
  <c r="U34" i="34"/>
  <c r="B101" i="43"/>
  <c r="B79" i="43"/>
  <c r="F12" i="35"/>
  <c r="J12" i="35"/>
  <c r="H35" i="39"/>
  <c r="F35" i="39"/>
  <c r="AZ349" i="3"/>
  <c r="AZ318" i="3"/>
  <c r="AZ304" i="3"/>
  <c r="AZ203" i="3"/>
  <c r="AZ306" i="3"/>
  <c r="U11" i="33"/>
  <c r="BL535" i="3"/>
  <c r="AZ535" i="3" s="1"/>
  <c r="AZ577" i="3"/>
  <c r="AZ557" i="3"/>
  <c r="AZ575" i="3"/>
  <c r="AZ566" i="3"/>
  <c r="AZ582" i="3"/>
  <c r="H29" i="21"/>
  <c r="U40" i="33"/>
  <c r="F23" i="35"/>
  <c r="J34" i="36"/>
  <c r="W34" i="36" s="1"/>
  <c r="C15" i="39"/>
  <c r="S27" i="35"/>
  <c r="F39" i="37"/>
  <c r="S39" i="37" s="1"/>
  <c r="G585" i="3"/>
  <c r="BL587" i="3"/>
  <c r="BL586" i="3"/>
  <c r="AB33" i="33"/>
  <c r="U33" i="33"/>
  <c r="J24" i="36"/>
  <c r="H24" i="36"/>
  <c r="J9" i="36"/>
  <c r="F38" i="40"/>
  <c r="W31" i="35"/>
  <c r="AC31" i="35"/>
  <c r="BL550" i="3"/>
  <c r="AZ444" i="3"/>
  <c r="G552" i="3"/>
  <c r="AZ448" i="3"/>
  <c r="AZ458" i="3"/>
  <c r="AZ462" i="3"/>
  <c r="P65" i="71"/>
  <c r="P66" i="71"/>
  <c r="B27" i="71"/>
  <c r="B26" i="71" s="1"/>
  <c r="S28" i="71"/>
  <c r="Y29" i="71"/>
  <c r="Z29" i="71" s="1"/>
  <c r="C30" i="71"/>
  <c r="X28" i="71"/>
  <c r="X31" i="71"/>
  <c r="C55" i="71"/>
  <c r="D54" i="71"/>
  <c r="B66" i="71"/>
  <c r="N67" i="71"/>
  <c r="C67" i="71"/>
  <c r="T68" i="71"/>
  <c r="O68" i="71"/>
  <c r="D68" i="71"/>
  <c r="F79" i="71"/>
  <c r="F78" i="71" s="1"/>
  <c r="V80" i="71"/>
  <c r="Y27" i="71"/>
  <c r="Z27" i="71" s="1"/>
  <c r="Y26" i="71"/>
  <c r="Z26" i="71" s="1"/>
  <c r="Y25" i="71"/>
  <c r="Z25" i="71" s="1"/>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AZ438" i="3" s="1"/>
  <c r="G443" i="3"/>
  <c r="BA446" i="3"/>
  <c r="BA450" i="3"/>
  <c r="BA453" i="3"/>
  <c r="AZ453" i="3" s="1"/>
  <c r="BA455" i="3"/>
  <c r="AZ455" i="3" s="1"/>
  <c r="BL457" i="3"/>
  <c r="BL460" i="3"/>
  <c r="BL461" i="3"/>
  <c r="BL463" i="3"/>
  <c r="AZ469" i="3"/>
  <c r="BL471" i="3"/>
  <c r="AZ480" i="3"/>
  <c r="BA481" i="3"/>
  <c r="BA332" i="3"/>
  <c r="BL332" i="3"/>
  <c r="G339" i="3"/>
  <c r="BA348" i="3"/>
  <c r="BA350" i="3"/>
  <c r="AZ350" i="3" s="1"/>
  <c r="BA385" i="3"/>
  <c r="BA386" i="3"/>
  <c r="AZ386" i="3" s="1"/>
  <c r="BL211" i="3"/>
  <c r="BL212" i="3"/>
  <c r="BA218" i="3"/>
  <c r="BL218" i="3"/>
  <c r="BL222" i="3"/>
  <c r="BL223" i="3"/>
  <c r="G224" i="3"/>
  <c r="BA229" i="3"/>
  <c r="AZ229" i="3" s="1"/>
  <c r="BL229" i="3"/>
  <c r="BL158" i="3"/>
  <c r="BA168" i="3"/>
  <c r="AZ168" i="3" s="1"/>
  <c r="G178" i="3"/>
  <c r="BA22" i="3"/>
  <c r="U21" i="33"/>
  <c r="AB21" i="33"/>
  <c r="AC18" i="35"/>
  <c r="W18" i="35"/>
  <c r="BL15" i="3"/>
  <c r="AZ15" i="3" s="1"/>
  <c r="BA398" i="3"/>
  <c r="AZ398" i="3" s="1"/>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G447" i="3"/>
  <c r="BL448" i="3"/>
  <c r="G451" i="3"/>
  <c r="BA454" i="3"/>
  <c r="AZ454" i="3" s="1"/>
  <c r="BA457" i="3"/>
  <c r="AZ457" i="3" s="1"/>
  <c r="BA459" i="3"/>
  <c r="AZ459" i="3" s="1"/>
  <c r="BA460" i="3"/>
  <c r="AZ460" i="3" s="1"/>
  <c r="BA461" i="3"/>
  <c r="BL464" i="3"/>
  <c r="BL466" i="3"/>
  <c r="AZ466" i="3" s="1"/>
  <c r="BL467" i="3"/>
  <c r="AZ467" i="3" s="1"/>
  <c r="BL468" i="3"/>
  <c r="BA471" i="3"/>
  <c r="BA478" i="3"/>
  <c r="BA491" i="3"/>
  <c r="AZ491" i="3" s="1"/>
  <c r="AZ27" i="3"/>
  <c r="Y28" i="71"/>
  <c r="Z28" i="71" s="1"/>
  <c r="C47" i="71"/>
  <c r="D47" i="71" s="1"/>
  <c r="D46" i="71"/>
  <c r="BL16" i="3"/>
  <c r="AZ16"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AZ450" i="3" s="1"/>
  <c r="BL452" i="3"/>
  <c r="G454" i="3"/>
  <c r="G455" i="3"/>
  <c r="BL456" i="3"/>
  <c r="BA464" i="3"/>
  <c r="BA467" i="3"/>
  <c r="BA468" i="3"/>
  <c r="BL472" i="3"/>
  <c r="G473" i="3"/>
  <c r="BL473" i="3"/>
  <c r="AZ473" i="3" s="1"/>
  <c r="BL474" i="3"/>
  <c r="G475" i="3"/>
  <c r="BA477" i="3"/>
  <c r="BA485" i="3"/>
  <c r="BL316" i="3"/>
  <c r="BA366" i="3"/>
  <c r="AZ366" i="3" s="1"/>
  <c r="BL375" i="3"/>
  <c r="AZ375" i="3" s="1"/>
  <c r="BL395" i="3"/>
  <c r="G397" i="3"/>
  <c r="BA210" i="3"/>
  <c r="AZ210" i="3" s="1"/>
  <c r="BL210" i="3"/>
  <c r="BA214" i="3"/>
  <c r="AZ214" i="3" s="1"/>
  <c r="BA216" i="3"/>
  <c r="AZ216" i="3" s="1"/>
  <c r="BL219" i="3"/>
  <c r="BA225" i="3"/>
  <c r="BA227" i="3"/>
  <c r="AZ227" i="3" s="1"/>
  <c r="BL230" i="3"/>
  <c r="AZ301" i="3"/>
  <c r="BL175" i="3"/>
  <c r="AZ175" i="3" s="1"/>
  <c r="G184" i="3"/>
  <c r="E34" i="71"/>
  <c r="E35" i="71" s="1"/>
  <c r="E36" i="71" s="1"/>
  <c r="U36" i="71" s="1"/>
  <c r="AA30" i="71"/>
  <c r="AA28" i="71"/>
  <c r="BA239" i="3"/>
  <c r="AZ239" i="3" s="1"/>
  <c r="BL239" i="3"/>
  <c r="BA241" i="3"/>
  <c r="BL241" i="3"/>
  <c r="BA244" i="3"/>
  <c r="AZ244" i="3" s="1"/>
  <c r="BL244" i="3"/>
  <c r="BA246" i="3"/>
  <c r="BA252" i="3"/>
  <c r="AZ252" i="3" s="1"/>
  <c r="BA254" i="3"/>
  <c r="AZ254" i="3" s="1"/>
  <c r="BA256" i="3"/>
  <c r="BL256" i="3"/>
  <c r="BA258" i="3"/>
  <c r="BL264" i="3"/>
  <c r="BL266" i="3"/>
  <c r="BA268" i="3"/>
  <c r="BL273" i="3"/>
  <c r="BA277" i="3"/>
  <c r="AZ277" i="3" s="1"/>
  <c r="BL277" i="3"/>
  <c r="BA282" i="3"/>
  <c r="BL282" i="3"/>
  <c r="BA284" i="3"/>
  <c r="BL290" i="3"/>
  <c r="BL291" i="3"/>
  <c r="AZ291" i="3" s="1"/>
  <c r="BL293" i="3"/>
  <c r="BL294" i="3"/>
  <c r="BA297" i="3"/>
  <c r="BL297" i="3"/>
  <c r="BL300" i="3"/>
  <c r="BA302" i="3"/>
  <c r="BA117" i="3"/>
  <c r="BA130" i="3"/>
  <c r="BL130" i="3"/>
  <c r="BA137" i="3"/>
  <c r="AZ137" i="3" s="1"/>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7" i="3"/>
  <c r="BA27" i="3"/>
  <c r="BA41" i="3"/>
  <c r="BA42" i="3"/>
  <c r="BL55" i="3"/>
  <c r="AZ55" i="3" s="1"/>
  <c r="G58" i="3"/>
  <c r="BA59" i="3"/>
  <c r="AZ59" i="3" s="1"/>
  <c r="BL61" i="3"/>
  <c r="G64" i="3"/>
  <c r="BA64" i="3"/>
  <c r="AZ70" i="3"/>
  <c r="BA80" i="3"/>
  <c r="BL84" i="3"/>
  <c r="F40" i="69"/>
  <c r="C40" i="69"/>
  <c r="S18" i="35"/>
  <c r="AA18" i="35"/>
  <c r="D75" i="71"/>
  <c r="C74" i="71"/>
  <c r="D74" i="71" s="1"/>
  <c r="D60" i="71"/>
  <c r="T60" i="71"/>
  <c r="C44" i="71"/>
  <c r="D43" i="71"/>
  <c r="B71" i="71"/>
  <c r="B70" i="71" s="1"/>
  <c r="S72" i="71"/>
  <c r="X25" i="71"/>
  <c r="X26" i="71"/>
  <c r="C23" i="71"/>
  <c r="B22" i="71"/>
  <c r="B21" i="71" s="1"/>
  <c r="B20" i="71" s="1"/>
  <c r="AA3" i="71"/>
  <c r="BL317" i="3"/>
  <c r="BA349" i="3"/>
  <c r="BA353" i="3"/>
  <c r="BL353" i="3"/>
  <c r="BA358" i="3"/>
  <c r="AZ358" i="3" s="1"/>
  <c r="BL365" i="3"/>
  <c r="AZ365" i="3" s="1"/>
  <c r="BA368" i="3"/>
  <c r="BL368" i="3"/>
  <c r="BA374" i="3"/>
  <c r="AZ374" i="3" s="1"/>
  <c r="BA388" i="3"/>
  <c r="AZ388" i="3" s="1"/>
  <c r="BA396" i="3"/>
  <c r="BA209" i="3"/>
  <c r="BL217" i="3"/>
  <c r="AZ217" i="3" s="1"/>
  <c r="BA219" i="3"/>
  <c r="BA221" i="3"/>
  <c r="BA223" i="3"/>
  <c r="AZ223" i="3" s="1"/>
  <c r="BL228" i="3"/>
  <c r="AZ228" i="3" s="1"/>
  <c r="BA230" i="3"/>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BL121" i="3"/>
  <c r="BA124" i="3"/>
  <c r="BA126" i="3"/>
  <c r="AZ126" i="3" s="1"/>
  <c r="BA129" i="3"/>
  <c r="BL133" i="3"/>
  <c r="AZ133" i="3" s="1"/>
  <c r="BL139" i="3"/>
  <c r="AZ139" i="3" s="1"/>
  <c r="BL141" i="3"/>
  <c r="BL143" i="3"/>
  <c r="AZ143" i="3" s="1"/>
  <c r="BL157" i="3"/>
  <c r="AZ157" i="3" s="1"/>
  <c r="BL159" i="3"/>
  <c r="AZ159" i="3" s="1"/>
  <c r="G160" i="3"/>
  <c r="BL177" i="3"/>
  <c r="AZ177" i="3" s="1"/>
  <c r="G179" i="3"/>
  <c r="BL183" i="3"/>
  <c r="AZ183" i="3" s="1"/>
  <c r="BA186" i="3"/>
  <c r="AZ186" i="3" s="1"/>
  <c r="BA190" i="3"/>
  <c r="AZ190" i="3" s="1"/>
  <c r="G196" i="3"/>
  <c r="BA197" i="3"/>
  <c r="AZ197" i="3" s="1"/>
  <c r="BL201" i="3"/>
  <c r="AZ201" i="3" s="1"/>
  <c r="BL203" i="3"/>
  <c r="BA204" i="3"/>
  <c r="BA18" i="3"/>
  <c r="G21" i="3"/>
  <c r="BL21" i="3"/>
  <c r="G23" i="3"/>
  <c r="G29" i="3"/>
  <c r="BA30" i="3"/>
  <c r="AZ30" i="3" s="1"/>
  <c r="G38" i="3"/>
  <c r="BA38" i="3"/>
  <c r="AZ38" i="3" s="1"/>
  <c r="BL40" i="3"/>
  <c r="BL41" i="3"/>
  <c r="G51" i="3"/>
  <c r="BA52" i="3"/>
  <c r="AZ52" i="3" s="1"/>
  <c r="BL54" i="3"/>
  <c r="G68" i="3"/>
  <c r="BL68" i="3"/>
  <c r="BA69" i="3"/>
  <c r="BA109" i="3"/>
  <c r="F3" i="35"/>
  <c r="C40" i="71"/>
  <c r="D39" i="71"/>
  <c r="C35" i="71"/>
  <c r="T76" i="71"/>
  <c r="D76" i="71"/>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BL302" i="3"/>
  <c r="BA114" i="3"/>
  <c r="BL123" i="3"/>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AZ193" i="3" s="1"/>
  <c r="BA196" i="3"/>
  <c r="AZ196" i="3" s="1"/>
  <c r="BA205" i="3"/>
  <c r="AZ205" i="3" s="1"/>
  <c r="G20" i="3"/>
  <c r="BL20" i="3"/>
  <c r="AZ20" i="3" s="1"/>
  <c r="BA21" i="3"/>
  <c r="AZ21" i="3" s="1"/>
  <c r="BA25" i="3"/>
  <c r="AZ25" i="3" s="1"/>
  <c r="BA26" i="3"/>
  <c r="G28" i="3"/>
  <c r="BL28" i="3"/>
  <c r="AZ28" i="3" s="1"/>
  <c r="BA29" i="3"/>
  <c r="BA31" i="3"/>
  <c r="AZ31" i="3" s="1"/>
  <c r="BA32" i="3"/>
  <c r="BA43" i="3"/>
  <c r="BL47" i="3"/>
  <c r="AZ47" i="3" s="1"/>
  <c r="G49" i="3"/>
  <c r="G66" i="3"/>
  <c r="BL96" i="3"/>
  <c r="BL97" i="3"/>
  <c r="AZ97" i="3" s="1"/>
  <c r="B13" i="1"/>
  <c r="E13" i="1" s="1"/>
  <c r="K13" i="1"/>
  <c r="M13" i="1" s="1"/>
  <c r="O13" i="1" s="1"/>
  <c r="P13" i="1" s="1"/>
  <c r="AB21" i="37"/>
  <c r="U21" i="37"/>
  <c r="AC18" i="36"/>
  <c r="W18" i="36"/>
  <c r="AB25" i="40"/>
  <c r="U25" i="40"/>
  <c r="B100" i="43"/>
  <c r="B57" i="43"/>
  <c r="B68" i="43"/>
  <c r="C29" i="39"/>
  <c r="B32" i="71"/>
  <c r="S32" i="71" s="1"/>
  <c r="AB26" i="71"/>
  <c r="AB27" i="71"/>
  <c r="BL45" i="3"/>
  <c r="BA48" i="3"/>
  <c r="BA49" i="3"/>
  <c r="AZ49" i="3" s="1"/>
  <c r="BA51" i="3"/>
  <c r="G55" i="3"/>
  <c r="BL56" i="3"/>
  <c r="BA58" i="3"/>
  <c r="BL59" i="3"/>
  <c r="BL60" i="3"/>
  <c r="BA61" i="3"/>
  <c r="AZ61" i="3" s="1"/>
  <c r="BL69" i="3"/>
  <c r="BL70" i="3"/>
  <c r="BL71" i="3"/>
  <c r="BL72" i="3"/>
  <c r="AZ72" i="3" s="1"/>
  <c r="BA75" i="3"/>
  <c r="AZ75" i="3" s="1"/>
  <c r="BL86" i="3"/>
  <c r="AZ86" i="3" s="1"/>
  <c r="BA91" i="3"/>
  <c r="AZ91" i="3" s="1"/>
  <c r="BA98" i="3"/>
  <c r="BA100" i="3"/>
  <c r="AZ100" i="3" s="1"/>
  <c r="BA102" i="3"/>
  <c r="BL111" i="3"/>
  <c r="W21" i="37"/>
  <c r="AC21" i="37"/>
  <c r="AB21" i="34"/>
  <c r="U21" i="34"/>
  <c r="C86" i="71"/>
  <c r="D86" i="71" s="1"/>
  <c r="D87" i="71"/>
  <c r="C52" i="71"/>
  <c r="D51" i="71"/>
  <c r="AB34" i="71"/>
  <c r="C63" i="71"/>
  <c r="D62" i="71"/>
  <c r="F66" i="71"/>
  <c r="Q67" i="71"/>
  <c r="P68" i="71"/>
  <c r="U68" i="71"/>
  <c r="BL29" i="3"/>
  <c r="G33" i="3"/>
  <c r="G34" i="3"/>
  <c r="BA37" i="3"/>
  <c r="G39" i="3"/>
  <c r="BL39" i="3"/>
  <c r="AZ39" i="3" s="1"/>
  <c r="G43" i="3"/>
  <c r="G44" i="3"/>
  <c r="BA45" i="3"/>
  <c r="AZ45" i="3" s="1"/>
  <c r="BA46" i="3"/>
  <c r="AZ46" i="3" s="1"/>
  <c r="BL49" i="3"/>
  <c r="BL50" i="3"/>
  <c r="AZ50" i="3" s="1"/>
  <c r="BL51" i="3"/>
  <c r="G53" i="3"/>
  <c r="BL53" i="3"/>
  <c r="AZ53" i="3" s="1"/>
  <c r="BA56" i="3"/>
  <c r="BA57" i="3"/>
  <c r="AZ57" i="3" s="1"/>
  <c r="BL58" i="3"/>
  <c r="G60" i="3"/>
  <c r="BL64" i="3"/>
  <c r="G65" i="3"/>
  <c r="BL65" i="3"/>
  <c r="AZ65" i="3" s="1"/>
  <c r="BL66" i="3"/>
  <c r="BL67" i="3"/>
  <c r="AZ67" i="3" s="1"/>
  <c r="G69" i="3"/>
  <c r="G72" i="3"/>
  <c r="BL73" i="3"/>
  <c r="BA74" i="3"/>
  <c r="AZ74" i="3" s="1"/>
  <c r="BL79" i="3"/>
  <c r="BL81" i="3"/>
  <c r="BA82" i="3"/>
  <c r="AZ82" i="3" s="1"/>
  <c r="BL83" i="3"/>
  <c r="G86" i="3"/>
  <c r="BA87" i="3"/>
  <c r="BA89" i="3"/>
  <c r="BL93" i="3"/>
  <c r="BL94" i="3"/>
  <c r="AZ94" i="3" s="1"/>
  <c r="BL101" i="3"/>
  <c r="BL102" i="3"/>
  <c r="G104" i="3"/>
  <c r="BA106" i="3"/>
  <c r="BL108" i="3"/>
  <c r="AZ108" i="3" s="1"/>
  <c r="W21" i="21"/>
  <c r="AB25" i="71"/>
  <c r="AB28" i="71"/>
  <c r="T28" i="71"/>
  <c r="D28" i="71"/>
  <c r="U28" i="71" s="1"/>
  <c r="C27" i="71"/>
  <c r="X33" i="71"/>
  <c r="X34" i="71"/>
  <c r="X36" i="71"/>
  <c r="AB37" i="71"/>
  <c r="AB35" i="71"/>
  <c r="V72" i="71"/>
  <c r="F71" i="71"/>
  <c r="F70" i="71" s="1"/>
  <c r="V24" i="71"/>
  <c r="E23" i="71"/>
  <c r="E22" i="71" s="1"/>
  <c r="E21" i="71" s="1"/>
  <c r="E20" i="71" s="1"/>
  <c r="BA60" i="3"/>
  <c r="AZ60" i="3" s="1"/>
  <c r="BA63" i="3"/>
  <c r="AZ63" i="3" s="1"/>
  <c r="BA66" i="3"/>
  <c r="AZ66" i="3" s="1"/>
  <c r="BA71" i="3"/>
  <c r="AZ71" i="3" s="1"/>
  <c r="G76" i="3"/>
  <c r="BL77" i="3"/>
  <c r="AZ77" i="3" s="1"/>
  <c r="BA79" i="3"/>
  <c r="G82" i="3"/>
  <c r="G83" i="3"/>
  <c r="BA84" i="3"/>
  <c r="AZ84" i="3" s="1"/>
  <c r="BL88" i="3"/>
  <c r="AZ88" i="3" s="1"/>
  <c r="G90" i="3"/>
  <c r="BL90" i="3"/>
  <c r="AZ90" i="3" s="1"/>
  <c r="BL92" i="3"/>
  <c r="G101" i="3"/>
  <c r="BA101" i="3"/>
  <c r="G108" i="3"/>
  <c r="G109" i="3"/>
  <c r="BL112" i="3"/>
  <c r="F35" i="71"/>
  <c r="F36" i="71" s="1"/>
  <c r="V36" i="71" s="1"/>
  <c r="AA34" i="71"/>
  <c r="B51" i="71"/>
  <c r="B52" i="71" s="1"/>
  <c r="S52" i="71" s="1"/>
  <c r="BL105" i="3"/>
  <c r="AZ105" i="3" s="1"/>
  <c r="G107" i="3"/>
  <c r="BL107" i="3"/>
  <c r="BA111" i="3"/>
  <c r="S18" i="36"/>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G69" i="43" s="1"/>
  <c r="S23" i="33"/>
  <c r="AA23" i="33"/>
  <c r="E19" i="71"/>
  <c r="E18" i="71" s="1"/>
  <c r="E17" i="71" s="1"/>
  <c r="E16" i="71" s="1"/>
  <c r="V20" i="71"/>
  <c r="AB17" i="33"/>
  <c r="S29" i="21"/>
  <c r="AB44" i="34"/>
  <c r="S39" i="34"/>
  <c r="AZ382" i="3"/>
  <c r="AZ321" i="3"/>
  <c r="AZ343" i="3"/>
  <c r="AZ517" i="3"/>
  <c r="AZ562" i="3"/>
  <c r="AZ578" i="3"/>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4" i="3"/>
  <c r="AZ436" i="3"/>
  <c r="AZ446" i="3"/>
  <c r="G28" i="6"/>
  <c r="U26" i="21"/>
  <c r="W36" i="39"/>
  <c r="U23" i="40"/>
  <c r="AC16" i="36"/>
  <c r="AB12" i="33"/>
  <c r="C27" i="39"/>
  <c r="U40" i="40"/>
  <c r="AC9" i="40"/>
  <c r="W36" i="35"/>
  <c r="J12" i="21"/>
  <c r="B73" i="43"/>
  <c r="B76" i="43"/>
  <c r="F9" i="36"/>
  <c r="J40" i="40"/>
  <c r="G562" i="3"/>
  <c r="AZ426" i="3"/>
  <c r="AZ463" i="3"/>
  <c r="AZ489" i="3"/>
  <c r="AZ385" i="3"/>
  <c r="AZ212" i="3"/>
  <c r="AZ220" i="3"/>
  <c r="AZ231" i="3"/>
  <c r="AZ255" i="3"/>
  <c r="AZ276" i="3"/>
  <c r="AZ293" i="3"/>
  <c r="BA472" i="3"/>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87" i="3"/>
  <c r="BL202" i="3"/>
  <c r="AZ202" i="3" s="1"/>
  <c r="BL36" i="3"/>
  <c r="AZ36" i="3" s="1"/>
  <c r="AZ40" i="3"/>
  <c r="AZ48" i="3"/>
  <c r="AZ68" i="3"/>
  <c r="AZ73" i="3"/>
  <c r="AZ104" i="3"/>
  <c r="AZ106"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54"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31" i="12"/>
  <c r="C48" i="68"/>
  <c r="C30" i="68"/>
  <c r="C77" i="9"/>
  <c r="C74" i="9" s="1"/>
  <c r="C21" i="69"/>
  <c r="J84" i="43"/>
  <c r="J85" i="43"/>
  <c r="J86" i="43"/>
  <c r="J87" i="43"/>
  <c r="J88" i="43"/>
  <c r="J89" i="43"/>
  <c r="J90" i="43"/>
  <c r="D83" i="43"/>
  <c r="E83" i="43" s="1"/>
  <c r="B81" i="43" s="1"/>
  <c r="D64" i="43"/>
  <c r="D63" i="43"/>
  <c r="D73" i="43"/>
  <c r="D75" i="43"/>
  <c r="D79" i="43"/>
  <c r="D22" i="67"/>
  <c r="AQ13" i="1"/>
  <c r="E8" i="6"/>
  <c r="F27" i="6" s="1"/>
  <c r="E12" i="6"/>
  <c r="E57" i="40"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C6" i="15"/>
  <c r="L59" i="15"/>
  <c r="N59" i="15"/>
  <c r="L58" i="15"/>
  <c r="M59" i="15"/>
  <c r="C27" i="15"/>
  <c r="B13" i="70"/>
  <c r="C36" i="68"/>
  <c r="D9" i="69"/>
  <c r="C36" i="69"/>
  <c r="D9" i="68"/>
  <c r="F9" i="67"/>
  <c r="F43" i="67"/>
  <c r="D5" i="73"/>
  <c r="F13" i="67"/>
  <c r="F8" i="67"/>
  <c r="J15" i="67"/>
  <c r="J15" i="15"/>
  <c r="M22" i="67"/>
  <c r="C16" i="15"/>
  <c r="M23" i="67"/>
  <c r="D7" i="73"/>
  <c r="M9" i="67"/>
  <c r="L48" i="67"/>
  <c r="F40" i="67"/>
  <c r="F26" i="67"/>
  <c r="F37" i="15"/>
  <c r="D3" i="73"/>
  <c r="F16" i="67"/>
  <c r="M6" i="67"/>
  <c r="F36" i="15"/>
  <c r="M26" i="67"/>
  <c r="F7" i="67"/>
  <c r="F42" i="67"/>
  <c r="F36" i="67"/>
  <c r="F38" i="15"/>
  <c r="M29" i="67"/>
  <c r="M6" i="15"/>
  <c r="F40" i="15"/>
  <c r="D4" i="73"/>
  <c r="M28" i="15"/>
  <c r="C76" i="67"/>
  <c r="M24" i="67"/>
  <c r="M8" i="67"/>
  <c r="F6" i="67"/>
  <c r="L47" i="67"/>
  <c r="F37" i="67"/>
  <c r="F38" i="67"/>
  <c r="M9" i="15"/>
  <c r="M28" i="67"/>
  <c r="M68" i="43" l="1"/>
  <c r="N68" i="43" s="1"/>
  <c r="K68" i="43"/>
  <c r="J68" i="43" s="1"/>
  <c r="D68" i="43" s="1"/>
  <c r="K61" i="43"/>
  <c r="J61" i="43" s="1"/>
  <c r="M61" i="43"/>
  <c r="M66" i="43"/>
  <c r="N66" i="43" s="1"/>
  <c r="K66" i="43"/>
  <c r="K63" i="43"/>
  <c r="J63" i="43" s="1"/>
  <c r="M63" i="43"/>
  <c r="N63" i="43" s="1"/>
  <c r="K69" i="43"/>
  <c r="M69" i="43"/>
  <c r="N69" i="43" s="1"/>
  <c r="K65" i="43"/>
  <c r="J65" i="43" s="1"/>
  <c r="M65" i="43"/>
  <c r="M62" i="43"/>
  <c r="K62" i="43"/>
  <c r="J62" i="43" s="1"/>
  <c r="K67" i="43"/>
  <c r="J67" i="43" s="1"/>
  <c r="M67" i="43"/>
  <c r="F48" i="9"/>
  <c r="O52" i="9" s="1"/>
  <c r="F30" i="11"/>
  <c r="C30" i="69"/>
  <c r="C48" i="69"/>
  <c r="F65" i="67"/>
  <c r="F66" i="67"/>
  <c r="M59" i="67"/>
  <c r="L58" i="67"/>
  <c r="Q60" i="67" s="1"/>
  <c r="N59" i="67"/>
  <c r="L59" i="67"/>
  <c r="Q74" i="67" s="1"/>
  <c r="F51" i="67"/>
  <c r="J57" i="67"/>
  <c r="J55" i="67" s="1"/>
  <c r="J58" i="67" s="1"/>
  <c r="Q50" i="67" s="1"/>
  <c r="I54" i="67"/>
  <c r="J53" i="67"/>
  <c r="Q52" i="67" s="1"/>
  <c r="L56" i="67"/>
  <c r="F68" i="67"/>
  <c r="E15" i="6"/>
  <c r="E64" i="39" s="1"/>
  <c r="E13" i="6"/>
  <c r="E59" i="40"/>
  <c r="G26" i="43"/>
  <c r="N370" i="46"/>
  <c r="F26" i="43"/>
  <c r="N94" i="46"/>
  <c r="J26" i="43"/>
  <c r="P6" i="1"/>
  <c r="C13" i="12" s="1"/>
  <c r="E11" i="6"/>
  <c r="E60" i="39" s="1"/>
  <c r="E26" i="43"/>
  <c r="M7" i="67"/>
  <c r="J6" i="67" s="1"/>
  <c r="J18" i="67" s="1"/>
  <c r="F50" i="67"/>
  <c r="F65" i="15"/>
  <c r="C27" i="67"/>
  <c r="F31" i="67"/>
  <c r="C6" i="67"/>
  <c r="C32" i="67" s="1"/>
  <c r="F71" i="67"/>
  <c r="F64" i="67"/>
  <c r="F68" i="15"/>
  <c r="Q71" i="67"/>
  <c r="F64" i="15"/>
  <c r="F66" i="15"/>
  <c r="AZ58" i="3"/>
  <c r="AZ41" i="3"/>
  <c r="AZ302" i="3"/>
  <c r="AZ284" i="3"/>
  <c r="AC9" i="36"/>
  <c r="W9" i="36"/>
  <c r="AA23" i="35"/>
  <c r="S23" i="35"/>
  <c r="W12" i="35"/>
  <c r="AC12" i="35"/>
  <c r="AB34" i="36"/>
  <c r="U34" i="36"/>
  <c r="W13" i="39"/>
  <c r="AC13" i="39"/>
  <c r="AB9" i="33"/>
  <c r="U9" i="33"/>
  <c r="AZ550" i="3"/>
  <c r="J6" i="15"/>
  <c r="J18" i="15" s="1"/>
  <c r="E10" i="6"/>
  <c r="G5" i="3"/>
  <c r="B3" i="3" s="1"/>
  <c r="AZ32" i="3"/>
  <c r="AZ281" i="3"/>
  <c r="AZ215" i="3"/>
  <c r="AZ317" i="3"/>
  <c r="AZ101" i="3"/>
  <c r="C36" i="71"/>
  <c r="D35" i="71"/>
  <c r="D44" i="71"/>
  <c r="T44" i="71"/>
  <c r="AZ64" i="3"/>
  <c r="AZ415" i="3"/>
  <c r="AZ218" i="3"/>
  <c r="N65" i="71"/>
  <c r="N66" i="71"/>
  <c r="AB24" i="36"/>
  <c r="U24" i="36"/>
  <c r="U23" i="35"/>
  <c r="AB23" i="35"/>
  <c r="AZ516" i="3"/>
  <c r="AZ586" i="3"/>
  <c r="S13" i="39"/>
  <c r="AA13" i="39"/>
  <c r="AB13" i="36"/>
  <c r="U13" i="36"/>
  <c r="AC9" i="33"/>
  <c r="W9" i="33"/>
  <c r="Q16" i="1"/>
  <c r="F27" i="69" s="1"/>
  <c r="F45" i="69" s="1"/>
  <c r="AZ107" i="3"/>
  <c r="AZ472" i="3"/>
  <c r="AA39" i="37"/>
  <c r="G16" i="1"/>
  <c r="F10" i="39" s="1"/>
  <c r="S10" i="39" s="1"/>
  <c r="AZ79" i="3"/>
  <c r="C26" i="71"/>
  <c r="D26" i="71" s="1"/>
  <c r="D27" i="71"/>
  <c r="T52" i="71"/>
  <c r="D52" i="71"/>
  <c r="AZ29" i="3"/>
  <c r="AZ69" i="3"/>
  <c r="AZ271" i="3"/>
  <c r="AZ368" i="3"/>
  <c r="AZ353" i="3"/>
  <c r="B19" i="71"/>
  <c r="B18" i="71" s="1"/>
  <c r="B17" i="71" s="1"/>
  <c r="B16" i="71" s="1"/>
  <c r="S20" i="71"/>
  <c r="AZ130" i="3"/>
  <c r="AZ282" i="3"/>
  <c r="AZ241" i="3"/>
  <c r="AZ471" i="3"/>
  <c r="AZ414" i="3"/>
  <c r="AZ332" i="3"/>
  <c r="C31" i="71"/>
  <c r="D30" i="71"/>
  <c r="AC24" i="36"/>
  <c r="W24" i="36"/>
  <c r="U29" i="21"/>
  <c r="AB29" i="21"/>
  <c r="AA35" i="39"/>
  <c r="S35" i="39"/>
  <c r="AC44" i="21"/>
  <c r="W44" i="21"/>
  <c r="AC23" i="35"/>
  <c r="W23" i="35"/>
  <c r="AZ587" i="3"/>
  <c r="AZ551" i="3"/>
  <c r="W28" i="33"/>
  <c r="AC28" i="33"/>
  <c r="H16" i="1"/>
  <c r="AZ141" i="3"/>
  <c r="AZ264" i="3"/>
  <c r="AZ111" i="3"/>
  <c r="C64" i="71"/>
  <c r="D63" i="71"/>
  <c r="AZ102" i="3"/>
  <c r="AZ51" i="3"/>
  <c r="T40" i="71"/>
  <c r="D40" i="71"/>
  <c r="AZ121" i="3"/>
  <c r="AZ230" i="3"/>
  <c r="AZ219" i="3"/>
  <c r="C22" i="71"/>
  <c r="D23" i="71"/>
  <c r="AZ297" i="3"/>
  <c r="AZ256" i="3"/>
  <c r="AZ464" i="3"/>
  <c r="AZ461" i="3"/>
  <c r="D67" i="71"/>
  <c r="C66" i="71"/>
  <c r="O67" i="71"/>
  <c r="C56" i="71"/>
  <c r="D55" i="71"/>
  <c r="AA38" i="40"/>
  <c r="S38" i="40"/>
  <c r="AB35" i="39"/>
  <c r="U35" i="39"/>
  <c r="S34" i="36"/>
  <c r="AA34" i="36"/>
  <c r="AZ548" i="3"/>
  <c r="AZ519" i="3"/>
  <c r="U13" i="39"/>
  <c r="AB13" i="39"/>
  <c r="U28" i="33"/>
  <c r="AB28" i="33"/>
  <c r="F29" i="6"/>
  <c r="AZ543" i="3"/>
  <c r="J7" i="37"/>
  <c r="AC7" i="37" s="1"/>
  <c r="K1" i="73"/>
  <c r="E575" i="3"/>
  <c r="E502" i="3"/>
  <c r="I3" i="6"/>
  <c r="AP6" i="3"/>
  <c r="E417" i="3"/>
  <c r="E56" i="3"/>
  <c r="E258" i="3"/>
  <c r="E363" i="3"/>
  <c r="E59" i="3"/>
  <c r="E409" i="3"/>
  <c r="E103" i="3"/>
  <c r="E160" i="3"/>
  <c r="E310" i="3"/>
  <c r="E84" i="3"/>
  <c r="E233" i="3"/>
  <c r="E381" i="3"/>
  <c r="E283" i="3"/>
  <c r="E309" i="3"/>
  <c r="E332" i="3"/>
  <c r="AL6" i="3"/>
  <c r="E129" i="3"/>
  <c r="E174" i="3"/>
  <c r="E34" i="3"/>
  <c r="E251" i="3"/>
  <c r="E308" i="3"/>
  <c r="E140" i="3"/>
  <c r="T6" i="3"/>
  <c r="E405" i="3"/>
  <c r="E360" i="3"/>
  <c r="E556" i="3"/>
  <c r="E420" i="3"/>
  <c r="E41" i="3"/>
  <c r="E428" i="3"/>
  <c r="E78" i="3"/>
  <c r="E35" i="3"/>
  <c r="E49" i="3"/>
  <c r="E83" i="3"/>
  <c r="E16" i="3"/>
  <c r="E493" i="3"/>
  <c r="E564" i="3"/>
  <c r="E422" i="3"/>
  <c r="E490" i="3"/>
  <c r="E419" i="3"/>
  <c r="E40" i="3"/>
  <c r="E226" i="3"/>
  <c r="E276" i="3"/>
  <c r="E43" i="3"/>
  <c r="E540" i="3"/>
  <c r="E38" i="3"/>
  <c r="E194" i="3"/>
  <c r="E392" i="3"/>
  <c r="E52" i="3"/>
  <c r="E289" i="3"/>
  <c r="E340" i="3"/>
  <c r="E218" i="3"/>
  <c r="E365" i="3"/>
  <c r="E398" i="3"/>
  <c r="E566" i="3"/>
  <c r="E58" i="3"/>
  <c r="E65" i="3"/>
  <c r="E222" i="3"/>
  <c r="E421" i="3"/>
  <c r="E110" i="3"/>
  <c r="E446" i="3"/>
  <c r="E19" i="3"/>
  <c r="E323" i="3"/>
  <c r="E297" i="3"/>
  <c r="E266" i="3"/>
  <c r="E374" i="3"/>
  <c r="E259" i="3"/>
  <c r="E179" i="3"/>
  <c r="AD6" i="3"/>
  <c r="E167" i="3"/>
  <c r="E187" i="3"/>
  <c r="E122" i="3"/>
  <c r="E461" i="3"/>
  <c r="E224" i="3"/>
  <c r="E532" i="3"/>
  <c r="W6" i="3"/>
  <c r="E475" i="3"/>
  <c r="E357" i="3"/>
  <c r="E14" i="3"/>
  <c r="E379" i="3"/>
  <c r="U6" i="3"/>
  <c r="E547" i="3"/>
  <c r="E71" i="3"/>
  <c r="E317" i="3"/>
  <c r="E29" i="3"/>
  <c r="E426" i="3"/>
  <c r="E328" i="3"/>
  <c r="E390" i="3"/>
  <c r="E523" i="3"/>
  <c r="E169" i="3"/>
  <c r="E237" i="3"/>
  <c r="E302" i="3"/>
  <c r="E254" i="3"/>
  <c r="AN6" i="3"/>
  <c r="E280" i="3"/>
  <c r="E434" i="3"/>
  <c r="E128" i="3"/>
  <c r="E330" i="3"/>
  <c r="Q6" i="3"/>
  <c r="E344" i="3"/>
  <c r="E429" i="3"/>
  <c r="E203" i="3"/>
  <c r="E256" i="3"/>
  <c r="E32" i="3"/>
  <c r="I6" i="3"/>
  <c r="E576" i="3"/>
  <c r="E448" i="3"/>
  <c r="E581" i="3"/>
  <c r="E444" i="3"/>
  <c r="E166" i="3"/>
  <c r="E295" i="3"/>
  <c r="E480" i="3"/>
  <c r="E366" i="3"/>
  <c r="E553" i="3"/>
  <c r="E239" i="3"/>
  <c r="E516" i="3"/>
  <c r="E569" i="3"/>
  <c r="E151" i="3"/>
  <c r="E358" i="3"/>
  <c r="E551" i="3"/>
  <c r="E407" i="3"/>
  <c r="E294" i="3"/>
  <c r="E230" i="3"/>
  <c r="E415" i="3"/>
  <c r="E395" i="3"/>
  <c r="E260" i="3"/>
  <c r="E290" i="3"/>
  <c r="E61"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B116" i="43"/>
  <c r="Z7" i="43"/>
  <c r="E56" i="39"/>
  <c r="H7" i="34"/>
  <c r="AB7" i="34" s="1"/>
  <c r="T49" i="34" s="1"/>
  <c r="G49" i="34" s="1"/>
  <c r="E67" i="39"/>
  <c r="E69" i="39" s="1"/>
  <c r="J7" i="34"/>
  <c r="W7" i="34" s="1"/>
  <c r="F7" i="34"/>
  <c r="S7" i="34" s="1"/>
  <c r="AA26" i="35"/>
  <c r="S26" i="35"/>
  <c r="AC26" i="35"/>
  <c r="W26" i="35"/>
  <c r="AB26" i="35"/>
  <c r="U26" i="35"/>
  <c r="E61" i="39"/>
  <c r="C9" i="69"/>
  <c r="C9" i="68"/>
  <c r="E72" i="43"/>
  <c r="B70" i="43" s="1"/>
  <c r="F27" i="11"/>
  <c r="C29" i="11" s="1"/>
  <c r="D27" i="11"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W7" i="37"/>
  <c r="AB7" i="36"/>
  <c r="T36" i="36" s="1"/>
  <c r="G36" i="36" s="1"/>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C32" i="15"/>
  <c r="Q60" i="15"/>
  <c r="Q73" i="15"/>
  <c r="Q74" i="15"/>
  <c r="Q61" i="15"/>
  <c r="AE11" i="1"/>
  <c r="AE9" i="1"/>
  <c r="F27" i="68"/>
  <c r="AE7" i="1"/>
  <c r="AE8" i="1"/>
  <c r="AE12" i="1"/>
  <c r="AE10" i="1"/>
  <c r="C16" i="67"/>
  <c r="G1" i="73"/>
  <c r="N67" i="43" l="1"/>
  <c r="D67" i="43"/>
  <c r="N65" i="43"/>
  <c r="D65" i="43"/>
  <c r="N61" i="43"/>
  <c r="D61" i="43"/>
  <c r="J66" i="43"/>
  <c r="D66" i="43"/>
  <c r="N62" i="43"/>
  <c r="D62" i="43"/>
  <c r="J69" i="43"/>
  <c r="D69" i="43"/>
  <c r="C48" i="11"/>
  <c r="C30" i="11"/>
  <c r="F1" i="67"/>
  <c r="Q61" i="67"/>
  <c r="J5" i="15"/>
  <c r="J24" i="15" s="1"/>
  <c r="D26" i="43"/>
  <c r="C25" i="43" s="1"/>
  <c r="F28" i="12"/>
  <c r="C29" i="12" s="1"/>
  <c r="D28" i="12" s="1"/>
  <c r="Q73" i="67"/>
  <c r="J5" i="67"/>
  <c r="J24" i="67" s="1"/>
  <c r="C49" i="67"/>
  <c r="E539" i="3"/>
  <c r="R6"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159" i="3"/>
  <c r="E353" i="3"/>
  <c r="E238" i="3"/>
  <c r="E120" i="3"/>
  <c r="E437" i="3"/>
  <c r="AE6" i="3"/>
  <c r="E73" i="3"/>
  <c r="E394" i="3"/>
  <c r="E236" i="3"/>
  <c r="AG6" i="3"/>
  <c r="E558" i="3"/>
  <c r="E88" i="3"/>
  <c r="E316" i="3"/>
  <c r="E125" i="3"/>
  <c r="N6" i="3"/>
  <c r="E396" i="3"/>
  <c r="E559" i="3"/>
  <c r="E320" i="3"/>
  <c r="E114" i="3"/>
  <c r="E550" i="3"/>
  <c r="E245" i="3"/>
  <c r="E271" i="3"/>
  <c r="E31" i="3"/>
  <c r="E150" i="3"/>
  <c r="E450" i="3"/>
  <c r="E527" i="3"/>
  <c r="E193" i="3"/>
  <c r="E314" i="3"/>
  <c r="E583" i="3"/>
  <c r="E578" i="3"/>
  <c r="E117" i="3"/>
  <c r="E130" i="3"/>
  <c r="V6" i="3"/>
  <c r="E229" i="3"/>
  <c r="E282" i="3"/>
  <c r="E30" i="3"/>
  <c r="E121" i="3"/>
  <c r="E443" i="3"/>
  <c r="E164" i="3"/>
  <c r="E580" i="3"/>
  <c r="E55" i="3"/>
  <c r="E424" i="3"/>
  <c r="E177" i="3"/>
  <c r="E156" i="3"/>
  <c r="E402" i="3"/>
  <c r="E17" i="3"/>
  <c r="E338" i="3"/>
  <c r="E285" i="3"/>
  <c r="E153" i="3"/>
  <c r="E272" i="3"/>
  <c r="E367" i="3"/>
  <c r="E207" i="3"/>
  <c r="E168" i="3"/>
  <c r="E288" i="3"/>
  <c r="E157" i="3"/>
  <c r="E307" i="3"/>
  <c r="E87" i="3"/>
  <c r="Y6" i="3"/>
  <c r="E373" i="3"/>
  <c r="E436" i="3"/>
  <c r="E48" i="3"/>
  <c r="E500" i="3"/>
  <c r="E51" i="3"/>
  <c r="E348" i="3"/>
  <c r="E165" i="3"/>
  <c r="E62" i="3"/>
  <c r="E147" i="3"/>
  <c r="E339" i="3"/>
  <c r="E79" i="3"/>
  <c r="L6" i="3"/>
  <c r="E108" i="3"/>
  <c r="E498" i="3"/>
  <c r="E507" i="3"/>
  <c r="E116" i="3"/>
  <c r="E158" i="3"/>
  <c r="E342" i="3"/>
  <c r="E243" i="3"/>
  <c r="E470" i="3"/>
  <c r="E408" i="3"/>
  <c r="E173" i="3"/>
  <c r="E287" i="3"/>
  <c r="E86" i="3"/>
  <c r="E482" i="3"/>
  <c r="E198" i="3"/>
  <c r="E264" i="3"/>
  <c r="E144" i="3"/>
  <c r="E371" i="3"/>
  <c r="E64" i="3"/>
  <c r="E389" i="3"/>
  <c r="E192" i="3"/>
  <c r="E491" i="3"/>
  <c r="E430" i="3"/>
  <c r="E199" i="3"/>
  <c r="AC6" i="3"/>
  <c r="E3" i="6"/>
  <c r="D37" i="11" s="1"/>
  <c r="E334" i="3"/>
  <c r="E404" i="3"/>
  <c r="P6" i="3"/>
  <c r="E252" i="3"/>
  <c r="E274" i="3"/>
  <c r="E496" i="3"/>
  <c r="E481" i="3"/>
  <c r="E262" i="3"/>
  <c r="AA6" i="3"/>
  <c r="E303" i="3"/>
  <c r="E304" i="3"/>
  <c r="E418" i="3"/>
  <c r="E359" i="3"/>
  <c r="E53" i="3"/>
  <c r="E92" i="3"/>
  <c r="E432" i="3"/>
  <c r="E397" i="3"/>
  <c r="E54" i="3"/>
  <c r="E474" i="3"/>
  <c r="E136" i="3"/>
  <c r="E98" i="3"/>
  <c r="E195" i="3"/>
  <c r="E462" i="3"/>
  <c r="E584" i="3"/>
  <c r="E582" i="3"/>
  <c r="E209" i="3"/>
  <c r="E416" i="3"/>
  <c r="E24" i="3"/>
  <c r="E460" i="3"/>
  <c r="E101" i="3"/>
  <c r="E20" i="3"/>
  <c r="E36" i="3"/>
  <c r="E234" i="3"/>
  <c r="E455" i="3"/>
  <c r="E333" i="3"/>
  <c r="E25" i="3"/>
  <c r="AH6" i="3"/>
  <c r="E543" i="3"/>
  <c r="E223" i="3"/>
  <c r="E80" i="3"/>
  <c r="E190" i="3"/>
  <c r="E115" i="3"/>
  <c r="E452" i="3"/>
  <c r="E469" i="3"/>
  <c r="E197" i="3"/>
  <c r="E102" i="3"/>
  <c r="E235" i="3"/>
  <c r="E75" i="3"/>
  <c r="E494" i="3"/>
  <c r="E68" i="3"/>
  <c r="E67" i="3"/>
  <c r="E300" i="3"/>
  <c r="E425" i="3"/>
  <c r="E349" i="3"/>
  <c r="E95" i="3"/>
  <c r="E554" i="3"/>
  <c r="E541" i="3"/>
  <c r="E536" i="3"/>
  <c r="J10" i="40"/>
  <c r="AC10" i="40" s="1"/>
  <c r="C29" i="69"/>
  <c r="D27" i="69" s="1"/>
  <c r="C47" i="69"/>
  <c r="D45" i="69" s="1"/>
  <c r="E56" i="40"/>
  <c r="E212" i="3"/>
  <c r="E286" i="3"/>
  <c r="E442"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6" i="3" s="1"/>
  <c r="E97" i="3"/>
  <c r="E506" i="3"/>
  <c r="E298" i="3"/>
  <c r="E565" i="3"/>
  <c r="E221" i="3"/>
  <c r="H10" i="40"/>
  <c r="AB10" i="40" s="1"/>
  <c r="J10" i="39"/>
  <c r="W10" i="39" s="1"/>
  <c r="AA10" i="39"/>
  <c r="F10" i="40"/>
  <c r="S10" i="40" s="1"/>
  <c r="H10" i="39"/>
  <c r="U10" i="39" s="1"/>
  <c r="E510" i="3"/>
  <c r="E29" i="6"/>
  <c r="F30" i="6"/>
  <c r="F31" i="6" s="1"/>
  <c r="O65" i="71"/>
  <c r="D66" i="71"/>
  <c r="O66" i="71"/>
  <c r="D64" i="71"/>
  <c r="T64" i="71"/>
  <c r="E466" i="3"/>
  <c r="E499" i="3"/>
  <c r="D31" i="71"/>
  <c r="C32" i="71"/>
  <c r="D36" i="71"/>
  <c r="T36" i="71"/>
  <c r="D56" i="71"/>
  <c r="T56" i="71"/>
  <c r="D22" i="71"/>
  <c r="C21"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AB10" i="39"/>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M27" i="15"/>
  <c r="F41" i="15"/>
  <c r="M27" i="67"/>
  <c r="E61" i="43" l="1"/>
  <c r="B59" i="43" s="1"/>
  <c r="C28" i="43" s="1"/>
  <c r="W10" i="40"/>
  <c r="C48" i="67"/>
  <c r="C66" i="67" s="1"/>
  <c r="D116" i="43"/>
  <c r="AC10" i="39"/>
  <c r="M18" i="9"/>
  <c r="B118" i="9" s="1"/>
  <c r="B1" i="74" s="1"/>
  <c r="D3" i="21"/>
  <c r="L18" i="9"/>
  <c r="D14" i="12"/>
  <c r="D17" i="12" s="1"/>
  <c r="C17" i="12" s="1"/>
  <c r="C17" i="4"/>
  <c r="B4" i="52" s="1"/>
  <c r="B43" i="72" s="1"/>
  <c r="D3" i="37"/>
  <c r="D19" i="11"/>
  <c r="C19" i="11" s="1"/>
  <c r="AA10" i="40"/>
  <c r="F25" i="12"/>
  <c r="C26" i="12" s="1"/>
  <c r="D25" i="12" s="1"/>
  <c r="T32" i="71"/>
  <c r="D32" i="71"/>
  <c r="D21" i="71"/>
  <c r="C20" i="71"/>
  <c r="K15" i="1"/>
  <c r="K16" i="1" s="1"/>
  <c r="E30" i="6"/>
  <c r="E31" i="6" s="1"/>
  <c r="F22" i="68"/>
  <c r="F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F41" i="67"/>
  <c r="C14" i="67"/>
  <c r="C17" i="67"/>
  <c r="C17" i="15"/>
  <c r="T11" i="43" l="1"/>
  <c r="V11" i="43" s="1"/>
  <c r="T14" i="43"/>
  <c r="V14" i="43" s="1"/>
  <c r="T4" i="43"/>
  <c r="V4" i="43" s="1"/>
  <c r="T5" i="43"/>
  <c r="V5" i="43" s="1"/>
  <c r="C41" i="43"/>
  <c r="C39" i="43"/>
  <c r="T12" i="43"/>
  <c r="V12" i="43" s="1"/>
  <c r="C42" i="43"/>
  <c r="T9" i="43"/>
  <c r="V9" i="43" s="1"/>
  <c r="T3" i="43"/>
  <c r="V3" i="43" s="1"/>
  <c r="C33" i="43"/>
  <c r="T15" i="43"/>
  <c r="V15" i="43" s="1"/>
  <c r="T7" i="43"/>
  <c r="V7" i="43" s="1"/>
  <c r="T10" i="43"/>
  <c r="V10" i="43" s="1"/>
  <c r="T2" i="43"/>
  <c r="C40" i="43"/>
  <c r="C38" i="43"/>
  <c r="T13" i="43"/>
  <c r="V13" i="43" s="1"/>
  <c r="T16" i="43"/>
  <c r="V16" i="43" s="1"/>
  <c r="T8" i="43"/>
  <c r="V8" i="43" s="1"/>
  <c r="T6" i="43"/>
  <c r="V6" i="43" s="1"/>
  <c r="C37" i="43"/>
  <c r="C36" i="77"/>
  <c r="D39" i="77" s="1"/>
  <c r="F69" i="67"/>
  <c r="C60" i="67"/>
  <c r="H22" i="6"/>
  <c r="H25" i="6"/>
  <c r="C44" i="68"/>
  <c r="D41" i="68" s="1"/>
  <c r="C26" i="68"/>
  <c r="D22" i="68" s="1"/>
  <c r="C26" i="11"/>
  <c r="D22" i="11" s="1"/>
  <c r="C44" i="11"/>
  <c r="D41" i="11" s="1"/>
  <c r="T20" i="71"/>
  <c r="D20" i="71"/>
  <c r="U20" i="71" s="1"/>
  <c r="C19" i="7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6" i="69"/>
  <c r="E40" i="43"/>
  <c r="G40" i="43"/>
  <c r="I40" i="43" s="1"/>
  <c r="E42" i="43"/>
  <c r="G42" i="43"/>
  <c r="I42" i="43" s="1"/>
  <c r="E33" i="43"/>
  <c r="C34" i="43"/>
  <c r="E34" i="43" s="1"/>
  <c r="E37" i="43"/>
  <c r="G37" i="43"/>
  <c r="I37" i="43" s="1"/>
  <c r="G39" i="43"/>
  <c r="I39" i="43" s="1"/>
  <c r="E39" i="43"/>
  <c r="G38" i="43"/>
  <c r="I38" i="43" s="1"/>
  <c r="E38" i="43"/>
  <c r="E41" i="43"/>
  <c r="G41" i="43"/>
  <c r="I41" i="43" s="1"/>
  <c r="F36" i="77"/>
  <c r="E39" i="77"/>
  <c r="B29" i="1"/>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C8" i="68"/>
  <c r="C5" i="68" s="1"/>
  <c r="C23" i="68" s="1"/>
  <c r="C18" i="12"/>
  <c r="C21" i="12" s="1"/>
  <c r="C17" i="71"/>
  <c r="D18" i="71"/>
  <c r="F7" i="21"/>
  <c r="S7" i="21" s="1"/>
  <c r="J7" i="21"/>
  <c r="AC7" i="21" s="1"/>
  <c r="V48" i="21" s="1"/>
  <c r="I48" i="21" s="1"/>
  <c r="C23" i="67"/>
  <c r="C29"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E6" i="76"/>
  <c r="E2" i="76" l="1"/>
  <c r="B2" i="43"/>
  <c r="C7" i="69"/>
  <c r="C5" i="69" s="1"/>
  <c r="J59" i="67"/>
  <c r="J60" i="67" s="1"/>
  <c r="Q48" i="67" s="1"/>
  <c r="D13" i="77"/>
  <c r="D12" i="77" s="1"/>
  <c r="D11" i="77" s="1"/>
  <c r="C20" i="68"/>
  <c r="C28" i="68" s="1"/>
  <c r="C27" i="68" s="1"/>
  <c r="C22" i="12"/>
  <c r="C30" i="12" s="1"/>
  <c r="C28" i="12" s="1"/>
  <c r="D17" i="71"/>
  <c r="C16"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R49" i="21"/>
  <c r="G52" i="21"/>
  <c r="H52" i="21" s="1"/>
  <c r="G53" i="21"/>
  <c r="H53" i="21" s="1"/>
  <c r="F7" i="35"/>
  <c r="B6" i="76"/>
  <c r="F35" i="15"/>
  <c r="F35" i="67"/>
  <c r="M21" i="15"/>
  <c r="M21" i="67"/>
  <c r="B2" i="76" l="1"/>
  <c r="B3" i="76" s="1"/>
  <c r="C23" i="69"/>
  <c r="C20" i="69"/>
  <c r="B3" i="43"/>
  <c r="C25" i="68"/>
  <c r="C22" i="68" s="1"/>
  <c r="C31" i="68" s="1"/>
  <c r="E11" i="77"/>
  <c r="E7" i="77" s="1"/>
  <c r="C27" i="77" s="1"/>
  <c r="D7" i="77"/>
  <c r="C26" i="77" s="1"/>
  <c r="C32" i="77" s="1"/>
  <c r="C38" i="77" s="1"/>
  <c r="C39" i="77" s="1"/>
  <c r="C27" i="12"/>
  <c r="C25" i="12" s="1"/>
  <c r="C32" i="12" s="1"/>
  <c r="B2" i="12" s="1"/>
  <c r="B3" i="12"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28" i="69" l="1"/>
  <c r="C27" i="69" s="1"/>
  <c r="C25" i="69"/>
  <c r="C22" i="69" s="1"/>
  <c r="I42" i="35"/>
  <c r="J42" i="35" s="1"/>
  <c r="C52" i="68"/>
  <c r="B2" i="68" s="1"/>
  <c r="B3" i="68" s="1"/>
  <c r="C40" i="77"/>
  <c r="C41" i="77"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9" l="1"/>
  <c r="C52" i="69" s="1"/>
  <c r="C57" i="69" s="1"/>
  <c r="C56" i="69" s="1"/>
  <c r="C57" i="68"/>
  <c r="C56" i="68"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69" l="1"/>
  <c r="B3" i="69" s="1"/>
  <c r="C12" i="71"/>
  <c r="D13" i="71"/>
  <c r="L57" i="67"/>
  <c r="L60" i="67" s="1"/>
  <c r="L46" i="67" s="1"/>
  <c r="E2" i="7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34" i="9"/>
  <c r="D35" i="9"/>
  <c r="C20" i="9"/>
  <c r="D2" i="34"/>
  <c r="D2" i="35"/>
  <c r="D2" i="37"/>
  <c r="L51" i="15"/>
  <c r="D2" i="36"/>
  <c r="C102" i="9" l="1"/>
  <c r="C21" i="9"/>
  <c r="D2" i="67"/>
  <c r="B2" i="67" s="1"/>
  <c r="B2" i="77"/>
  <c r="C103" i="9"/>
  <c r="D12" i="71"/>
  <c r="U12" i="71" s="1"/>
  <c r="C11" i="71"/>
  <c r="T12" i="71"/>
  <c r="Q57" i="67"/>
  <c r="Q62" i="67" s="1"/>
  <c r="Q66" i="67"/>
  <c r="Q75" i="67"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19" i="9"/>
  <c r="AO9" i="1"/>
  <c r="AO6" i="1"/>
  <c r="AO8" i="1"/>
  <c r="AO11" i="1"/>
  <c r="AO7" i="1"/>
  <c r="AO10" i="1"/>
  <c r="AO12" i="1"/>
  <c r="B3" i="67" l="1"/>
  <c r="D21" i="9"/>
  <c r="D22" i="9"/>
  <c r="G19" i="9"/>
  <c r="G21" i="9" s="1"/>
  <c r="D102" i="9"/>
  <c r="B3" i="77"/>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4" i="74" l="1"/>
  <c r="G14" i="74" s="1"/>
  <c r="G20" i="9"/>
  <c r="I19" i="9" s="1"/>
  <c r="D103"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J20" i="9"/>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118" i="9"/>
  <c r="D119" i="9" s="1"/>
  <c r="D5" i="52" s="1"/>
  <c r="B49" i="72" s="1"/>
  <c r="F118" i="9"/>
  <c r="G118" i="9" s="1"/>
  <c r="G4" i="52" s="1"/>
  <c r="B52" i="72" s="1"/>
  <c r="H118" i="9"/>
  <c r="H101" i="9" s="1"/>
  <c r="F4" i="52" l="1"/>
  <c r="B51" i="72" s="1"/>
  <c r="F119" i="9"/>
  <c r="F5" i="52" s="1"/>
  <c r="B53" i="72" s="1"/>
  <c r="M48" i="9"/>
  <c r="H107" i="9"/>
  <c r="D45" i="9"/>
  <c r="D5" i="53"/>
  <c r="H119" i="9"/>
  <c r="H5" i="52" s="1"/>
  <c r="I118" i="9"/>
  <c r="C104" i="9"/>
  <c r="H4" i="52"/>
  <c r="D4" i="52"/>
  <c r="B47" i="72" s="1"/>
  <c r="D6" i="53" l="1"/>
  <c r="B22" i="72" s="1"/>
  <c r="B20" i="72"/>
  <c r="C72" i="9"/>
  <c r="C85" i="9"/>
  <c r="C64" i="9"/>
  <c r="C63" i="9" s="1"/>
  <c r="C67" i="9" s="1"/>
  <c r="D52" i="9"/>
  <c r="D53" i="9"/>
  <c r="D55" i="9"/>
  <c r="M53" i="9" s="1"/>
  <c r="C78" i="9"/>
  <c r="C73" i="9" s="1"/>
  <c r="C93" i="9"/>
  <c r="C86" i="9" s="1"/>
  <c r="H102" i="9"/>
  <c r="H108" i="9" s="1"/>
  <c r="I4" i="52"/>
  <c r="C105" i="9"/>
  <c r="E118" i="9"/>
  <c r="E4" i="52" s="1"/>
  <c r="B48" i="72" s="1"/>
  <c r="D13" i="53"/>
  <c r="M49" i="9"/>
  <c r="D122" i="9"/>
  <c r="C95" i="9" l="1"/>
  <c r="C96" i="9" s="1"/>
  <c r="D14" i="53"/>
  <c r="B32" i="72" s="1"/>
  <c r="B30" i="72"/>
  <c r="C5" i="74"/>
  <c r="D7" i="53"/>
  <c r="B21" i="72" s="1"/>
  <c r="C79" i="9"/>
  <c r="D123" i="9"/>
  <c r="D9" i="52" s="1"/>
  <c r="D8" i="52"/>
  <c r="L65" i="9"/>
  <c r="M65" i="9" s="1"/>
  <c r="L68" i="9"/>
  <c r="M68" i="9" s="1"/>
  <c r="L66" i="9"/>
  <c r="M66" i="9" s="1"/>
  <c r="L67" i="9"/>
  <c r="M67" i="9" s="1"/>
  <c r="L64" i="9"/>
  <c r="M64" i="9" s="1"/>
  <c r="L63" i="9"/>
  <c r="M63" i="9" s="1"/>
  <c r="D15" i="53"/>
  <c r="B31" i="72" s="1"/>
  <c r="C6" i="74"/>
  <c r="D59" i="9"/>
  <c r="M55" i="9" s="1"/>
  <c r="C68" i="9"/>
  <c r="D54" i="9" s="1"/>
  <c r="M69" i="9" l="1"/>
  <c r="N69" i="9" s="1"/>
  <c r="E96" i="9"/>
  <c r="E97" i="9" s="1"/>
  <c r="C97" i="9"/>
  <c r="D58" i="9" s="1"/>
  <c r="D56" i="9" s="1"/>
  <c r="M54" i="9" s="1"/>
  <c r="N57" i="9" s="1"/>
  <c r="N59" i="9" s="1"/>
  <c r="C80" i="9"/>
  <c r="E80" i="9" s="1"/>
  <c r="E81" i="9" s="1"/>
  <c r="N58" i="9" l="1"/>
  <c r="P57" i="9"/>
  <c r="N60" i="9"/>
  <c r="N61"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<sst xmlns="http://schemas.openxmlformats.org/spreadsheetml/2006/main" count="7890" uniqueCount="3444">
  <si>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</si>
  <si>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</si>
  <si>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</si>
  <si>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</si>
  <si>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</si>
  <si>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</si>
  <si>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</si>
  <si>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</si>
  <si>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</si>
  <si>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</si>
  <si>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</si>
  <si>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</si>
  <si>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</si>
  <si>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</si>
  <si>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</si>
  <si>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</si>
  <si>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</si>
  <si>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</si>
  <si>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</si>
  <si>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</si>
  <si>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</si>
  <si>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</si>
  <si>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</si>
  <si>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</si>
  <si>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</si>
  <si>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</si>
  <si>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</si>
  <si>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</si>
  <si>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</si>
  <si>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</si>
  <si>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</si>
  <si>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</si>
  <si>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</si>
  <si>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</si>
  <si>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</si>
  <si>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</si>
  <si>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</si>
  <si>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</si>
  <si>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</si>
  <si>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</si>
  <si>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</si>
  <si>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</si>
  <si>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</si>
  <si>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</si>
  <si>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</si>
  <si>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</si>
  <si>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</si>
  <si>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</si>
  <si>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</si>
  <si>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</si>
  <si>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</si>
  <si>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</si>
  <si>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</si>
  <si>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</si>
  <si>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</si>
  <si>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</si>
  <si>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</si>
  <si>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</si>
  <si>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</si>
  <si>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</si>
  <si>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</si>
  <si>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</si>
  <si>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</si>
  <si>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</si>
  <si>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</si>
  <si>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</si>
  <si>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</si>
  <si>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</si>
  <si>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</si>
  <si>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</si>
  <si>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</si>
  <si>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</si>
  <si>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</si>
  <si>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</si>
  <si>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</si>
  <si>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</si>
  <si>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</si>
  <si>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</si>
  <si>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</si>
  <si>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</si>
  <si>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</si>
  <si>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</si>
  <si>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</si>
  <si>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</si>
  <si>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</si>
  <si>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</si>
  <si>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</si>
  <si>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</si>
  <si>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</si>
  <si>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</si>
  <si>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</si>
  <si>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</si>
  <si>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</si>
  <si>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</si>
  <si>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</si>
  <si>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</si>
  <si>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</si>
  <si>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</si>
  <si>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</si>
  <si>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</si>
  <si>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</si>
  <si>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</si>
  <si>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</si>
  <si>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</si>
  <si>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</si>
  <si>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</si>
  <si>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</si>
  <si>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</si>
  <si>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</si>
  <si>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</si>
  <si>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</si>
  <si>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</si>
  <si>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</si>
  <si>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</si>
  <si>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</si>
  <si>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</si>
  <si>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</si>
  <si>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</si>
  <si>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</si>
  <si>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</si>
  <si>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</si>
  <si>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</si>
  <si>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</si>
  <si>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</si>
  <si>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</si>
  <si>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</si>
  <si>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</si>
  <si>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</si>
  <si>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</si>
  <si>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</si>
  <si>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</si>
  <si>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</si>
  <si>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</si>
  <si>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</si>
  <si>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</si>
  <si>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</si>
  <si>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</si>
  <si>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</si>
  <si>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</si>
  <si>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</si>
  <si>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</si>
  <si>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</si>
  <si>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</si>
  <si>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</si>
  <si>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</si>
  <si>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</si>
  <si>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</si>
  <si>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</si>
  <si>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</si>
  <si>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</si>
  <si>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</si>
  <si>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</si>
  <si>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</si>
  <si>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</si>
  <si>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</si>
  <si>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</si>
  <si>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</si>
  <si>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</si>
  <si>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</si>
  <si>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</si>
  <si>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</si>
  <si>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</si>
  <si>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</si>
  <si>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</si>
  <si>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</si>
  <si>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</si>
  <si>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</si>
  <si>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</si>
  <si>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</si>
  <si>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</si>
  <si>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</si>
  <si>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</si>
  <si>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</si>
  <si>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</si>
  <si>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</si>
  <si>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</si>
  <si>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</si>
  <si>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</si>
  <si>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</si>
  <si>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</si>
  <si>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</si>
  <si>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</si>
  <si>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</si>
  <si>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</si>
  <si>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</si>
  <si>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</si>
  <si>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</si>
  <si>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</si>
  <si>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</si>
  <si>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</si>
  <si>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</si>
  <si>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</si>
  <si>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</si>
  <si>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</si>
  <si>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</si>
  <si>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</si>
  <si>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</si>
  <si>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</si>
  <si>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</si>
  <si>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</si>
  <si>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</si>
  <si>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</si>
  <si>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</si>
  <si>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</si>
  <si>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</si>
  <si>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</si>
  <si>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</si>
  <si>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</si>
  <si>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</si>
  <si>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</si>
  <si>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</si>
  <si>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</si>
  <si>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</si>
  <si>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</si>
  <si>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</si>
  <si>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</si>
  <si>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</si>
  <si>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</si>
  <si>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</si>
  <si>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</si>
  <si>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</si>
  <si>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</si>
  <si>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</si>
  <si>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</si>
  <si>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</si>
  <si>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</si>
  <si>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</si>
  <si>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</si>
  <si>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</si>
  <si>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</si>
  <si>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</si>
  <si>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</si>
  <si>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</si>
  <si>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</si>
  <si>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</si>
  <si>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</si>
  <si>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</si>
  <si>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</si>
  <si>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</si>
  <si>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</si>
  <si>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</si>
  <si>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</si>
  <si>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</si>
  <si>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</si>
  <si>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</si>
  <si>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</si>
  <si>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</si>
  <si>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</si>
  <si>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</si>
  <si>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</si>
  <si>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</si>
  <si>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</si>
  <si>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</si>
  <si>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</si>
  <si>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</si>
  <si>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</si>
  <si>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</si>
  <si>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</si>
  <si>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</si>
  <si>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</si>
  <si>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</si>
  <si>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</si>
  <si>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</si>
  <si>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</si>
  <si>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</si>
  <si>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</si>
  <si>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</si>
  <si>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</si>
  <si>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</si>
  <si>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</si>
  <si>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</si>
  <si>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</si>
  <si>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</si>
  <si>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</si>
  <si>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</si>
  <si>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</si>
  <si>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</si>
  <si>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</si>
  <si>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</si>
  <si>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</si>
  <si>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</si>
  <si>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</si>
  <si>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</si>
  <si>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</si>
  <si>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</si>
  <si>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</si>
  <si>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</si>
  <si>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</si>
  <si>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</si>
  <si>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</si>
  <si>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</si>
  <si>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</si>
  <si>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</si>
  <si>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</si>
  <si>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</si>
  <si>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</si>
  <si>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</si>
  <si>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</si>
  <si>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</si>
  <si>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</si>
  <si>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</si>
  <si>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</si>
  <si>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</si>
  <si>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</si>
  <si>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</si>
  <si>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</si>
  <si>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</si>
  <si>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</si>
  <si>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</si>
  <si>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</si>
  <si>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</si>
  <si>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</si>
  <si>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</si>
  <si>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</si>
  <si>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</si>
  <si>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</si>
  <si>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</si>
  <si>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</si>
  <si>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</si>
  <si>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</si>
  <si>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</si>
  <si>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</si>
  <si>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</si>
  <si>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</si>
  <si>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</si>
  <si>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</si>
  <si>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</si>
  <si>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</si>
  <si>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</si>
  <si>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</si>
  <si>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</si>
  <si>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</si>
  <si>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</si>
  <si>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</si>
  <si>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</si>
  <si>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</si>
  <si>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</si>
  <si>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</si>
  <si>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</si>
  <si>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</si>
  <si>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</si>
  <si>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</si>
  <si>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</si>
  <si>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</si>
  <si>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</si>
  <si>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</si>
  <si>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</si>
  <si>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</si>
  <si>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</si>
  <si>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</si>
  <si>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</si>
  <si>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</si>
  <si>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</si>
  <si>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</si>
  <si>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</si>
  <si>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</si>
  <si>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</si>
  <si>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</si>
  <si>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</si>
  <si>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</si>
  <si>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</si>
  <si>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</si>
  <si>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</si>
  <si>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</si>
  <si>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</si>
  <si>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</si>
  <si>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</si>
  <si>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</si>
  <si>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</si>
  <si>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</si>
  <si>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</si>
  <si>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</si>
  <si>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</si>
  <si>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</si>
  <si>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</si>
  <si>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</si>
  <si>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</si>
  <si>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</si>
  <si>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</si>
  <si>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</si>
  <si>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</si>
  <si>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</si>
  <si>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</si>
  <si>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</si>
  <si>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</si>
  <si>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</si>
  <si>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</si>
  <si>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</si>
  <si>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</si>
  <si>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</si>
  <si>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</si>
  <si>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</si>
  <si>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</si>
  <si>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</si>
  <si>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</si>
  <si>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</si>
  <si>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</si>
  <si>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</si>
  <si>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</si>
  <si>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</si>
  <si>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</si>
  <si>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</si>
  <si>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</si>
  <si>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</si>
  <si>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</si>
  <si>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</si>
  <si>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</si>
  <si>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</si>
  <si>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</si>
  <si>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</si>
  <si>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</si>
  <si>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</si>
  <si>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</si>
  <si>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</si>
  <si>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</si>
  <si>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</si>
  <si>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</si>
  <si>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</si>
  <si>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</si>
  <si>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</si>
  <si>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</si>
  <si>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</si>
  <si>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</si>
  <si>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</si>
  <si>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</si>
  <si>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</si>
  <si>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</si>
  <si>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</si>
  <si>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</si>
  <si>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</si>
  <si>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</si>
  <si>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</si>
  <si>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</si>
  <si>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</si>
  <si>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</si>
  <si>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</si>
  <si>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</si>
  <si>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</si>
  <si>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</si>
  <si>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</si>
  <si>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</si>
  <si>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</si>
  <si>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</si>
  <si>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</si>
  <si>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</si>
  <si>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</si>
  <si>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</si>
  <si>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</si>
  <si>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</si>
  <si>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</si>
  <si>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</si>
  <si>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</si>
  <si>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</si>
  <si>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</si>
  <si>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</si>
  <si>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</si>
  <si>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</si>
  <si>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</si>
  <si>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</si>
  <si>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</si>
  <si>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</si>
  <si>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</si>
  <si>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</si>
  <si>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</si>
  <si>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</si>
  <si>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</si>
  <si>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</si>
  <si>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</si>
  <si>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</si>
  <si>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</si>
  <si>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</si>
  <si>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</si>
  <si>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</si>
  <si>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</si>
  <si>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</si>
  <si>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</si>
  <si>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</si>
  <si>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</si>
  <si>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</si>
  <si>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</si>
  <si>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</si>
  <si>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</si>
  <si>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</si>
  <si>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</si>
  <si>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</si>
  <si>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</si>
  <si>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</si>
  <si>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</si>
  <si>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</si>
  <si>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</si>
  <si>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</si>
  <si>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</si>
  <si>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</si>
  <si>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</si>
  <si>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</si>
  <si>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</si>
  <si>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</si>
  <si>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</si>
  <si>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</si>
  <si>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</si>
  <si>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</si>
  <si>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</si>
  <si>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</si>
  <si>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</si>
  <si>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</si>
  <si>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</si>
  <si>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</si>
  <si>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</si>
  <si>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</si>
  <si>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</si>
  <si>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</si>
  <si>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</si>
  <si>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</si>
  <si>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</si>
  <si>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</si>
  <si>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</si>
  <si>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</si>
  <si>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</si>
  <si>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</si>
  <si>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</si>
  <si>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</si>
  <si>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</si>
  <si>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</si>
  <si>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</si>
  <si>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</si>
  <si>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</si>
  <si>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</si>
  <si>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</si>
  <si>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</si>
  <si>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</si>
  <si>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</si>
  <si>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</si>
  <si>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</si>
  <si>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</si>
  <si>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</si>
  <si>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</si>
  <si>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</si>
  <si>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</si>
  <si>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</si>
  <si>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</si>
  <si>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</si>
  <si>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</si>
  <si>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</si>
  <si>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</si>
  <si>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</si>
  <si>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</si>
  <si>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</si>
  <si>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</si>
  <si>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</si>
  <si>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</si>
  <si>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</si>
  <si>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</si>
  <si>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</si>
  <si>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</si>
  <si>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</si>
  <si>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</si>
  <si>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</si>
  <si>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</si>
  <si>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</si>
  <si>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</si>
  <si>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</si>
  <si>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</si>
  <si>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</si>
  <si>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</si>
  <si>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</si>
  <si>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</si>
  <si>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</si>
  <si>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</si>
  <si>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</si>
  <si>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</si>
  <si>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</si>
  <si>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</si>
  <si>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</si>
  <si>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</si>
  <si>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</si>
  <si>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</si>
  <si>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</si>
  <si>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</si>
  <si>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</si>
  <si>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</si>
  <si>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</si>
  <si>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</si>
  <si>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</si>
  <si>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</si>
  <si>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</si>
  <si>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</si>
  <si>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</si>
  <si>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</si>
  <si>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</si>
  <si>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</si>
  <si>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</si>
  <si>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</si>
  <si>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</si>
  <si>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</si>
  <si>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</si>
  <si>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</si>
  <si>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</si>
  <si>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</si>
  <si>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</si>
  <si>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</si>
  <si>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</si>
  <si>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</si>
  <si>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</si>
  <si>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</si>
  <si>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</si>
  <si>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</si>
  <si>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</si>
  <si>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</si>
  <si>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</si>
  <si>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</si>
  <si>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</si>
  <si>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</si>
  <si>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</si>
  <si>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</si>
  <si>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</si>
  <si>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</si>
  <si>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</si>
  <si>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</si>
  <si>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</si>
  <si>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</si>
  <si>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</si>
  <si>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</si>
  <si>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</si>
  <si>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</si>
  <si>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</si>
  <si>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</si>
  <si>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</si>
  <si>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</si>
  <si>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</si>
  <si>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</si>
  <si>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</si>
  <si>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</si>
  <si>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</si>
  <si>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</si>
  <si>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</si>
  <si>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</si>
  <si>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</si>
  <si>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</si>
  <si>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</si>
  <si>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</si>
  <si>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</si>
  <si>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</si>
  <si>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</si>
  <si>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</si>
  <si>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</si>
  <si>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</si>
  <si>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</si>
  <si>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</si>
  <si>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</si>
  <si>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</si>
  <si>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</si>
  <si>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</si>
  <si>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</si>
  <si>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</si>
  <si>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</si>
  <si>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</si>
  <si>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</si>
  <si>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</si>
  <si>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</si>
  <si>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</si>
  <si>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</si>
  <si>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</si>
  <si>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</si>
  <si>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</si>
  <si>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</si>
  <si>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</si>
  <si>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</si>
  <si>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</si>
  <si>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</si>
  <si>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</si>
  <si>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</si>
  <si>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</si>
  <si>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</si>
  <si>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</si>
  <si>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</si>
  <si>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</si>
  <si>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</si>
  <si>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</si>
  <si>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</si>
  <si>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</si>
  <si>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</si>
  <si>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</si>
  <si>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</si>
  <si>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</si>
  <si>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</si>
  <si>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</si>
  <si>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</si>
  <si>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</si>
  <si>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</si>
  <si>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</si>
  <si>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</si>
  <si>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</si>
  <si>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</si>
  <si>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</si>
  <si>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</si>
  <si>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</si>
  <si>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</si>
  <si>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</si>
  <si>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</si>
  <si>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</si>
  <si>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</si>
  <si>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</si>
  <si>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</si>
  <si>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</si>
  <si>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</si>
  <si>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</si>
  <si>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</si>
  <si>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</si>
  <si>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</si>
  <si>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</si>
  <si>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</si>
  <si>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</si>
  <si>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</si>
  <si>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</si>
  <si>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</si>
  <si>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</si>
  <si>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</si>
  <si>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</si>
  <si>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</si>
  <si>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</si>
  <si>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</si>
  <si>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</si>
  <si>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</si>
  <si>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</si>
  <si>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</si>
  <si>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</si>
  <si>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</si>
  <si>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</si>
  <si>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</si>
  <si>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</si>
  <si>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</si>
  <si>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</si>
  <si>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</si>
  <si>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</si>
  <si>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</si>
  <si>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</si>
  <si>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</si>
  <si>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</si>
  <si>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</si>
  <si>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</si>
  <si>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</si>
  <si>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</si>
  <si>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</si>
  <si>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</si>
  <si>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</si>
  <si>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</si>
  <si>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</si>
  <si>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</si>
  <si>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</si>
  <si>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</si>
  <si>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</si>
  <si>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</si>
  <si>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</si>
  <si>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</si>
  <si>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</si>
  <si>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</si>
  <si>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</si>
  <si>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</si>
  <si>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</si>
  <si>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</si>
  <si>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</si>
  <si>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</si>
  <si>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</si>
  <si>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</si>
  <si>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</si>
  <si>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</si>
  <si>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</si>
  <si>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</si>
  <si>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</si>
  <si>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</si>
  <si>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</si>
  <si>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</si>
  <si>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</si>
  <si>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</si>
  <si>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</si>
  <si>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</si>
  <si>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</si>
  <si>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</si>
  <si>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</si>
  <si>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</si>
  <si>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</si>
  <si>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</si>
  <si>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</si>
  <si>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</si>
  <si>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</si>
  <si>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</si>
  <si>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</si>
  <si>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</si>
  <si>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</si>
  <si>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</si>
  <si>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</si>
  <si>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</si>
  <si>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</si>
  <si>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</si>
  <si>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</si>
  <si>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</si>
  <si>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</si>
  <si>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</si>
  <si>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</si>
  <si>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</si>
  <si>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</si>
  <si>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</si>
  <si>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</si>
  <si>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</si>
  <si>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</si>
  <si>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</si>
  <si>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</si>
  <si>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</si>
  <si>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</si>
  <si>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</si>
  <si>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</si>
  <si>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</si>
  <si>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</si>
  <si>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</si>
  <si>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</si>
  <si>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</si>
  <si>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</si>
  <si>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</si>
  <si>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</si>
  <si>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</si>
  <si>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</si>
  <si>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</si>
  <si>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</si>
  <si>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</si>
  <si>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</si>
  <si>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</si>
  <si>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</si>
  <si>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</si>
  <si>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</si>
  <si>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</si>
  <si>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</si>
  <si>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</si>
  <si>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</si>
  <si>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</si>
  <si>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</si>
  <si>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</si>
  <si>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</si>
  <si>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</si>
  <si>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</si>
  <si>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</si>
  <si>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</si>
  <si>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</si>
  <si>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</si>
  <si>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</si>
  <si>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</si>
  <si>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</si>
  <si>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</si>
  <si>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</si>
  <si>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</si>
  <si>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</si>
  <si>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</si>
  <si>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</si>
  <si>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</si>
  <si>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</si>
  <si>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</si>
  <si>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</si>
  <si>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</si>
  <si>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</si>
  <si>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</si>
  <si>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</si>
  <si>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</si>
  <si>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</si>
  <si>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</si>
  <si>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</si>
  <si>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</si>
  <si>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</si>
  <si>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</si>
  <si>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</si>
  <si>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</si>
  <si>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</si>
  <si>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</si>
  <si>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</si>
  <si>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</si>
  <si>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</si>
  <si>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</si>
  <si>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</si>
  <si>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</si>
  <si>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</si>
  <si>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</si>
  <si>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</si>
  <si>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</si>
  <si>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</si>
  <si>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</si>
  <si>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</si>
  <si>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</si>
  <si>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</si>
  <si>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</si>
  <si>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</si>
  <si>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</si>
  <si>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</si>
  <si>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</si>
  <si>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</si>
  <si>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</si>
  <si>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</si>
  <si>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</si>
  <si>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</si>
  <si>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</si>
  <si>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</si>
  <si>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</si>
  <si>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</si>
  <si>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</si>
  <si>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</si>
  <si>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</si>
  <si>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</si>
  <si>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</si>
  <si>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</si>
  <si>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</si>
  <si>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</si>
  <si>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</si>
  <si>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</si>
  <si>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</si>
  <si>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</si>
  <si>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</si>
  <si>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</si>
  <si>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</si>
  <si>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</si>
  <si>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</si>
  <si>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</si>
  <si>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</si>
  <si>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</si>
  <si>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</si>
  <si>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</si>
  <si>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</si>
  <si>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</si>
  <si>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</si>
  <si>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</si>
  <si>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</si>
  <si>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</si>
  <si>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</si>
  <si>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</si>
  <si>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</si>
  <si>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</si>
  <si>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</si>
  <si>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</si>
  <si>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</si>
  <si>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</si>
  <si>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</si>
  <si>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</si>
  <si>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</si>
  <si>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</si>
  <si>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</si>
  <si>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</si>
  <si>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</si>
  <si>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</si>
  <si>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</si>
  <si>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</si>
  <si>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</si>
  <si>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</si>
  <si>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</si>
  <si>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</si>
  <si>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</si>
  <si>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</si>
  <si>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</si>
  <si>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</si>
  <si>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</si>
  <si>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</si>
  <si>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</si>
  <si>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</si>
  <si>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</si>
  <si>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</si>
  <si>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</si>
  <si>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</si>
  <si>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</si>
  <si>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</si>
  <si>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</si>
  <si>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</si>
  <si>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</si>
  <si>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</si>
  <si>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</si>
  <si>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</si>
  <si>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</si>
  <si>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</si>
  <si>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</si>
  <si>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</si>
  <si>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</si>
  <si>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</si>
  <si>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</si>
  <si>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</si>
  <si>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</si>
  <si>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</si>
  <si>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</si>
  <si>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</si>
  <si>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</si>
  <si>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</si>
  <si>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</si>
  <si>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</si>
  <si>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</si>
  <si>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</si>
  <si>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</si>
  <si>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</si>
  <si>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</si>
  <si>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</si>
  <si>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</si>
  <si>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</si>
  <si>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</si>
  <si>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</si>
  <si>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</si>
  <si>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</si>
  <si>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</si>
  <si>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</si>
  <si>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</si>
  <si>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</si>
  <si>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</si>
  <si>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</si>
  <si>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</si>
  <si>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</si>
  <si>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</si>
  <si>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</si>
  <si>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</si>
  <si>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</si>
  <si>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</si>
  <si>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</si>
  <si>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</si>
  <si>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</si>
  <si>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</si>
  <si>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</si>
  <si>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</si>
  <si>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</si>
  <si>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</si>
  <si>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</si>
  <si>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</si>
  <si>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</si>
  <si>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</si>
  <si>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</si>
  <si>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</si>
  <si>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</si>
  <si>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</si>
  <si>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</si>
  <si>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</si>
  <si>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</si>
  <si>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</si>
  <si>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</si>
  <si>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</si>
  <si>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</si>
  <si>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</si>
  <si>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</si>
  <si>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</si>
  <si>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</si>
  <si>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</si>
  <si>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</si>
  <si>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</si>
  <si>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</si>
  <si>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</si>
  <si>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</si>
  <si>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</si>
  <si>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</si>
  <si>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</si>
  <si>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</si>
  <si>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</si>
  <si>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</si>
  <si>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</si>
  <si>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</si>
  <si>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</si>
  <si>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</si>
  <si>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</si>
  <si>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</si>
  <si>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</si>
  <si>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</si>
  <si>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</si>
  <si>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</si>
  <si>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</si>
  <si>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</si>
  <si>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</si>
  <si>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</si>
  <si>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</si>
  <si>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</si>
  <si>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</si>
  <si>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</si>
  <si>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</si>
  <si>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</si>
  <si>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</si>
  <si>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</si>
  <si>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</si>
  <si>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</si>
  <si>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</si>
  <si>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</si>
  <si>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</si>
  <si>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</si>
  <si>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</si>
  <si>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</si>
  <si>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</si>
  <si>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</si>
  <si>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</si>
  <si>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</si>
  <si>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</si>
  <si>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</si>
  <si>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</si>
  <si>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</si>
  <si>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</si>
  <si>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</si>
  <si>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</si>
  <si>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</si>
  <si>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</si>
  <si>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</si>
  <si>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</si>
  <si>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</si>
  <si>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</si>
  <si>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</si>
  <si>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</si>
  <si>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</si>
  <si>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</si>
  <si>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</si>
  <si>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</si>
  <si>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</si>
  <si>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</si>
  <si>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</si>
  <si>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</si>
  <si>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</si>
  <si>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</si>
  <si>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</si>
  <si>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</si>
  <si>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</si>
  <si>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</si>
  <si>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</si>
  <si>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</si>
  <si>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</si>
  <si>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</si>
  <si>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</si>
  <si>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</si>
  <si>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</si>
  <si>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</si>
  <si>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</si>
  <si>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</si>
  <si>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</si>
  <si>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</si>
  <si>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</si>
  <si>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</si>
  <si>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</si>
  <si>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</si>
  <si>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</si>
  <si>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</si>
  <si>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</si>
  <si>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</si>
  <si>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</si>
  <si>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</si>
  <si>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</si>
  <si>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</si>
  <si>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</si>
  <si>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</si>
  <si>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</si>
  <si>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</si>
  <si>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</si>
  <si>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</si>
  <si>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</si>
  <si>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</si>
  <si>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</si>
  <si>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</si>
  <si>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</si>
  <si>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</si>
  <si>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</si>
  <si>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</si>
  <si>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</si>
  <si>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</si>
  <si>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</si>
  <si>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</si>
  <si>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</si>
  <si>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</si>
  <si>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</si>
  <si>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</si>
  <si>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</si>
  <si>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</si>
  <si>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</si>
  <si>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</si>
  <si>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</si>
  <si>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</si>
  <si>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</si>
  <si>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</si>
  <si>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</si>
  <si>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</si>
  <si>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</si>
  <si>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</si>
  <si>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</si>
  <si>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</si>
  <si>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</si>
  <si>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</si>
  <si>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</si>
  <si>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</si>
  <si>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</si>
  <si>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</si>
  <si>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</si>
  <si>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</si>
  <si>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</si>
  <si>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</si>
  <si>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</si>
  <si>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</si>
  <si>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</si>
  <si>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</si>
  <si>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</si>
  <si>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</si>
  <si>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</si>
  <si>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</si>
  <si>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</si>
  <si>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</si>
  <si>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</si>
  <si>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</si>
  <si>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</si>
  <si>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</si>
  <si>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</si>
  <si>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</si>
  <si>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</si>
  <si>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</si>
  <si>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</si>
  <si>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</si>
  <si>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</si>
  <si>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</si>
  <si>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</si>
  <si>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</si>
  <si>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</si>
  <si>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</si>
  <si>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</si>
  <si>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</si>
  <si>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</si>
  <si>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</si>
  <si>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</si>
  <si>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</si>
  <si>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</si>
  <si>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</si>
  <si>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</si>
  <si>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</si>
  <si>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</si>
  <si>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</si>
  <si>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</si>
  <si>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</si>
  <si>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</si>
  <si>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</si>
  <si>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</si>
  <si>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</si>
  <si>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</si>
  <si>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</si>
  <si>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</si>
  <si>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</si>
  <si>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</si>
  <si>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</si>
  <si>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</si>
  <si>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</si>
  <si>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</si>
  <si>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</si>
  <si>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</si>
  <si>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</si>
  <si>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</si>
  <si>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</si>
  <si>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</si>
  <si>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</si>
  <si>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</si>
  <si>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</si>
  <si>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</si>
  <si>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</si>
  <si>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</si>
  <si>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</si>
  <si>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</si>
  <si>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</si>
  <si>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</si>
  <si>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</si>
  <si>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</si>
  <si>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</si>
  <si>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</si>
  <si>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</si>
  <si>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</si>
  <si>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</si>
  <si>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</si>
  <si>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</si>
  <si>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</si>
  <si>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</si>
  <si>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</si>
  <si>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</si>
  <si>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</si>
  <si>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</si>
  <si>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</si>
  <si>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</si>
  <si>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</si>
  <si>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</si>
  <si>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</si>
  <si>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</si>
  <si>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</si>
  <si>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</si>
  <si>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</si>
  <si>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</si>
  <si>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</si>
  <si>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</si>
  <si>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</si>
  <si>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</si>
  <si>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</si>
  <si>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</si>
  <si>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</si>
  <si>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</si>
  <si>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</si>
  <si>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</si>
  <si>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</si>
  <si>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</si>
  <si>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</si>
  <si>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</si>
  <si>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</si>
  <si>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</si>
  <si>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</si>
  <si>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</si>
  <si>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</si>
  <si>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</si>
  <si>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</si>
  <si>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</si>
  <si>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</si>
  <si>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</si>
  <si>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</si>
  <si>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</si>
  <si>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</si>
  <si>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</si>
  <si>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</si>
  <si>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</si>
  <si>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</si>
  <si>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</si>
  <si>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</si>
  <si>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</si>
  <si>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</si>
  <si>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</si>
  <si>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</si>
  <si>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</si>
  <si>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</si>
  <si>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</si>
  <si>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</si>
  <si>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</si>
  <si>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</si>
  <si>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</si>
  <si>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</si>
  <si>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</si>
  <si>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</si>
  <si>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</si>
  <si>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</si>
  <si>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</si>
  <si>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</si>
  <si>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</si>
  <si>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</si>
  <si>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</si>
  <si>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</si>
  <si>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</si>
  <si>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</si>
  <si>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</si>
  <si>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</si>
  <si>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</si>
  <si>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</si>
  <si>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</si>
  <si>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</si>
  <si>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</si>
  <si>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</si>
  <si>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</si>
  <si>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</si>
  <si>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</si>
  <si>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</si>
  <si>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</si>
  <si>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</si>
  <si>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</si>
  <si>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</si>
  <si>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</si>
  <si>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</si>
  <si>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</si>
  <si>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</si>
  <si>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</si>
  <si>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</si>
  <si>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</si>
  <si>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</si>
  <si>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</si>
  <si>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</si>
  <si>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</si>
  <si>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</si>
  <si>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</si>
  <si>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</si>
  <si>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</si>
  <si>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</si>
  <si>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</si>
  <si>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</si>
  <si>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</si>
  <si>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</si>
  <si>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</si>
  <si>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</si>
  <si>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</si>
  <si>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</si>
  <si>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</si>
  <si>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</si>
  <si>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</si>
  <si>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</si>
  <si>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</si>
  <si>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</si>
  <si>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</si>
  <si>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</si>
  <si>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</si>
  <si>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</si>
  <si>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</si>
  <si>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</si>
  <si>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</si>
  <si>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</si>
  <si>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</si>
  <si>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</si>
  <si>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</si>
  <si>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</si>
  <si>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</si>
  <si>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</si>
  <si>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</si>
  <si>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</si>
  <si>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</si>
  <si>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</si>
  <si>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</si>
  <si>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</si>
  <si>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</si>
  <si>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</si>
  <si>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</si>
  <si>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</si>
  <si>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</si>
  <si>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</si>
  <si>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</si>
  <si>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</si>
  <si>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</si>
  <si>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</si>
  <si>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</si>
  <si>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</si>
  <si>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</si>
  <si>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</si>
  <si>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</si>
  <si>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</si>
  <si>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</si>
  <si>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</si>
  <si>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</si>
  <si>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</si>
  <si>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</si>
  <si>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</si>
  <si>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</si>
  <si>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</si>
  <si>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</si>
  <si>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</si>
  <si>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</si>
  <si>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</si>
  <si>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</si>
  <si>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</si>
  <si>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</si>
  <si>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</si>
  <si>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</si>
  <si>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</si>
  <si>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</si>
  <si>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</si>
  <si>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</si>
  <si>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</si>
  <si>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</si>
  <si>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</si>
  <si>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</si>
  <si>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</si>
  <si>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</si>
  <si>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</si>
  <si>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</si>
  <si>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</si>
  <si>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</si>
  <si>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</si>
  <si>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</si>
  <si>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</si>
  <si>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</si>
  <si>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</si>
  <si>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</si>
  <si>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</si>
  <si>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</si>
  <si>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</si>
  <si>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</si>
  <si>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</si>
  <si>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</si>
  <si>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</si>
  <si>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</si>
  <si>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</si>
  <si>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</si>
  <si>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</si>
  <si>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</si>
  <si>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</si>
  <si>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</si>
  <si>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</si>
  <si>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</si>
  <si>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</si>
  <si>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</si>
  <si>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</si>
  <si>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</si>
  <si>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</si>
  <si>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</si>
  <si>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</si>
  <si>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</si>
  <si>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</si>
  <si>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</si>
  <si>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</si>
  <si>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</si>
  <si>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</si>
  <si>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</si>
  <si>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</si>
  <si>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</si>
  <si>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</si>
  <si>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</si>
  <si>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</si>
  <si>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</si>
  <si>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</si>
  <si>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</si>
  <si>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</si>
  <si>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</si>
  <si>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</si>
  <si>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</si>
  <si>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</si>
  <si>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</si>
  <si>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</si>
  <si>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</si>
  <si>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</si>
  <si>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</si>
  <si>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</si>
  <si>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</si>
  <si>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</si>
  <si>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</si>
  <si>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</si>
  <si>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</si>
  <si>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</si>
  <si>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</si>
  <si>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</si>
  <si>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</si>
  <si>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</si>
  <si>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</si>
  <si>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</si>
  <si>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</si>
  <si>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</si>
  <si>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</si>
  <si>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</si>
  <si>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</si>
  <si>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</si>
  <si>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</si>
  <si>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</si>
  <si>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</si>
  <si>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</si>
  <si>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</si>
  <si>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</si>
  <si>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</si>
  <si>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</si>
  <si>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</si>
  <si>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</si>
  <si>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</si>
  <si>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</si>
  <si>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</si>
  <si>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</si>
  <si>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</si>
  <si>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</si>
  <si>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</si>
  <si>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</si>
  <si>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</si>
  <si>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</si>
  <si>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</si>
  <si>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</si>
  <si>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</si>
  <si>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</si>
  <si>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</si>
  <si>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</si>
  <si>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</si>
  <si>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</si>
  <si>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</si>
  <si>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</si>
  <si>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</si>
  <si>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</si>
  <si>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</si>
  <si>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</si>
  <si>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</si>
  <si>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</si>
  <si>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</si>
  <si>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</si>
  <si>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</si>
  <si>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</si>
  <si>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</si>
  <si>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</si>
  <si>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</si>
  <si>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</si>
  <si>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</si>
  <si>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</si>
  <si>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</si>
  <si>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</si>
  <si>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</si>
  <si>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</si>
  <si>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</si>
  <si>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</si>
  <si>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</si>
  <si>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</si>
  <si>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</si>
  <si>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</si>
  <si>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</si>
  <si>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</si>
  <si>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</si>
  <si>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</si>
  <si>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</si>
  <si>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</si>
  <si>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</si>
  <si>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</si>
  <si>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</si>
  <si>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</si>
  <si>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</si>
  <si>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</si>
  <si>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</si>
  <si>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</si>
  <si>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</si>
  <si>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</si>
  <si>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</si>
  <si>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</si>
  <si>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</si>
  <si>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</si>
  <si>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</si>
  <si>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</si>
  <si>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</si>
  <si>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</si>
  <si>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</si>
  <si>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</si>
  <si>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</si>
  <si>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</si>
  <si>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</si>
  <si>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</si>
  <si>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</si>
  <si>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</si>
  <si>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</si>
  <si>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</si>
  <si>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</si>
  <si>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</si>
  <si>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</si>
  <si>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</si>
  <si>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</si>
  <si>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</si>
  <si>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</si>
  <si>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</si>
  <si>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</si>
  <si>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</si>
  <si>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</si>
  <si>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</si>
  <si>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</si>
  <si>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</si>
  <si>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</si>
  <si>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</si>
  <si>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</si>
  <si>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</si>
  <si>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</si>
  <si>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</si>
  <si>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</si>
  <si>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</si>
  <si>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</si>
  <si>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</si>
  <si>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</si>
  <si>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</si>
  <si>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</si>
  <si>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</si>
  <si>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</si>
  <si>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</si>
  <si>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</si>
  <si>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</si>
  <si>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</si>
  <si>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</si>
  <si>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</si>
  <si>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</si>
  <si>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</si>
  <si>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</si>
  <si>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</si>
  <si>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</si>
  <si>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</si>
  <si>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</si>
  <si>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</si>
  <si>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</si>
  <si>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</si>
  <si>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</si>
  <si>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</si>
  <si>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</si>
  <si>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</si>
  <si>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</si>
  <si>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</si>
  <si>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</si>
  <si>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</si>
  <si>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</si>
  <si>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</si>
  <si>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</si>
  <si>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</si>
  <si>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</si>
  <si>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</si>
  <si>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</si>
  <si>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</si>
  <si>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</si>
  <si>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</si>
  <si>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</si>
  <si>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</si>
  <si>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</si>
  <si>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</si>
  <si>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</si>
  <si>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</si>
  <si>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</si>
  <si>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</si>
  <si>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</si>
  <si>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</si>
  <si>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</si>
  <si>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</si>
  <si>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</si>
  <si>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</si>
  <si>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</si>
  <si>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</si>
  <si>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</si>
  <si>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</si>
  <si>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</si>
  <si>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</si>
  <si>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</si>
  <si>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</si>
  <si>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</si>
  <si>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</si>
  <si>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</si>
  <si>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</si>
  <si>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</si>
  <si>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</si>
  <si>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</si>
  <si>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</si>
  <si>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</si>
  <si>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</si>
  <si>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</si>
  <si>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</si>
  <si>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</si>
  <si>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</si>
  <si>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</si>
  <si>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</si>
  <si>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</si>
  <si>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</si>
  <si>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</si>
  <si>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</si>
  <si>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</si>
  <si>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</si>
  <si>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</si>
  <si>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</si>
  <si>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</si>
  <si>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</si>
  <si>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</si>
  <si>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</si>
  <si>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</si>
  <si>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</si>
  <si>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</si>
  <si>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</si>
  <si>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</si>
  <si>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</si>
  <si>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</si>
  <si>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</si>
  <si>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</si>
  <si>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</si>
  <si>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</si>
  <si>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</si>
  <si>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</si>
  <si>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</si>
  <si>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</si>
  <si>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</si>
  <si>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</si>
  <si>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</si>
  <si>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</si>
  <si>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</si>
  <si>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</si>
  <si>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</si>
  <si>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</si>
  <si>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</si>
  <si>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</si>
  <si>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</si>
  <si>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</si>
  <si>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</si>
  <si>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</si>
  <si>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</si>
  <si>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</si>
  <si>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</si>
  <si>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</si>
  <si>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</si>
  <si>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</si>
  <si>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</si>
  <si>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</si>
  <si>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</si>
  <si>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</si>
  <si>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</si>
  <si>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</si>
  <si>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</si>
  <si>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</si>
  <si>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</si>
  <si>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</si>
  <si>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</si>
  <si>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</si>
  <si>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</si>
  <si>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</si>
  <si>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</si>
  <si>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</si>
  <si>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</si>
  <si>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</si>
  <si>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</si>
  <si>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</si>
  <si>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</si>
  <si>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</si>
  <si>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</si>
  <si>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</si>
  <si>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</si>
  <si>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</si>
  <si>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</si>
  <si>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</si>
  <si>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</si>
  <si>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</si>
  <si>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</si>
  <si>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</si>
  <si>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</si>
  <si>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</si>
  <si>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</si>
  <si>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</si>
  <si>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</si>
  <si>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</si>
  <si>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</si>
  <si>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</si>
  <si>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</si>
  <si>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</si>
  <si>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</si>
  <si>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</si>
  <si>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</si>
  <si>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</si>
  <si>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</si>
  <si>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</si>
  <si>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</si>
  <si>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</si>
  <si>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</si>
  <si>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</si>
  <si>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</si>
  <si>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</si>
  <si>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</si>
  <si>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</si>
  <si>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</si>
  <si>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</si>
  <si>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</si>
  <si>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</si>
  <si>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</si>
  <si>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</si>
  <si>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</si>
  <si>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</si>
  <si>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</si>
  <si>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</si>
  <si>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</si>
  <si>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</si>
  <si>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</si>
  <si>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</si>
  <si>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</si>
  <si>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</si>
  <si>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</si>
  <si>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</si>
  <si>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</si>
  <si>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</si>
  <si>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</si>
  <si>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</si>
  <si>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</si>
  <si>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</si>
  <si>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</si>
  <si>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</si>
  <si>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</si>
  <si>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</si>
  <si>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</si>
  <si>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</si>
  <si>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</si>
  <si>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</si>
  <si>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</si>
  <si>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</si>
  <si>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</si>
  <si>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</si>
  <si>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</si>
  <si>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</si>
  <si>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</si>
  <si>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</si>
  <si>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</si>
  <si>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</si>
  <si>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</si>
  <si>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</si>
  <si>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</si>
  <si>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</si>
  <si>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</si>
  <si>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</si>
  <si>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</si>
  <si>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</si>
  <si>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</si>
  <si>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</si>
  <si>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</si>
  <si>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</si>
  <si>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</si>
  <si>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</si>
  <si>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</si>
  <si>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</si>
  <si>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</si>
  <si>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</si>
  <si>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</si>
  <si>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</si>
  <si>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</si>
  <si>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</si>
  <si>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</si>
  <si>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</si>
  <si>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</si>
  <si>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</si>
  <si>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</si>
  <si>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</si>
  <si>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</si>
  <si>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</si>
  <si>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</si>
  <si>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</si>
  <si>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</si>
  <si>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</si>
  <si>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</si>
  <si>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</si>
  <si>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</si>
  <si>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</si>
  <si>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</si>
  <si>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</si>
  <si>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</si>
  <si>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</si>
  <si>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</si>
  <si>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</si>
  <si>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</si>
  <si>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</si>
  <si>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</si>
  <si>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</si>
  <si>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</si>
  <si>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</si>
  <si>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</si>
  <si>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</si>
  <si>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</si>
  <si>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</si>
  <si>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</si>
  <si>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</si>
  <si>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</si>
  <si>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</si>
  <si>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</si>
  <si>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</si>
  <si>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</si>
  <si>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</si>
  <si>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</si>
  <si>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</si>
  <si>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</si>
  <si>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</si>
  <si>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</si>
  <si>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</si>
  <si>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</si>
  <si>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</si>
  <si>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</si>
  <si>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</si>
  <si>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</si>
  <si>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</si>
  <si>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</si>
  <si>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</si>
  <si>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</si>
  <si>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</si>
  <si>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</si>
  <si>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</si>
  <si>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</si>
  <si>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</si>
  <si>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</si>
  <si>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</si>
  <si>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</si>
  <si>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</si>
  <si>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</si>
  <si>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</si>
  <si>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</si>
  <si>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</si>
  <si>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</si>
  <si>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</si>
  <si>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</si>
  <si>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</si>
  <si>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</si>
  <si>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</si>
  <si>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</si>
  <si>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</si>
  <si>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</si>
  <si>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</si>
  <si>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</si>
  <si>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</si>
  <si>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</si>
  <si>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</si>
  <si>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</si>
  <si>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</si>
  <si>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</si>
  <si>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</si>
  <si>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</si>
  <si>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</si>
  <si>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</si>
  <si>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</si>
  <si>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</si>
  <si>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</si>
  <si>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</si>
  <si>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</si>
  <si>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</si>
  <si>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</si>
  <si>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</si>
  <si>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</si>
  <si>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</si>
  <si>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</si>
  <si>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</si>
  <si>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</si>
  <si>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</si>
  <si>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</si>
  <si>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</si>
  <si>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</si>
  <si>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</si>
  <si>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</si>
  <si>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</si>
  <si>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</si>
  <si>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</si>
  <si>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</si>
  <si>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</si>
  <si>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</si>
  <si>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</si>
  <si>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</si>
  <si>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</si>
  <si>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</si>
  <si>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</si>
  <si>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</si>
  <si>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</si>
  <si>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</si>
  <si>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</si>
  <si>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</si>
  <si>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</si>
  <si>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</si>
  <si>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</si>
  <si>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</si>
  <si>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</si>
  <si>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</si>
  <si>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</si>
  <si>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</si>
  <si>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</si>
  <si>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</si>
  <si>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</si>
  <si>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</si>
  <si>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</si>
  <si>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</si>
  <si>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</si>
  <si>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</si>
  <si>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</si>
  <si>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</si>
  <si>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</si>
  <si>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</si>
  <si>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</si>
  <si>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</si>
  <si>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</si>
  <si>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</si>
  <si>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</si>
  <si>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</si>
  <si>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</si>
  <si>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</si>
  <si>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</si>
  <si>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</si>
  <si>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</si>
  <si>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</si>
  <si>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</si>
  <si>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</si>
  <si>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</si>
  <si>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</si>
  <si>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</si>
  <si>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</si>
  <si>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</si>
  <si>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</si>
  <si>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</si>
  <si>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</si>
  <si>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</si>
  <si>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</si>
  <si>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</si>
  <si>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</si>
  <si>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</si>
  <si>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</si>
  <si>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</si>
  <si>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</si>
  <si>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</si>
  <si>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</si>
  <si>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</si>
  <si>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</si>
  <si>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</si>
  <si>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</si>
  <si>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</si>
  <si>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</si>
  <si>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</si>
  <si>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</si>
  <si>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</si>
  <si>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</si>
  <si>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</si>
  <si>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</si>
  <si>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</si>
  <si>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</si>
  <si>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</si>
  <si>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</si>
  <si>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</si>
  <si>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</si>
  <si>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</si>
  <si>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</si>
  <si>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</si>
  <si>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</si>
  <si>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</si>
  <si>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</si>
  <si>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</si>
  <si>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</si>
  <si>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</si>
  <si>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</si>
  <si>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</si>
  <si>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</si>
  <si>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</si>
  <si>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</si>
  <si>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</si>
  <si>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</si>
  <si>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</si>
  <si>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</si>
  <si>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</si>
  <si>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</si>
  <si>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</si>
  <si>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</si>
  <si>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</si>
  <si>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</si>
  <si>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</si>
  <si>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</si>
  <si>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</si>
  <si>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</si>
  <si>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</si>
  <si>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</si>
  <si>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</si>
  <si>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</si>
  <si>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</si>
  <si>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</si>
  <si>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</si>
  <si>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</si>
  <si>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</si>
  <si>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</si>
  <si>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</si>
  <si>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</si>
  <si>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</si>
  <si>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</si>
  <si>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</si>
  <si>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</si>
  <si>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</si>
  <si>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</si>
  <si>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</si>
  <si>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</si>
  <si>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</si>
  <si>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</si>
  <si>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</si>
  <si>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</si>
  <si>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</si>
  <si>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</si>
  <si>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</si>
  <si>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</si>
  <si>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</si>
  <si>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</si>
  <si>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</si>
  <si>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</si>
  <si>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</si>
  <si>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</si>
  <si>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</si>
  <si>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</si>
  <si>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</si>
  <si>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</si>
  <si>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</si>
  <si>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</si>
  <si>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</si>
  <si>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</si>
  <si>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</si>
  <si>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</si>
  <si>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</si>
  <si>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</si>
  <si>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</si>
  <si>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</si>
  <si>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</si>
  <si>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</si>
  <si>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</si>
  <si>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</si>
  <si>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</si>
  <si>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</si>
  <si>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</si>
  <si>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</si>
  <si>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</si>
  <si>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</si>
  <si>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</si>
  <si>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</si>
  <si>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</si>
  <si>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</si>
  <si>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</si>
  <si>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</si>
  <si>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</si>
  <si>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</si>
  <si>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</si>
  <si>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</si>
  <si>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</si>
  <si>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</si>
  <si>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</si>
  <si>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</si>
  <si>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</si>
  <si>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</si>
  <si>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</si>
  <si>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</si>
  <si>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</si>
  <si>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</si>
  <si>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</si>
  <si>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</si>
  <si>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</si>
  <si>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</si>
  <si>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</si>
  <si>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</si>
  <si>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</si>
  <si>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</si>
  <si>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</si>
  <si>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</si>
  <si>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</si>
  <si>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</si>
  <si>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</si>
  <si>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</si>
  <si>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</si>
  <si>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</si>
  <si>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</si>
  <si>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</si>
  <si>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</si>
  <si>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</si>
  <si>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</si>
  <si>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</si>
  <si>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</si>
  <si>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</si>
  <si>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</si>
  <si>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</si>
  <si>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</si>
  <si>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</si>
  <si>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</si>
  <si>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</si>
  <si>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</si>
  <si>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</si>
  <si>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</si>
  <si>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</si>
  <si>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</si>
  <si>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</si>
  <si>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</si>
  <si>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</si>
  <si>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</si>
  <si>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</si>
  <si>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</si>
  <si>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</si>
  <si>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</si>
  <si>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</si>
  <si>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</si>
  <si>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</si>
  <si>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</si>
  <si>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</si>
  <si>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</si>
  <si>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</si>
  <si>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</si>
  <si>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</si>
  <si>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</si>
  <si>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</si>
  <si>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</si>
  <si>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</si>
  <si>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</si>
  <si>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</si>
  <si>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</si>
  <si>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</si>
  <si>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</si>
  <si>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</si>
  <si>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</si>
  <si>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</si>
  <si>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</si>
  <si>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</si>
  <si>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</si>
  <si>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</si>
  <si>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</si>
  <si>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</si>
  <si>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</si>
  <si>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</si>
  <si>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</si>
  <si>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</si>
  <si>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</si>
  <si>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</si>
  <si>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</si>
  <si>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</si>
  <si>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</si>
  <si>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</si>
  <si>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</si>
  <si>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</si>
  <si>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</si>
  <si>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</si>
  <si>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</si>
  <si>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</si>
  <si>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</si>
  <si>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</si>
  <si>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</si>
  <si>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</si>
  <si>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</si>
  <si>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</si>
  <si>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</si>
  <si>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</si>
  <si>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</si>
  <si>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</si>
  <si>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</si>
  <si>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</si>
  <si>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</si>
  <si>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</si>
  <si>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</si>
  <si>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</si>
  <si>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</si>
  <si>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</si>
  <si>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</si>
  <si>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</si>
  <si>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</si>
  <si>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</si>
  <si>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</si>
  <si>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</si>
  <si>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</si>
  <si>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</si>
  <si>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</si>
  <si>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</si>
  <si>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</si>
  <si>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</si>
  <si>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</si>
  <si>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</si>
  <si>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</si>
  <si>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</si>
  <si>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</si>
  <si>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</si>
  <si>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</si>
  <si>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</si>
  <si>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</si>
  <si>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</si>
  <si>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</si>
  <si>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</si>
  <si>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</si>
  <si>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</si>
  <si>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</si>
  <si>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</si>
  <si>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</si>
  <si>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</si>
  <si>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</si>
  <si>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</si>
  <si>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</si>
  <si>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</si>
  <si>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</si>
  <si>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</si>
  <si>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</si>
  <si>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</si>
  <si>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</si>
  <si>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</si>
  <si>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</si>
  <si>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</si>
  <si>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</si>
  <si>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</si>
  <si>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</si>
  <si>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</si>
  <si>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</si>
  <si>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</si>
  <si>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</si>
  <si>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</si>
  <si>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</si>
  <si>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</si>
  <si>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</si>
  <si>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</si>
  <si>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</si>
  <si>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</si>
  <si>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</si>
  <si>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</si>
  <si>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</si>
  <si>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</si>
  <si>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</si>
  <si>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</si>
  <si>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</si>
  <si>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</si>
  <si>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</si>
  <si>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</si>
  <si>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</si>
  <si>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</si>
  <si>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</si>
  <si>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</si>
  <si>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</si>
  <si>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</si>
  <si>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</si>
  <si>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</si>
  <si>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</si>
  <si>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</si>
  <si>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</si>
  <si>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</si>
  <si>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</si>
  <si>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</si>
  <si>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</si>
  <si>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</si>
  <si>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</si>
  <si>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</si>
  <si>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</si>
  <si>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</si>
  <si>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</si>
  <si>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</si>
  <si>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</si>
  <si>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</si>
  <si>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</si>
  <si>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</si>
  <si>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</si>
  <si>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</si>
  <si>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</si>
  <si>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</si>
  <si>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</si>
  <si>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</si>
  <si>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</si>
  <si>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</si>
  <si>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</si>
  <si>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</si>
  <si>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</si>
  <si>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</si>
  <si>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</si>
  <si>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</si>
  <si>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</si>
  <si>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</si>
  <si>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</si>
  <si>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</si>
  <si>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</si>
  <si>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</si>
  <si>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</si>
  <si>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</si>
  <si>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</si>
  <si>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</si>
  <si>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</si>
  <si>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</si>
  <si>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</si>
  <si>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</si>
  <si>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</si>
  <si>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</si>
  <si>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</si>
  <si>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</si>
  <si>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</si>
  <si>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</si>
  <si>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</si>
  <si>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</si>
  <si>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</si>
  <si>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</si>
  <si>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</si>
  <si>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</si>
  <si>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</si>
  <si>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</si>
  <si>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</si>
  <si>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</si>
  <si>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</si>
  <si>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</si>
  <si>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</si>
  <si>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</si>
  <si>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</si>
  <si>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</si>
  <si>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</si>
  <si>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</si>
  <si>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</si>
  <si>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</si>
  <si>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</si>
  <si>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</si>
  <si>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</si>
  <si>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</si>
  <si>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</si>
  <si>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</si>
  <si>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</si>
  <si>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</si>
  <si>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</si>
  <si>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</si>
  <si>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</si>
  <si>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</si>
  <si>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</si>
  <si>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</si>
  <si>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</si>
  <si>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</si>
  <si>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</si>
  <si>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</si>
  <si>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</si>
  <si>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</si>
  <si>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</si>
  <si>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</si>
  <si>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</si>
  <si>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</si>
  <si>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</si>
  <si>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</si>
  <si>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</si>
  <si>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</si>
  <si>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</si>
  <si>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</si>
  <si>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</si>
  <si>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</si>
  <si>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</si>
  <si>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</si>
  <si>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</si>
  <si>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</si>
  <si>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</si>
  <si>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</si>
  <si>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</si>
  <si>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</si>
  <si>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</si>
  <si>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</si>
  <si>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</si>
  <si>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</si>
  <si>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</si>
  <si>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</si>
  <si>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</si>
  <si>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</si>
  <si>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</si>
  <si>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</si>
  <si>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</si>
  <si>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</si>
  <si>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</si>
  <si>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</si>
  <si>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</si>
  <si>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</si>
  <si>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</si>
  <si>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</si>
  <si>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</si>
  <si>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</si>
  <si>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</si>
  <si>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</si>
  <si>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</si>
  <si>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</si>
  <si>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</si>
  <si>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</si>
  <si>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</si>
  <si>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</si>
  <si>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</si>
  <si>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</si>
  <si>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</si>
  <si>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</si>
  <si>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</si>
  <si>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</si>
  <si>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</si>
  <si>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</si>
  <si>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</si>
  <si>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</si>
  <si>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</si>
  <si>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</si>
  <si>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</si>
  <si>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</si>
  <si>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</si>
  <si>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</si>
  <si>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</si>
  <si>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</si>
  <si>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</si>
  <si>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</si>
  <si>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</si>
  <si>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</si>
  <si>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</si>
  <si>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</si>
  <si>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</si>
  <si>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</si>
  <si>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</si>
  <si>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</si>
  <si>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</si>
  <si>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</si>
  <si>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</si>
  <si>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</si>
  <si>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</si>
  <si>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</si>
  <si>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</si>
  <si>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</si>
  <si>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</si>
  <si>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</si>
  <si>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</si>
  <si>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</si>
  <si>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</si>
  <si>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</si>
  <si>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</si>
  <si>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</si>
  <si>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</si>
  <si>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</si>
  <si>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</si>
  <si>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</si>
  <si>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</si>
  <si>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</si>
  <si>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</si>
  <si>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</si>
  <si>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</si>
  <si>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</si>
  <si>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</si>
  <si>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</si>
  <si>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</si>
  <si>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</si>
  <si>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</si>
  <si>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</si>
  <si>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</si>
  <si>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</si>
  <si>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</si>
  <si>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</si>
  <si>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</si>
  <si>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</si>
  <si>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</si>
  <si>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</si>
  <si>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</si>
  <si>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</si>
  <si>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</si>
  <si>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</si>
  <si>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</si>
  <si>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</si>
  <si>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</si>
  <si>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</si>
  <si>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</si>
  <si>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</si>
  <si>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</si>
  <si>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</si>
  <si>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</si>
  <si>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</si>
  <si>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</si>
  <si>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</si>
  <si>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</si>
  <si>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</si>
  <si>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</si>
  <si>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</si>
  <si>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</si>
  <si>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</si>
  <si>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</si>
  <si>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</si>
  <si>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</si>
  <si>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</si>
  <si>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</si>
  <si>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</si>
  <si>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</si>
  <si>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</si>
  <si>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</si>
  <si>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</si>
  <si>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</si>
  <si>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</si>
  <si>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</si>
  <si>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</si>
  <si>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</si>
  <si>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</si>
  <si>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</si>
  <si>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</si>
  <si>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</si>
  <si>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</si>
  <si>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</si>
  <si>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</si>
  <si>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</si>
  <si>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</si>
  <si>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</si>
  <si>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</si>
  <si>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</si>
  <si>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</si>
  <si>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</si>
  <si>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</si>
  <si>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</si>
  <si>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</si>
  <si>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</si>
  <si>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</si>
  <si>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</si>
  <si>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</si>
  <si>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</si>
  <si>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</si>
  <si>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</si>
  <si>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</si>
  <si>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</si>
  <si>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</si>
  <si>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</si>
  <si>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</si>
  <si>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</si>
  <si>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</si>
  <si>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</si>
  <si>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</si>
  <si>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</si>
  <si>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</si>
  <si>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</si>
  <si>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</si>
  <si>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</si>
  <si>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</si>
  <si>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</si>
  <si>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</si>
  <si>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</si>
  <si>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</si>
  <si>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</si>
  <si>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</si>
  <si>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</si>
  <si>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</si>
  <si>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</si>
  <si>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</si>
  <si>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</si>
  <si>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</si>
  <si>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</si>
  <si>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</si>
  <si>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</si>
  <si>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</si>
  <si>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</si>
  <si>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</si>
  <si>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</si>
  <si>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</si>
  <si>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</si>
  <si>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</si>
  <si>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</si>
  <si>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</si>
  <si>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</si>
  <si>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</si>
  <si>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</si>
  <si>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</si>
  <si>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</si>
  <si>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</si>
  <si>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</si>
  <si>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</si>
  <si>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</si>
  <si>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</si>
  <si>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</si>
  <si>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</si>
  <si>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</si>
  <si>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</si>
  <si>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</si>
  <si>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</si>
  <si>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</si>
  <si>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</si>
  <si>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</si>
  <si>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</si>
  <si>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</si>
  <si>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</si>
  <si>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</si>
  <si>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</si>
  <si>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</si>
  <si>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</si>
  <si>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</si>
  <si>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</si>
  <si>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</si>
  <si>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</si>
  <si>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</si>
  <si>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</si>
  <si>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</si>
  <si>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</si>
  <si>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</si>
  <si>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</si>
  <si>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</si>
  <si>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</si>
  <si>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</si>
  <si>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</si>
  <si>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</si>
  <si>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</si>
  <si>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</si>
  <si>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</si>
  <si>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</si>
  <si>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</si>
  <si>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</si>
  <si>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</si>
  <si>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</si>
  <si>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</si>
  <si>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</si>
  <si>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</si>
  <si>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</si>
  <si>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</si>
  <si>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</si>
  <si>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</si>
  <si>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</si>
  <si>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</si>
  <si>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</si>
  <si>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</si>
  <si>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</si>
  <si>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</si>
  <si>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</si>
  <si>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</si>
  <si>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</si>
  <si>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</si>
  <si>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</si>
  <si>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</si>
  <si>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</si>
  <si>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</si>
  <si>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</si>
  <si>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</si>
  <si>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</si>
  <si>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</si>
  <si>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</si>
  <si>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</si>
  <si>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</si>
  <si>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</si>
  <si>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</si>
  <si>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</si>
  <si>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</si>
  <si>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</si>
  <si>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</si>
  <si>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</si>
  <si>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</si>
  <si>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</si>
  <si>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</si>
  <si>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</si>
  <si>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</si>
  <si>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</si>
  <si>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</si>
  <si>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</si>
  <si>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</si>
  <si>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</si>
  <si>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</si>
  <si>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</si>
  <si>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</si>
  <si>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</si>
  <si>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</si>
  <si>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</si>
  <si>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</si>
  <si>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</si>
  <si>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</si>
  <si>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</si>
  <si>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</si>
  <si>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</si>
  <si>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</si>
  <si>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</si>
  <si>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</si>
  <si>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</si>
  <si>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</si>
  <si>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</si>
  <si>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</si>
  <si>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</si>
  <si>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</si>
  <si>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</si>
  <si>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</si>
  <si>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</si>
  <si>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</si>
  <si>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</si>
  <si>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</si>
  <si>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</si>
  <si>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</si>
  <si>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</si>
  <si>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</si>
  <si>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</si>
  <si>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</si>
  <si>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</si>
  <si>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</si>
  <si>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</si>
  <si>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</si>
  <si>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</si>
  <si>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</si>
  <si>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</si>
  <si>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</si>
  <si>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</si>
  <si>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</si>
  <si>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</si>
  <si>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</si>
  <si>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</si>
  <si>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</si>
  <si>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</si>
  <si>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</si>
  <si>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</si>
  <si>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</si>
  <si>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</si>
  <si>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</si>
  <si>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</si>
  <si>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</si>
  <si>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</si>
  <si>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</si>
  <si>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</si>
  <si>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</si>
  <si>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</si>
  <si>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</si>
  <si>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</si>
  <si>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</si>
  <si>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</si>
  <si>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</si>
  <si>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</si>
  <si>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</si>
  <si>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</si>
  <si>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</si>
  <si>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</si>
  <si>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</si>
  <si>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</si>
  <si>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</si>
  <si>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</si>
  <si>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</si>
  <si>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</si>
  <si>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</si>
  <si>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</si>
  <si>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</si>
  <si>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</si>
  <si>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</si>
  <si>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</si>
  <si>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</si>
  <si>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</si>
  <si>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</si>
  <si>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</si>
  <si>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</si>
  <si>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</si>
  <si>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</si>
  <si>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</si>
  <si>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</si>
  <si>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</si>
  <si>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</si>
  <si>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</si>
  <si>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</si>
  <si>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</si>
  <si>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</si>
  <si>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</si>
  <si>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</si>
  <si>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</si>
  <si>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</si>
  <si>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</si>
  <si>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</si>
  <si>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</si>
  <si>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</si>
  <si>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</si>
  <si>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</si>
  <si>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</si>
  <si>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</si>
  <si>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</si>
  <si>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</si>
  <si>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</si>
  <si>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</si>
  <si>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</si>
  <si>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</si>
  <si>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</si>
  <si>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</si>
  <si>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</si>
  <si>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</si>
  <si>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</si>
  <si>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</si>
  <si>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</si>
  <si>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</si>
  <si>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</si>
  <si>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</si>
  <si>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</si>
  <si>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</si>
  <si>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</si>
  <si>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</si>
  <si>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</si>
  <si>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</si>
  <si>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</si>
  <si>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</si>
  <si>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</si>
  <si>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</si>
  <si>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</si>
  <si>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</si>
  <si>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</si>
  <si>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</si>
  <si>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</si>
  <si>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</si>
  <si>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</si>
  <si>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</si>
  <si>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</si>
  <si>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</si>
  <si>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</si>
  <si>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</si>
  <si>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</si>
  <si>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</si>
  <si>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</si>
  <si>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</si>
  <si>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</si>
  <si>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</si>
  <si>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</si>
  <si>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</si>
  <si>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</si>
  <si>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</si>
  <si>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</si>
  <si>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</si>
  <si>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</si>
  <si>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</si>
  <si>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</si>
  <si>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</si>
  <si>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</si>
  <si>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</si>
  <si>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</si>
  <si>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</si>
  <si>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</si>
  <si>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</si>
  <si>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</si>
  <si>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</si>
  <si>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</si>
  <si>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</si>
  <si>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</si>
  <si>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</si>
  <si>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</si>
  <si>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</si>
  <si>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</si>
  <si>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</si>
  <si>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</si>
  <si>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</si>
  <si>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</si>
  <si>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</si>
  <si>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</si>
  <si>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</si>
  <si>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</si>
  <si>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</si>
  <si>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</si>
  <si>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</si>
  <si>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</si>
  <si>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</si>
  <si>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</si>
  <si>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</si>
  <si>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</si>
  <si>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</si>
  <si>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</si>
  <si>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</si>
  <si>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</si>
  <si>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</si>
  <si>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</si>
  <si>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</si>
  <si>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</si>
  <si>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</si>
  <si>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</si>
  <si>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</si>
  <si>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</si>
  <si>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</si>
  <si>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</si>
  <si>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</si>
  <si>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</si>
  <si>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</si>
  <si>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</si>
  <si>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</si>
  <si>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</si>
  <si>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</si>
  <si>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</si>
  <si>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</si>
  <si>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</si>
  <si>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</si>
  <si>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</si>
  <si>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</si>
  <si>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</si>
  <si>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</si>
  <si>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</si>
  <si>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</si>
  <si>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</si>
  <si>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</si>
  <si>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</si>
  <si>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</si>
  <si>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</si>
  <si>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</si>
  <si>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</si>
  <si>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</si>
  <si>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</si>
  <si>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</si>
  <si>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</si>
  <si>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</si>
  <si>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</si>
  <si>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</si>
  <si>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</si>
  <si>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</si>
  <si>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</si>
  <si>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</si>
  <si>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</si>
  <si>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</si>
  <si>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</si>
  <si>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</si>
  <si>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</si>
  <si>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</si>
  <si>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</si>
  <si>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</si>
  <si>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</si>
  <si>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</si>
  <si>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</si>
  <si>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</si>
  <si>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</si>
  <si>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</si>
  <si>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</si>
  <si>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</si>
  <si>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</si>
  <si>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</si>
  <si>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</si>
  <si>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</si>
  <si>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</si>
  <si>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</si>
  <si>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</si>
  <si>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</si>
  <si>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</si>
  <si>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</si>
  <si>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</si>
  <si>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</si>
  <si>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</si>
  <si>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</si>
  <si>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</si>
  <si>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</si>
  <si>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</si>
  <si>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</si>
  <si>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</si>
  <si>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</si>
  <si>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</si>
  <si>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</si>
  <si>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</si>
  <si>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</si>
  <si>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</si>
  <si>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</si>
  <si>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</si>
  <si>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</si>
  <si>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</si>
  <si>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</si>
  <si>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</si>
  <si>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</si>
  <si>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</si>
  <si>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</si>
  <si>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</si>
  <si>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</si>
  <si>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</si>
  <si>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</si>
  <si>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</si>
  <si>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</si>
  <si>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</si>
  <si>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</si>
  <si>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</si>
  <si>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</si>
  <si>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</si>
  <si>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</si>
  <si>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</si>
  <si>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</si>
  <si>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</si>
  <si>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</si>
  <si>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</si>
  <si>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</si>
  <si>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</si>
  <si>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</si>
  <si>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</si>
  <si>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</si>
  <si>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</si>
  <si>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</si>
  <si>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</si>
  <si>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</si>
  <si>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</si>
  <si>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</si>
  <si>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</si>
  <si>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</si>
  <si>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</si>
  <si>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</si>
  <si>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</si>
  <si>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</si>
  <si>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</si>
  <si>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</si>
  <si>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</si>
  <si>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</si>
  <si>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</si>
  <si>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</si>
  <si>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</si>
  <si>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</si>
  <si>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</si>
  <si>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</si>
  <si>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</si>
  <si>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</si>
  <si>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</si>
  <si>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</si>
  <si>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</si>
  <si>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</si>
  <si>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</si>
  <si>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</si>
  <si>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</si>
  <si>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</si>
  <si>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</si>
  <si>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</si>
  <si>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</si>
  <si>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</si>
  <si>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</si>
  <si>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</si>
  <si>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</si>
  <si>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</si>
  <si>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</si>
  <si>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</si>
  <si>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</si>
  <si>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</si>
  <si>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</si>
  <si>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</si>
  <si>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</si>
  <si>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</si>
  <si>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</si>
  <si>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</si>
  <si>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</si>
  <si>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</si>
  <si>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</si>
  <si>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</si>
  <si>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</si>
  <si>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</si>
  <si>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</si>
  <si>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</si>
  <si>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</si>
  <si>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</si>
  <si>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</si>
  <si>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</si>
  <si>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</si>
  <si>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</si>
  <si>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</si>
  <si>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</si>
  <si>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</si>
  <si>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</si>
  <si>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</si>
  <si>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</si>
  <si>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</si>
  <si>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</si>
  <si>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</si>
  <si>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</si>
  <si>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</si>
  <si>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</si>
  <si>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</si>
  <si>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</si>
  <si>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</si>
  <si>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</si>
  <si>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</si>
  <si>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</si>
  <si>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</si>
  <si>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</si>
  <si>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</si>
  <si>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</si>
  <si>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</si>
  <si>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</si>
  <si>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</si>
  <si>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</si>
  <si>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</si>
  <si>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</si>
  <si>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</si>
  <si>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</si>
  <si>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</si>
  <si>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</si>
  <si>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</si>
  <si>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</si>
  <si>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</si>
  <si>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</si>
  <si>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</si>
  <si>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</si>
  <si>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</si>
  <si>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</si>
  <si>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</si>
  <si>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</si>
  <si>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</si>
  <si>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</si>
  <si>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</si>
  <si>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</si>
  <si>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</si>
  <si>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</si>
  <si>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</si>
  <si>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</si>
  <si>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</si>
  <si>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</si>
  <si>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</si>
  <si>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</si>
  <si>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</si>
  <si>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</si>
  <si>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</si>
  <si>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</si>
  <si>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</si>
  <si>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</si>
  <si>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</si>
  <si>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</si>
  <si>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</si>
  <si>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</si>
  <si>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</si>
  <si>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</si>
  <si>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</si>
  <si>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</si>
  <si>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</si>
  <si>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</si>
  <si>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</si>
  <si>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</si>
  <si>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</si>
  <si>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</si>
  <si>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</si>
  <si>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</si>
  <si>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</si>
  <si>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</si>
  <si>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</si>
  <si>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</si>
  <si>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</si>
  <si>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</si>
  <si>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</si>
  <si>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</si>
  <si>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</si>
  <si>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</si>
  <si>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</si>
  <si>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</si>
  <si>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</si>
  <si>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</si>
  <si>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</si>
  <si>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</si>
  <si>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</si>
  <si>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</si>
  <si>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</si>
  <si>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</si>
  <si>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</si>
  <si>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</si>
  <si>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</si>
  <si>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</si>
  <si>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</si>
  <si>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</si>
  <si>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</si>
  <si>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</si>
  <si>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</si>
  <si>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</si>
  <si>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</si>
  <si>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</si>
  <si>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</si>
  <si>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</si>
  <si>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</si>
  <si>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</si>
  <si>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</si>
  <si>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</si>
  <si>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</si>
  <si>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</si>
  <si>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</si>
  <si>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</si>
  <si>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</si>
  <si>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</si>
  <si>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</si>
  <si>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</si>
  <si>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</si>
  <si>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</si>
  <si>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</si>
  <si>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</si>
  <si>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</si>
  <si>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</si>
  <si>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</si>
  <si>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</si>
  <si>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</si>
  <si>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</si>
  <si>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</si>
  <si>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</si>
  <si>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</si>
  <si>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</si>
  <si>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</si>
  <si>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</si>
  <si>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</si>
  <si>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</si>
  <si>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</si>
  <si>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</si>
  <si>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</si>
  <si>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</si>
  <si>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</si>
  <si>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</si>
  <si>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</si>
  <si>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</si>
  <si>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</si>
  <si>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</si>
  <si>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</si>
  <si>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</si>
  <si>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</si>
  <si>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</si>
  <si>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</si>
  <si>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</si>
  <si>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</si>
  <si>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</si>
  <si>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</si>
  <si>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</si>
  <si>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</si>
  <si>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</si>
  <si>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</si>
  <si>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</si>
  <si>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</si>
  <si>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</si>
  <si>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</si>
  <si>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</si>
  <si>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</si>
  <si>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</si>
  <si>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</si>
  <si>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</si>
  <si>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</si>
  <si>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</si>
  <si>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</si>
  <si>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</si>
  <si>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</si>
  <si>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</si>
  <si>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</si>
  <si>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</si>
  <si>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</si>
  <si>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</si>
  <si>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</si>
  <si>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</si>
  <si>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</si>
  <si>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</si>
  <si>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</si>
  <si>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</si>
  <si>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</si>
  <si>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</si>
  <si>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</si>
  <si>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</si>
  <si>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</si>
  <si>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</si>
  <si>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</si>
  <si>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</si>
  <si>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</si>
  <si>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</si>
  <si>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</si>
  <si>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</si>
  <si>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</si>
  <si>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</si>
  <si>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</si>
  <si>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</si>
  <si>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</si>
  <si>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</si>
  <si>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</si>
  <si>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</si>
  <si>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</si>
  <si>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</si>
  <si>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</si>
  <si>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</si>
  <si>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</si>
  <si>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</si>
  <si>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</si>
  <si>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</si>
  <si>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</si>
  <si>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</si>
  <si>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</si>
  <si>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</si>
  <si>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</si>
  <si>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</si>
  <si>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</si>
  <si>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</si>
  <si>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</si>
  <si>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</si>
  <si>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</si>
  <si>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</si>
  <si>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</si>
  <si>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</si>
  <si>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</si>
  <si>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</si>
  <si>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</si>
  <si>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</si>
  <si>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</si>
  <si>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</si>
  <si>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</si>
  <si>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</si>
  <si>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</si>
  <si>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</si>
  <si>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</si>
  <si>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</si>
  <si>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</si>
  <si>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</si>
  <si>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</si>
  <si>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</si>
  <si>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</si>
  <si>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</si>
  <si>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</si>
  <si>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</si>
  <si>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</si>
  <si>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</si>
  <si>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</si>
  <si>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</si>
  <si>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</si>
  <si>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</si>
  <si>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</si>
  <si>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</si>
  <si>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</si>
  <si>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</si>
  <si>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</si>
  <si>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</si>
  <si>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</si>
  <si>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</si>
  <si>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</si>
  <si>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</si>
  <si>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</si>
  <si>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</si>
  <si>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</si>
  <si>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Ⅻ-怀1</t>
  </si>
  <si>
    <t>抵押</t>
  </si>
  <si>
    <t>房地产抵押价值</t>
  </si>
  <si>
    <t>北京市</t>
  </si>
  <si>
    <t>企业</t>
  </si>
  <si>
    <t>综合楼</t>
  </si>
  <si>
    <t>综合楼</t>
    <phoneticPr fontId="3" type="noConversion"/>
  </si>
  <si>
    <t>是</t>
  </si>
  <si>
    <t>地上</t>
  </si>
  <si>
    <t>成新度</t>
  </si>
  <si>
    <t>收益法 (元)</t>
  </si>
  <si>
    <t>押一</t>
  </si>
  <si>
    <t>砖混</t>
  </si>
  <si>
    <t>非生产用房</t>
  </si>
  <si>
    <t>否</t>
  </si>
  <si>
    <t>不临65条商业街</t>
  </si>
  <si>
    <t>与级别开发程度一致</t>
  </si>
  <si>
    <t>宗地容积率</t>
  </si>
  <si>
    <t>较差</t>
  </si>
  <si>
    <t>一般</t>
  </si>
  <si>
    <t>较好</t>
  </si>
  <si>
    <t>未包含在土地购买价格中</t>
  </si>
  <si>
    <t>已包含在土地取得成本中</t>
  </si>
  <si>
    <t>成本法 (元)</t>
  </si>
  <si>
    <t>现房</t>
  </si>
  <si>
    <t>项目全部</t>
  </si>
  <si>
    <t>总价</t>
  </si>
  <si>
    <t>成本比率</t>
  </si>
  <si>
    <t>按比例</t>
  </si>
  <si>
    <t>比较法</t>
  </si>
  <si>
    <t>收益法-酒店模型</t>
  </si>
  <si>
    <t>地上</t>
    <phoneticPr fontId="3" type="noConversion"/>
  </si>
  <si>
    <t>基础</t>
    <phoneticPr fontId="3" type="noConversion"/>
  </si>
  <si>
    <t>中心城区以外</t>
  </si>
  <si>
    <t>需考虑建筑物残值</t>
  </si>
  <si>
    <t>楼层修正</t>
  </si>
  <si>
    <t>差</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</si>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</sst>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12" borderId="0" xfId="0" applyFont="1" applyFill="1" applyAlignment="1" applyProtection="1">
      <alignment horizontal="center" vertical="center"/>
      <protection locked="0"/>
    </xf>
    <xf numFmtId="181" fontId="47" fillId="12" borderId="0" xfId="17" applyNumberFormat="1" applyFont="1" applyFill="1" applyProtection="1">
      <alignment vertical="center"/>
      <protection locked="0"/>
    </xf>
    <xf numFmtId="9" fontId="47" fillId="12" borderId="0" xfId="0" applyNumberFormat="1" applyFont="1" applyFill="1" applyProtection="1">
      <alignment vertical="center"/>
      <protection locked="0"/>
    </xf>
    <xf numFmtId="9" fontId="47" fillId="12" borderId="0" xfId="17" applyNumberFormat="1" applyFont="1" applyFill="1" applyProtection="1">
      <alignment vertical="center"/>
      <protection locked="0"/>
    </xf>
    <xf numFmtId="178" fontId="53" fillId="0" borderId="1" xfId="4" applyNumberFormat="1" applyFont="1" applyBorder="1" applyAlignment="1" applyProtection="1">
      <alignment horizontal="left" vertical="center"/>
      <protection locked="0"/>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246505</xdr:colOff>
      <xdr:row>42</xdr:row>
      <xdr:rowOff>56243</xdr:rowOff>
    </xdr:to>
    <xdr:pic>
      <xdr:nvPicPr>
        <xdr:cNvPr id="2" name="图片 1">
          <a:extLst>
            <a:ext uri="{FF2B5EF4-FFF2-40B4-BE49-F238E27FC236}">
              <a16:creationId xmlns:a16="http://schemas.microsoft.com/office/drawing/2014/main" id="{E70EA05E-9AFF-242B-D8DA-0443CC01D295}"/>
            </a:ext>
          </a:extLst>
        </xdr:cNvPr>
        <xdr:cNvPicPr>
          <a:picLocks noChangeAspect="1"/>
        </xdr:cNvPicPr>
      </xdr:nvPicPr>
      <xdr:blipFill>
        <a:blip xmlns:r="http://schemas.openxmlformats.org/officeDocument/2006/relationships" r:embed="rId1"/>
        <a:stretch>
          <a:fillRect/>
        </a:stretch>
      </xdr:blipFill>
      <xdr:spPr>
        <a:xfrm>
          <a:off x="0" y="0"/>
          <a:ext cx="9161905" cy="7257143"/>
        </a:xfrm>
        <a:prstGeom prst="rect">
          <a:avLst/>
        </a:prstGeom>
      </xdr:spPr>
    </xdr:pic>
    <xdr:clientData/>
  </xdr:twoCellAnchor>
  <xdr:twoCellAnchor editAs="oneCell">
    <xdr:from>
      <xdr:col>13</xdr:col>
      <xdr:colOff>300318</xdr:colOff>
      <xdr:row>0</xdr:row>
      <xdr:rowOff>0</xdr:rowOff>
    </xdr:from>
    <xdr:to>
      <xdr:col>21</xdr:col>
      <xdr:colOff>194870</xdr:colOff>
      <xdr:row>43</xdr:row>
      <xdr:rowOff>103840</xdr:rowOff>
    </xdr:to>
    <xdr:pic>
      <xdr:nvPicPr>
        <xdr:cNvPr id="3" name="图片 2">
          <a:extLst>
            <a:ext uri="{FF2B5EF4-FFF2-40B4-BE49-F238E27FC236}">
              <a16:creationId xmlns:a16="http://schemas.microsoft.com/office/drawing/2014/main" id="{3C24C3E6-4EEF-6968-092F-1B22DD72E8D9}"/>
            </a:ext>
          </a:extLst>
        </xdr:cNvPr>
        <xdr:cNvPicPr>
          <a:picLocks noChangeAspect="1"/>
        </xdr:cNvPicPr>
      </xdr:nvPicPr>
      <xdr:blipFill>
        <a:blip xmlns:r="http://schemas.openxmlformats.org/officeDocument/2006/relationships" r:embed="rId2"/>
        <a:stretch>
          <a:fillRect/>
        </a:stretch>
      </xdr:blipFill>
      <xdr:spPr>
        <a:xfrm>
          <a:off x="9186583" y="0"/>
          <a:ext cx="5363022" cy="7331634"/>
        </a:xfrm>
        <a:prstGeom prst="rect">
          <a:avLst/>
        </a:prstGeom>
      </xdr:spPr>
    </xdr:pic>
    <xdr:clientData/>
  </xdr:twoCellAnchor>
  <xdr:twoCellAnchor editAs="oneCell">
    <xdr:from>
      <xdr:col>21</xdr:col>
      <xdr:colOff>230921</xdr:colOff>
      <xdr:row>0</xdr:row>
      <xdr:rowOff>0</xdr:rowOff>
    </xdr:from>
    <xdr:to>
      <xdr:col>32</xdr:col>
      <xdr:colOff>80325</xdr:colOff>
      <xdr:row>30</xdr:row>
      <xdr:rowOff>121785</xdr:rowOff>
    </xdr:to>
    <xdr:pic>
      <xdr:nvPicPr>
        <xdr:cNvPr id="4" name="图片 3">
          <a:extLst>
            <a:ext uri="{FF2B5EF4-FFF2-40B4-BE49-F238E27FC236}">
              <a16:creationId xmlns:a16="http://schemas.microsoft.com/office/drawing/2014/main" id="{9ADC304B-65EE-88A3-C5FB-3DC515E38C80}"/>
            </a:ext>
          </a:extLst>
        </xdr:cNvPr>
        <xdr:cNvPicPr>
          <a:picLocks noChangeAspect="1"/>
        </xdr:cNvPicPr>
      </xdr:nvPicPr>
      <xdr:blipFill>
        <a:blip xmlns:r="http://schemas.openxmlformats.org/officeDocument/2006/relationships" r:embed="rId3"/>
        <a:stretch>
          <a:fillRect/>
        </a:stretch>
      </xdr:blipFill>
      <xdr:spPr>
        <a:xfrm>
          <a:off x="14585656" y="0"/>
          <a:ext cx="7368551" cy="5164432"/>
        </a:xfrm>
        <a:prstGeom prst="rect">
          <a:avLst/>
        </a:prstGeom>
      </xdr:spPr>
    </xdr:pic>
    <xdr:clientData/>
  </xdr:twoCellAnchor>
  <xdr:twoCellAnchor editAs="oneCell">
    <xdr:from>
      <xdr:col>0</xdr:col>
      <xdr:colOff>123264</xdr:colOff>
      <xdr:row>45</xdr:row>
      <xdr:rowOff>78442</xdr:rowOff>
    </xdr:from>
    <xdr:to>
      <xdr:col>3</xdr:col>
      <xdr:colOff>663064</xdr:colOff>
      <xdr:row>60</xdr:row>
      <xdr:rowOff>128548</xdr:rowOff>
    </xdr:to>
    <xdr:pic>
      <xdr:nvPicPr>
        <xdr:cNvPr id="5" name="图片 4">
          <a:extLst>
            <a:ext uri="{FF2B5EF4-FFF2-40B4-BE49-F238E27FC236}">
              <a16:creationId xmlns:a16="http://schemas.microsoft.com/office/drawing/2014/main" id="{893E2CA3-0473-1A4F-7BAD-8418F675BB82}"/>
            </a:ext>
          </a:extLst>
        </xdr:cNvPr>
        <xdr:cNvPicPr>
          <a:picLocks noChangeAspect="1"/>
        </xdr:cNvPicPr>
      </xdr:nvPicPr>
      <xdr:blipFill>
        <a:blip xmlns:r="http://schemas.openxmlformats.org/officeDocument/2006/relationships" r:embed="rId4"/>
        <a:stretch>
          <a:fillRect/>
        </a:stretch>
      </xdr:blipFill>
      <xdr:spPr>
        <a:xfrm>
          <a:off x="123264" y="7642413"/>
          <a:ext cx="2590476" cy="2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估价对象为北京市房地产，为所有。根据《国有土地使用证》[]，估价对象（分摊）出让国有建设用地使用权面积为548平方米，建筑面积为1240.3平方米。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估价对象为北京市房地产,为开发建设的，该项目尚在开发建设中。根据《国有土地使用证》[]，估价对象（分摊）出让国有建设用地使用权面积为548平方米，规划建筑面积为1240.3平方米。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2025年8月29日（评估专业人员实地查勘之日）</v>
      </c>
    </row>
    <row r="13" spans="1:2">
      <c r="A13" s="1119" t="s">
        <v>529</v>
      </c>
      <c r="B13" s="1120" t="str">
        <f>'预评函-1'!A18</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537</v>
      </c>
    </row>
    <row r="21" spans="1:2">
      <c r="A21" s="1119" t="s">
        <v>537</v>
      </c>
      <c r="B21" s="1120">
        <f ca="1">'预评函-2'!D7</f>
        <v>4330</v>
      </c>
    </row>
    <row r="22" spans="1:2">
      <c r="A22" s="1119" t="s">
        <v>538</v>
      </c>
      <c r="B22" s="1120" t="str">
        <f ca="1">'预评函-2'!D6</f>
        <v>伍佰叁拾柒万元整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537</v>
      </c>
    </row>
    <row r="31" spans="1:2">
      <c r="A31" s="1119" t="s">
        <v>576</v>
      </c>
      <c r="B31" s="1120">
        <f ca="1">'预评函-2'!D15</f>
        <v>4330</v>
      </c>
    </row>
    <row r="32" spans="1:2">
      <c r="A32" s="1119" t="s">
        <v>543</v>
      </c>
      <c r="B32" s="1120" t="str">
        <f ca="1">'预评函-2'!D14</f>
        <v>伍佰叁拾柒万元整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1240.3</v>
      </c>
    </row>
    <row r="44" spans="1:2">
      <c r="A44" s="1119" t="s">
        <v>575</v>
      </c>
      <c r="B44" s="1120" t="str">
        <f>'预评函-3'!C2</f>
        <v>(分摊)土地面积</v>
      </c>
    </row>
    <row r="45" spans="1:2">
      <c r="A45" s="1119" t="s">
        <v>547</v>
      </c>
      <c r="B45" s="1120">
        <f>'预评函-3'!C4</f>
        <v>548</v>
      </c>
    </row>
    <row r="46" spans="1:2">
      <c r="A46" s="1119" t="s">
        <v>573</v>
      </c>
      <c r="B46" s="1120" t="str">
        <f>'预评函-3'!D2</f>
        <v>出让国有建设用地使用权价值</v>
      </c>
    </row>
    <row r="47" spans="1:2">
      <c r="A47" s="1119" t="s">
        <v>548</v>
      </c>
      <c r="B47" s="1120">
        <f ca="1">'预评函-3'!D4</f>
        <v>136</v>
      </c>
    </row>
    <row r="48" spans="1:2">
      <c r="A48" s="1119" t="s">
        <v>549</v>
      </c>
      <c r="B48" s="1120">
        <f ca="1">'预评函-3'!E4</f>
        <v>1097</v>
      </c>
    </row>
    <row r="49" spans="1:2">
      <c r="A49" s="1119" t="s">
        <v>550</v>
      </c>
      <c r="B49" s="1120" t="str">
        <f ca="1">'预评函-3'!D5</f>
        <v>壹佰叁拾陆万元整</v>
      </c>
    </row>
    <row r="50" spans="1:2">
      <c r="A50" s="1119" t="s">
        <v>574</v>
      </c>
      <c r="B50" s="1120" t="str">
        <f>'预评函-3'!F2</f>
        <v>在建建筑物价值</v>
      </c>
    </row>
    <row r="51" spans="1:2">
      <c r="A51" s="1119" t="s">
        <v>551</v>
      </c>
      <c r="B51" s="1120">
        <f ca="1">'预评函-3'!F4</f>
        <v>401</v>
      </c>
    </row>
    <row r="52" spans="1:2">
      <c r="A52" s="1119" t="s">
        <v>552</v>
      </c>
      <c r="B52" s="1120">
        <f ca="1">'预评函-3'!G4</f>
        <v>3233</v>
      </c>
    </row>
    <row r="53" spans="1:2">
      <c r="A53" s="1119" t="s">
        <v>580</v>
      </c>
      <c r="B53" s="1120" t="str">
        <f ca="1">'预评函-3'!F5</f>
        <v>肆佰零壹万元整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3339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3394</v>
      </c>
      <c r="AA1" s="1438" t="s">
        <v>3393</v>
      </c>
      <c r="AB1" s="1438" t="s">
        <v>3</v>
      </c>
    </row>
    <row r="2" spans="1:28">
      <c r="A2" s="1441" t="s">
        <v>19</v>
      </c>
      <c r="B2" s="1441" t="s">
        <v>993</v>
      </c>
      <c r="C2" s="1442" t="s">
        <v>315</v>
      </c>
      <c r="D2" s="1443" t="s">
        <v>994</v>
      </c>
      <c r="E2" s="1443" t="s">
        <v>995</v>
      </c>
      <c r="F2" s="1443" t="s">
        <v>996</v>
      </c>
      <c r="G2" s="1443">
        <v>20</v>
      </c>
      <c r="H2" s="1443" t="s">
        <v>996</v>
      </c>
      <c r="I2" s="1443" t="s">
        <v>3325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2429</v>
      </c>
      <c r="Y2" s="1445" t="s">
        <v>3401</v>
      </c>
      <c r="Z2" s="1445" t="s">
        <v>2442</v>
      </c>
      <c r="AA2" s="1445" t="s">
        <v>3402</v>
      </c>
      <c r="AB2" s="1445" t="s">
        <v>2469</v>
      </c>
    </row>
    <row r="3" spans="1:28">
      <c r="A3" s="1441" t="s">
        <v>1001</v>
      </c>
      <c r="B3" s="1444" t="s">
        <v>448</v>
      </c>
      <c r="C3" s="1442" t="s">
        <v>316</v>
      </c>
      <c r="D3" s="1443" t="s">
        <v>1002</v>
      </c>
      <c r="E3" s="1443" t="s">
        <v>13</v>
      </c>
      <c r="F3" s="1443" t="s">
        <v>1003</v>
      </c>
      <c r="G3" s="1443">
        <v>40</v>
      </c>
      <c r="H3" s="1443" t="s">
        <v>1003</v>
      </c>
      <c r="I3" s="1443" t="s">
        <v>3326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2431</v>
      </c>
      <c r="Z3" s="1445" t="s">
        <v>2444</v>
      </c>
      <c r="AB3" s="1445" t="s">
        <v>2471</v>
      </c>
    </row>
    <row r="4" spans="1:28">
      <c r="A4" s="1441" t="s">
        <v>1008</v>
      </c>
      <c r="B4" s="1441" t="s">
        <v>1009</v>
      </c>
      <c r="C4" s="1442" t="s">
        <v>317</v>
      </c>
      <c r="D4" s="1443" t="s">
        <v>389</v>
      </c>
      <c r="E4" s="1443" t="s">
        <v>1010</v>
      </c>
      <c r="F4" s="1443" t="s">
        <v>1011</v>
      </c>
      <c r="G4" s="1443">
        <v>50</v>
      </c>
      <c r="H4" s="1443" t="s">
        <v>1011</v>
      </c>
      <c r="I4" s="1443" t="s">
        <v>3327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2433</v>
      </c>
      <c r="Z4" s="1445" t="s">
        <v>2446</v>
      </c>
      <c r="AB4" s="1445" t="s">
        <v>2473</v>
      </c>
    </row>
    <row r="5" spans="1:28">
      <c r="A5" s="1441" t="s">
        <v>1014</v>
      </c>
      <c r="B5" s="1441" t="s">
        <v>1015</v>
      </c>
      <c r="C5" s="1442" t="s">
        <v>318</v>
      </c>
      <c r="F5" s="1443" t="s">
        <v>1016</v>
      </c>
      <c r="G5" s="1443">
        <v>70</v>
      </c>
      <c r="H5" s="1443" t="s">
        <v>1017</v>
      </c>
      <c r="I5" s="1443" t="s">
        <v>3328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2435</v>
      </c>
      <c r="Z5" s="1445" t="s">
        <v>2448</v>
      </c>
      <c r="AB5" s="1445" t="s">
        <v>3403</v>
      </c>
    </row>
    <row r="6" spans="1:28">
      <c r="A6" s="1441" t="s">
        <v>1020</v>
      </c>
      <c r="B6" s="1444" t="s">
        <v>449</v>
      </c>
      <c r="C6" s="1446" t="s">
        <v>24</v>
      </c>
      <c r="F6" s="1443" t="s">
        <v>1017</v>
      </c>
      <c r="H6" s="1443" t="s">
        <v>1021</v>
      </c>
      <c r="I6" s="1443" t="s">
        <v>3329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2437</v>
      </c>
      <c r="Z6" s="1445" t="s">
        <v>2450</v>
      </c>
      <c r="AB6" s="1445" t="s">
        <v>2476</v>
      </c>
    </row>
    <row r="7" spans="1:28">
      <c r="A7" s="1441" t="s">
        <v>1023</v>
      </c>
      <c r="B7" s="1444" t="s">
        <v>450</v>
      </c>
      <c r="C7" s="1442" t="s">
        <v>25</v>
      </c>
      <c r="F7" s="1443" t="s">
        <v>1024</v>
      </c>
      <c r="H7" s="1443" t="s">
        <v>1025</v>
      </c>
      <c r="I7" s="1443" t="s">
        <v>3330</v>
      </c>
      <c r="X7" s="1445" t="s">
        <v>2439</v>
      </c>
      <c r="Z7" s="1445" t="s">
        <v>2452</v>
      </c>
      <c r="AB7" s="1445" t="s">
        <v>2478</v>
      </c>
    </row>
    <row r="8" spans="1:28">
      <c r="A8" s="1441" t="s">
        <v>1026</v>
      </c>
      <c r="B8" s="1441" t="s">
        <v>1027</v>
      </c>
      <c r="C8" s="1442" t="s">
        <v>319</v>
      </c>
      <c r="F8" s="1443" t="s">
        <v>1028</v>
      </c>
      <c r="H8" s="1443" t="s">
        <v>2567</v>
      </c>
      <c r="I8" s="1443" t="s">
        <v>3331</v>
      </c>
      <c r="X8" s="1445" t="s">
        <v>3404</v>
      </c>
      <c r="Z8" s="1445" t="s">
        <v>2454</v>
      </c>
      <c r="AB8" s="1445" t="s">
        <v>2480</v>
      </c>
    </row>
    <row r="9" spans="1:28">
      <c r="A9" s="1441" t="s">
        <v>1029</v>
      </c>
      <c r="B9" s="1441" t="s">
        <v>1030</v>
      </c>
      <c r="C9" s="1442" t="s">
        <v>320</v>
      </c>
      <c r="F9" s="1443" t="s">
        <v>1031</v>
      </c>
      <c r="H9" s="1443"/>
      <c r="I9" s="1445" t="s">
        <v>3332</v>
      </c>
      <c r="X9" s="1445" t="s">
        <v>3405</v>
      </c>
      <c r="Z9" s="1445" t="s">
        <v>2456</v>
      </c>
      <c r="AB9" s="1445" t="s">
        <v>2482</v>
      </c>
    </row>
    <row r="10" spans="1:28">
      <c r="A10" s="1441" t="s">
        <v>1032</v>
      </c>
      <c r="B10" s="1441" t="s">
        <v>1033</v>
      </c>
      <c r="C10" s="1442" t="s">
        <v>321</v>
      </c>
      <c r="F10" s="1443" t="s">
        <v>2568</v>
      </c>
      <c r="I10" s="1445" t="s">
        <v>3333</v>
      </c>
      <c r="Z10" s="1445" t="s">
        <v>2458</v>
      </c>
      <c r="AB10" s="1445" t="s">
        <v>2484</v>
      </c>
    </row>
    <row r="11" spans="1:28">
      <c r="A11" s="1441" t="s">
        <v>1034</v>
      </c>
      <c r="B11" s="1441" t="s">
        <v>1035</v>
      </c>
      <c r="C11" s="1442" t="s">
        <v>322</v>
      </c>
      <c r="F11" s="1443" t="s">
        <v>13</v>
      </c>
      <c r="I11" s="1445" t="s">
        <v>3334</v>
      </c>
      <c r="Z11" s="1445" t="s">
        <v>2460</v>
      </c>
      <c r="AB11" s="1445" t="s">
        <v>2486</v>
      </c>
    </row>
    <row r="12" spans="1:28">
      <c r="A12" s="1441" t="s">
        <v>1036</v>
      </c>
      <c r="B12" s="1441" t="s">
        <v>1037</v>
      </c>
      <c r="C12" s="1442" t="s">
        <v>323</v>
      </c>
      <c r="I12" s="1445" t="s">
        <v>3335</v>
      </c>
      <c r="Z12" s="1445" t="s">
        <v>2462</v>
      </c>
      <c r="AB12" s="1445" t="s">
        <v>2488</v>
      </c>
    </row>
    <row r="13" spans="1:28">
      <c r="A13" s="1441" t="s">
        <v>1038</v>
      </c>
      <c r="B13" s="1441" t="s">
        <v>1039</v>
      </c>
      <c r="C13" s="1442" t="s">
        <v>324</v>
      </c>
      <c r="I13" s="1445" t="s">
        <v>3336</v>
      </c>
      <c r="Z13" s="1445" t="s">
        <v>2464</v>
      </c>
    </row>
    <row r="14" spans="1:28">
      <c r="A14" s="1441" t="s">
        <v>1040</v>
      </c>
      <c r="B14" s="1441" t="s">
        <v>1041</v>
      </c>
      <c r="C14" s="1443" t="s">
        <v>13</v>
      </c>
      <c r="I14" s="1445" t="s">
        <v>3337</v>
      </c>
      <c r="Z14" s="1445" t="s">
        <v>2466</v>
      </c>
    </row>
    <row r="15" spans="1:28">
      <c r="A15" s="1441" t="s">
        <v>1042</v>
      </c>
      <c r="B15" s="1441" t="s">
        <v>1043</v>
      </c>
      <c r="C15" s="1442"/>
      <c r="I15" s="1445" t="s">
        <v>3338</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2490</v>
      </c>
      <c r="B1" s="2757"/>
      <c r="C1" s="2757"/>
      <c r="D1" s="2757"/>
      <c r="E1" s="2757"/>
      <c r="F1" s="2758"/>
      <c r="I1" s="3135" t="s">
        <v>2583</v>
      </c>
      <c r="J1" s="2783"/>
      <c r="K1" s="2783"/>
      <c r="L1" s="2783"/>
      <c r="M1" s="2783"/>
      <c r="N1" s="2968"/>
      <c r="O1" s="2968"/>
      <c r="P1" s="2968"/>
      <c r="Q1" s="2968"/>
      <c r="R1" s="2968"/>
    </row>
    <row r="2" spans="1:18">
      <c r="A2" s="2760"/>
      <c r="B2" s="2761"/>
      <c r="C2" s="2761"/>
      <c r="D2" s="2761"/>
      <c r="E2" s="2761"/>
      <c r="F2" s="2762"/>
      <c r="I2" s="3212" t="s">
        <v>2570</v>
      </c>
      <c r="J2" s="3212"/>
      <c r="K2" s="3212"/>
      <c r="L2" s="3212"/>
      <c r="M2" s="3212"/>
      <c r="N2" s="3212"/>
      <c r="O2" s="3212"/>
      <c r="P2" s="3212"/>
      <c r="Q2" s="3212"/>
      <c r="R2" s="3212"/>
    </row>
    <row r="3" spans="1:18">
      <c r="A3" s="2763" t="s">
        <v>2491</v>
      </c>
      <c r="B3" s="2764">
        <f>项目基本情况!D3</f>
        <v>45898</v>
      </c>
      <c r="C3" s="2766"/>
      <c r="D3" s="2766"/>
      <c r="E3" s="2766"/>
      <c r="F3" s="2762"/>
      <c r="I3" s="2778"/>
      <c r="J3" s="2778" t="s">
        <v>2574</v>
      </c>
      <c r="K3" s="2778" t="s">
        <v>2575</v>
      </c>
      <c r="L3" s="2778" t="s">
        <v>2576</v>
      </c>
      <c r="M3" s="2778" t="s">
        <v>2577</v>
      </c>
      <c r="N3" s="3136" t="s">
        <v>2578</v>
      </c>
      <c r="O3" s="3136" t="s">
        <v>2579</v>
      </c>
      <c r="P3" s="3136" t="s">
        <v>2580</v>
      </c>
      <c r="Q3" s="3136" t="s">
        <v>2581</v>
      </c>
      <c r="R3" s="3136" t="s">
        <v>2582</v>
      </c>
    </row>
    <row r="4" spans="1:18">
      <c r="A4" s="2763" t="s">
        <v>2492</v>
      </c>
      <c r="B4" s="2766" t="s">
        <v>2493</v>
      </c>
      <c r="C4" s="2766" t="s">
        <v>2494</v>
      </c>
      <c r="D4" s="2766" t="s">
        <v>2495</v>
      </c>
      <c r="E4" s="2766" t="s">
        <v>2496</v>
      </c>
      <c r="F4" s="2762"/>
      <c r="I4" s="2778" t="s">
        <v>2571</v>
      </c>
      <c r="J4" s="2778">
        <v>80</v>
      </c>
      <c r="K4" s="2778">
        <v>70</v>
      </c>
      <c r="L4" s="2778">
        <v>20</v>
      </c>
      <c r="M4" s="2778">
        <v>30</v>
      </c>
      <c r="N4" s="2766">
        <v>45</v>
      </c>
      <c r="O4" s="2766">
        <v>60</v>
      </c>
      <c r="P4" s="2766">
        <v>50</v>
      </c>
      <c r="Q4" s="2766">
        <v>20</v>
      </c>
      <c r="R4" s="2766">
        <v>375</v>
      </c>
    </row>
    <row r="5" spans="1:18">
      <c r="A5" s="2767">
        <v>40</v>
      </c>
      <c r="B5" s="2764">
        <v>46375</v>
      </c>
      <c r="C5" s="2766">
        <f>ROUNDDOWN(MIN((B5-B3)/365,A5),2)</f>
        <v>1.3</v>
      </c>
      <c r="D5" s="2768">
        <f>IF(ISERROR(ROUND(POWER(1+E5,A5-C5)*(POWER(1+E5,C5)-1)/(POWER(1+E5,A5)-1),3)),0,ROUND(POWER(1+E5,A5-C5)*(POWER(1+E5,C5)-1)/(POWER(1+E5,A5)-1),4))</f>
        <v>6.2799999999999995E-2</v>
      </c>
      <c r="E5" s="2769">
        <v>0.04</v>
      </c>
      <c r="F5" s="2762"/>
      <c r="I5" s="2778" t="s">
        <v>2572</v>
      </c>
      <c r="J5" s="2778">
        <v>70</v>
      </c>
      <c r="K5" s="2778">
        <v>60</v>
      </c>
      <c r="L5" s="2778">
        <v>15</v>
      </c>
      <c r="M5" s="2778">
        <v>25</v>
      </c>
      <c r="N5" s="2766">
        <v>40</v>
      </c>
      <c r="O5" s="2766">
        <v>50</v>
      </c>
      <c r="P5" s="2766">
        <v>40</v>
      </c>
      <c r="Q5" s="2766">
        <v>15</v>
      </c>
      <c r="R5" s="2766">
        <v>315</v>
      </c>
    </row>
    <row r="6" spans="1:18">
      <c r="A6" s="2767">
        <v>50</v>
      </c>
      <c r="B6" s="2764">
        <v>50028</v>
      </c>
      <c r="C6" s="2766">
        <f>ROUNDDOWN(MIN((B6-B3)/365,A6),2)</f>
        <v>11.31</v>
      </c>
      <c r="D6" s="2768">
        <f>IF(ISERROR(ROUND(POWER(1+E6,A6-C6)*(POWER(1+E6,C6)-1)/(POWER(1+E6,A6)-1),3)),0,ROUND(POWER(1+E6,A6-C6)*(POWER(1+E6,C6)-1)/(POWER(1+E6,A6)-1),4))</f>
        <v>0.41689999999999999</v>
      </c>
      <c r="E6" s="2769">
        <v>0.04</v>
      </c>
      <c r="F6" s="2762"/>
      <c r="I6" s="2778" t="s">
        <v>2573</v>
      </c>
      <c r="J6" s="2778">
        <v>60</v>
      </c>
      <c r="K6" s="2778">
        <v>50</v>
      </c>
      <c r="L6" s="2778">
        <v>10</v>
      </c>
      <c r="M6" s="2778">
        <v>20</v>
      </c>
      <c r="N6" s="2766">
        <v>35</v>
      </c>
      <c r="O6" s="2766">
        <v>40</v>
      </c>
      <c r="P6" s="2766">
        <v>30</v>
      </c>
      <c r="Q6" s="2766">
        <v>10</v>
      </c>
      <c r="R6" s="2766">
        <v>255</v>
      </c>
    </row>
    <row r="7" spans="1:18">
      <c r="A7" s="2767">
        <v>70</v>
      </c>
      <c r="B7" s="2764">
        <v>57333</v>
      </c>
      <c r="C7" s="2766">
        <f>ROUNDDOWN(MIN((B7-B3)/365,A7),2)</f>
        <v>31.32</v>
      </c>
      <c r="D7" s="2768">
        <f>IF(ISERROR(ROUND(POWER(1+E7,A7-C7)*(POWER(1+E7,C7)-1)/(POWER(1+E7,A7)-1),3)),0,ROUND(POWER(1+E7,A7-C7)*(POWER(1+E7,C7)-1)/(POWER(1+E7,A7)-1),4))</f>
        <v>0.75580000000000003</v>
      </c>
      <c r="E7" s="2769">
        <v>0.04</v>
      </c>
      <c r="F7" s="2762"/>
    </row>
    <row r="8" spans="1:18">
      <c r="A8" s="2760"/>
      <c r="B8" s="2761"/>
      <c r="C8" s="2761"/>
      <c r="D8" s="2761"/>
      <c r="E8" s="2761"/>
      <c r="F8" s="2762"/>
    </row>
    <row r="9" spans="1:18">
      <c r="A9" s="2763" t="s">
        <v>2497</v>
      </c>
      <c r="B9" s="2766"/>
      <c r="C9" s="2766"/>
      <c r="D9" s="2766"/>
      <c r="E9" s="2766"/>
      <c r="F9" s="2770"/>
    </row>
    <row r="10" spans="1:18">
      <c r="A10" s="2763" t="s">
        <v>2498</v>
      </c>
      <c r="B10" s="2766"/>
      <c r="C10" s="2766"/>
      <c r="D10" s="2766" t="s">
        <v>2496</v>
      </c>
      <c r="E10" s="2766"/>
      <c r="F10" s="2770" t="s">
        <v>2495</v>
      </c>
    </row>
    <row r="11" spans="1:18">
      <c r="A11" s="2763" t="s">
        <v>2499</v>
      </c>
      <c r="B11" s="2771">
        <v>70</v>
      </c>
      <c r="C11" s="2766" t="s">
        <v>2500</v>
      </c>
      <c r="D11" s="2771">
        <v>4.4999999999999998E-2</v>
      </c>
      <c r="E11" s="2766" t="s">
        <v>2501</v>
      </c>
      <c r="F11" s="2772">
        <f>ROUND(1-(1/(POWER(1+D11,B11))),4)</f>
        <v>0.95409999999999995</v>
      </c>
    </row>
    <row r="12" spans="1:18">
      <c r="A12" s="2763" t="s">
        <v>2502</v>
      </c>
      <c r="B12" s="2771">
        <v>40</v>
      </c>
      <c r="C12" s="2766" t="s">
        <v>2503</v>
      </c>
      <c r="D12" s="2771">
        <v>4.4999999999999998E-2</v>
      </c>
      <c r="E12" s="2766" t="s">
        <v>2504</v>
      </c>
      <c r="F12" s="2772">
        <f>ROUND(1-(1/(POWER(1+D12,B12))),4)</f>
        <v>0.82809999999999995</v>
      </c>
    </row>
    <row r="13" spans="1:18">
      <c r="A13" s="2763" t="s">
        <v>2505</v>
      </c>
      <c r="B13" s="2766"/>
      <c r="C13" s="2766"/>
      <c r="D13" s="2761"/>
      <c r="E13" s="2761"/>
      <c r="F13" s="2762"/>
    </row>
    <row r="14" spans="1:18">
      <c r="A14" s="2763" t="s">
        <v>2506</v>
      </c>
      <c r="B14" s="2771">
        <v>5000</v>
      </c>
      <c r="C14" s="2765"/>
      <c r="D14" s="2761"/>
      <c r="E14" s="2761"/>
      <c r="F14" s="2762"/>
    </row>
    <row r="15" spans="1:18">
      <c r="A15" s="2763" t="s">
        <v>2507</v>
      </c>
      <c r="B15" s="2766">
        <f>ROUND(B14*F12/F11,2)</f>
        <v>4339.6899999999996</v>
      </c>
      <c r="C15" s="2766">
        <f>ROUND(F12/F11,4)</f>
        <v>0.8679</v>
      </c>
      <c r="D15" s="2761"/>
      <c r="E15" s="2761"/>
      <c r="F15" s="2762"/>
    </row>
    <row r="16" spans="1:18">
      <c r="A16" s="2763" t="s">
        <v>2508</v>
      </c>
      <c r="B16" s="2766"/>
      <c r="C16" s="2766"/>
      <c r="D16" s="2761"/>
      <c r="E16" s="2761"/>
      <c r="F16" s="2762"/>
    </row>
    <row r="17" spans="1:14">
      <c r="A17" s="2763" t="s">
        <v>2507</v>
      </c>
      <c r="B17" s="2771">
        <v>4810</v>
      </c>
      <c r="C17" s="2765"/>
      <c r="D17" s="2761"/>
      <c r="E17" s="2761"/>
      <c r="F17" s="2762"/>
    </row>
    <row r="18" spans="1:14" ht="14.25" thickBot="1">
      <c r="A18" s="2773" t="s">
        <v>2506</v>
      </c>
      <c r="B18" s="2774">
        <f>ROUND(B17*F11/F12,2)</f>
        <v>5541.87</v>
      </c>
      <c r="C18" s="2774">
        <f>ROUND(F11/F12,4)</f>
        <v>1.1521999999999999</v>
      </c>
      <c r="D18" s="2775"/>
      <c r="E18" s="2775"/>
      <c r="F18" s="2776"/>
    </row>
    <row r="19" spans="1:14" ht="14.25" thickBot="1"/>
    <row r="20" spans="1:14" s="2809" customFormat="1" ht="14.25" thickTop="1">
      <c r="A20" s="2806" t="s">
        <v>2509</v>
      </c>
      <c r="B20" s="2807"/>
      <c r="C20" s="2807"/>
      <c r="D20" s="2807"/>
      <c r="E20" s="2807"/>
      <c r="F20" s="2807"/>
      <c r="G20" s="2808"/>
      <c r="I20" s="2810" t="s">
        <v>2554</v>
      </c>
      <c r="J20" s="2810" t="s">
        <v>2559</v>
      </c>
      <c r="K20" s="2810"/>
      <c r="L20" s="2810"/>
      <c r="M20" s="2810"/>
    </row>
    <row r="21" spans="1:14">
      <c r="A21" s="2777"/>
      <c r="B21" s="2778" t="s">
        <v>2510</v>
      </c>
      <c r="C21" s="2778" t="s">
        <v>2511</v>
      </c>
      <c r="D21" s="2778" t="s">
        <v>2512</v>
      </c>
      <c r="E21" s="2778" t="s">
        <v>2513</v>
      </c>
      <c r="F21" s="2778" t="s">
        <v>2514</v>
      </c>
      <c r="G21" s="2779" t="s">
        <v>2515</v>
      </c>
      <c r="I21" s="2800">
        <v>5</v>
      </c>
      <c r="J21" s="2800">
        <v>54.2</v>
      </c>
    </row>
    <row r="22" spans="1:14">
      <c r="A22" s="2777" t="s">
        <v>2516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2557</v>
      </c>
      <c r="N23" s="3153" t="s">
        <v>2558</v>
      </c>
    </row>
    <row r="24" spans="1:14">
      <c r="A24" s="2777" t="s">
        <v>2518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2556</v>
      </c>
      <c r="N24" s="3153">
        <v>10</v>
      </c>
    </row>
    <row r="25" spans="1:14">
      <c r="A25" s="2777" t="s">
        <v>2519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2560</v>
      </c>
      <c r="N25" s="3153">
        <v>8</v>
      </c>
    </row>
    <row r="26" spans="1:14">
      <c r="A26" s="2782"/>
      <c r="B26" s="2783"/>
      <c r="C26" s="2783"/>
      <c r="D26" s="2783"/>
      <c r="E26" s="2783"/>
      <c r="F26" s="2783"/>
      <c r="G26" s="2784"/>
      <c r="I26" s="2800">
        <v>30</v>
      </c>
      <c r="J26" s="2800">
        <v>90.5</v>
      </c>
      <c r="K26" s="2800">
        <f t="shared" si="2"/>
        <v>4.2000000000000028</v>
      </c>
      <c r="L26" s="2800" t="s">
        <v>2561</v>
      </c>
      <c r="N26" s="3153">
        <v>5</v>
      </c>
    </row>
    <row r="27" spans="1:14">
      <c r="A27" s="2782" t="s">
        <v>2520</v>
      </c>
      <c r="B27" s="2783"/>
      <c r="C27" s="2783"/>
      <c r="D27" s="2783"/>
      <c r="E27" s="2783"/>
      <c r="F27" s="2783"/>
      <c r="G27" s="2784"/>
      <c r="I27" s="2800">
        <v>35</v>
      </c>
      <c r="J27" s="2800">
        <v>93.8</v>
      </c>
      <c r="K27" s="2800">
        <f t="shared" si="2"/>
        <v>3.2999999999999972</v>
      </c>
      <c r="L27" s="2800" t="s">
        <v>2562</v>
      </c>
      <c r="N27" s="3153">
        <v>3</v>
      </c>
    </row>
    <row r="28" spans="1:14">
      <c r="A28" s="2782" t="s">
        <v>2521</v>
      </c>
      <c r="B28" s="2783"/>
      <c r="C28" s="2783"/>
      <c r="D28" s="2783"/>
      <c r="E28" s="2783"/>
      <c r="F28" s="2783"/>
      <c r="G28" s="2784"/>
      <c r="I28" s="2800">
        <v>40</v>
      </c>
      <c r="J28" s="2800">
        <v>96.4</v>
      </c>
      <c r="K28" s="2800">
        <f t="shared" si="2"/>
        <v>2.6000000000000085</v>
      </c>
      <c r="L28" s="2800" t="s">
        <v>2563</v>
      </c>
      <c r="N28" s="3153">
        <v>2</v>
      </c>
    </row>
    <row r="29" spans="1:14">
      <c r="A29" s="2782" t="s">
        <v>2522</v>
      </c>
      <c r="B29" s="2783"/>
      <c r="C29" s="2783"/>
      <c r="D29" s="2783"/>
      <c r="E29" s="2783"/>
      <c r="F29" s="2783"/>
      <c r="G29" s="2784"/>
      <c r="I29" s="2800">
        <v>45</v>
      </c>
      <c r="J29" s="2800">
        <v>98.4</v>
      </c>
      <c r="K29" s="2800">
        <f t="shared" si="2"/>
        <v>2</v>
      </c>
    </row>
    <row r="30" spans="1:14">
      <c r="A30" s="2782" t="s">
        <v>2523</v>
      </c>
      <c r="B30" s="2783"/>
      <c r="C30" s="2783"/>
      <c r="D30" s="2783"/>
      <c r="E30" s="2783"/>
      <c r="F30" s="2783"/>
      <c r="G30" s="2784"/>
      <c r="I30" s="2800">
        <v>50</v>
      </c>
      <c r="J30" s="2800">
        <v>100</v>
      </c>
      <c r="K30" s="2800">
        <f t="shared" si="2"/>
        <v>1.5999999999999943</v>
      </c>
    </row>
    <row r="31" spans="1:14">
      <c r="A31" s="2782" t="s">
        <v>2524</v>
      </c>
      <c r="B31" s="2783"/>
      <c r="C31" s="2783"/>
      <c r="D31" s="2783"/>
      <c r="E31" s="2783"/>
      <c r="F31" s="2783"/>
      <c r="G31" s="2784"/>
      <c r="I31" s="2800" t="s">
        <v>2555</v>
      </c>
    </row>
    <row r="32" spans="1:14">
      <c r="A32" s="2782" t="s">
        <v>2525</v>
      </c>
      <c r="B32" s="2783"/>
      <c r="C32" s="2783"/>
      <c r="D32" s="2783"/>
      <c r="E32" s="2783"/>
      <c r="F32" s="2783"/>
      <c r="G32" s="2784"/>
    </row>
    <row r="33" spans="1:14">
      <c r="A33" s="2782" t="s">
        <v>2526</v>
      </c>
      <c r="B33" s="2783"/>
      <c r="C33" s="2783"/>
      <c r="D33" s="2783"/>
      <c r="E33" s="2783"/>
      <c r="F33" s="2783"/>
      <c r="G33" s="2784"/>
      <c r="I33" s="2800" t="s">
        <v>2554</v>
      </c>
      <c r="J33" s="2800" t="s">
        <v>2564</v>
      </c>
    </row>
    <row r="34" spans="1:14">
      <c r="A34" s="2782" t="s">
        <v>2527</v>
      </c>
      <c r="B34" s="2783"/>
      <c r="C34" s="2783"/>
      <c r="D34" s="2783"/>
      <c r="E34" s="2783"/>
      <c r="F34" s="2783"/>
      <c r="G34" s="2784"/>
      <c r="I34" s="2800">
        <v>5</v>
      </c>
      <c r="J34" s="2800">
        <v>55.1</v>
      </c>
    </row>
    <row r="35" spans="1:14">
      <c r="A35" s="2782" t="s">
        <v>2528</v>
      </c>
      <c r="B35" s="2783"/>
      <c r="C35" s="2783"/>
      <c r="D35" s="2783"/>
      <c r="E35" s="2783"/>
      <c r="F35" s="2783"/>
      <c r="G35" s="2784"/>
      <c r="I35" s="2800">
        <v>10</v>
      </c>
      <c r="J35" s="2800">
        <v>67</v>
      </c>
      <c r="K35" s="2800">
        <f>J35-J34</f>
        <v>11.899999999999999</v>
      </c>
    </row>
    <row r="36" spans="1:14">
      <c r="A36" s="2782" t="s">
        <v>2529</v>
      </c>
      <c r="B36" s="2783"/>
      <c r="C36" s="2783"/>
      <c r="D36" s="2783"/>
      <c r="E36" s="2783"/>
      <c r="F36" s="2783"/>
      <c r="G36" s="2784"/>
      <c r="I36" s="2800">
        <v>15</v>
      </c>
      <c r="J36" s="2800">
        <v>76.3</v>
      </c>
      <c r="K36" s="2800">
        <f t="shared" ref="K36:K41" si="3">J36-J35</f>
        <v>9.2999999999999972</v>
      </c>
      <c r="L36" s="2800" t="s">
        <v>2557</v>
      </c>
      <c r="N36" s="3153" t="s">
        <v>2558</v>
      </c>
    </row>
    <row r="37" spans="1:14">
      <c r="A37" s="2782" t="s">
        <v>2530</v>
      </c>
      <c r="B37" s="2783"/>
      <c r="C37" s="2783"/>
      <c r="D37" s="2783"/>
      <c r="E37" s="2783"/>
      <c r="F37" s="2783"/>
      <c r="G37" s="2784"/>
      <c r="I37" s="2800">
        <v>20</v>
      </c>
      <c r="J37" s="2800">
        <v>83.6</v>
      </c>
      <c r="K37" s="2800">
        <f t="shared" si="3"/>
        <v>7.2999999999999972</v>
      </c>
      <c r="L37" s="2800" t="s">
        <v>2556</v>
      </c>
      <c r="N37" s="3153">
        <v>10</v>
      </c>
    </row>
    <row r="38" spans="1:14">
      <c r="A38" s="2782" t="s">
        <v>2531</v>
      </c>
      <c r="B38" s="2783"/>
      <c r="C38" s="2783"/>
      <c r="D38" s="2783"/>
      <c r="E38" s="2783"/>
      <c r="F38" s="2783"/>
      <c r="G38" s="2784"/>
      <c r="I38" s="2800">
        <v>25</v>
      </c>
      <c r="J38" s="2800">
        <v>89.3</v>
      </c>
      <c r="K38" s="2800">
        <f t="shared" si="3"/>
        <v>5.7000000000000028</v>
      </c>
      <c r="L38" s="2800" t="s">
        <v>2560</v>
      </c>
      <c r="N38" s="3153">
        <v>8</v>
      </c>
    </row>
    <row r="39" spans="1:14">
      <c r="A39" s="2782"/>
      <c r="B39" s="2783"/>
      <c r="C39" s="2783"/>
      <c r="D39" s="2783"/>
      <c r="E39" s="2783"/>
      <c r="F39" s="2783"/>
      <c r="G39" s="2784"/>
      <c r="I39" s="2800">
        <v>30</v>
      </c>
      <c r="J39" s="2800">
        <v>93.8</v>
      </c>
      <c r="K39" s="2800">
        <f t="shared" si="3"/>
        <v>4.5</v>
      </c>
      <c r="L39" s="2800" t="s">
        <v>2561</v>
      </c>
      <c r="N39" s="3153">
        <v>6</v>
      </c>
    </row>
    <row r="40" spans="1:14">
      <c r="A40" s="2785" t="s">
        <v>2532</v>
      </c>
      <c r="B40" s="2786"/>
      <c r="C40" s="2786"/>
      <c r="D40" s="2786"/>
      <c r="E40" s="2786"/>
      <c r="F40" s="2786"/>
      <c r="G40" s="2787"/>
      <c r="I40" s="2800">
        <v>35</v>
      </c>
      <c r="J40" s="2800">
        <v>97.2</v>
      </c>
      <c r="K40" s="2800">
        <f t="shared" si="3"/>
        <v>3.4000000000000057</v>
      </c>
      <c r="L40" s="2800" t="s">
        <v>2562</v>
      </c>
      <c r="N40" s="3153">
        <v>3</v>
      </c>
    </row>
    <row r="41" spans="1:14">
      <c r="A41" s="2788" t="s">
        <v>2533</v>
      </c>
      <c r="B41" s="2789" t="s">
        <v>2534</v>
      </c>
      <c r="C41" s="2790" t="s">
        <v>2535</v>
      </c>
      <c r="D41" s="2790" t="s">
        <v>2536</v>
      </c>
      <c r="E41" s="2791"/>
      <c r="F41" s="2792"/>
      <c r="G41" s="2793"/>
      <c r="I41" s="2800">
        <v>40</v>
      </c>
      <c r="J41" s="2800">
        <v>100</v>
      </c>
      <c r="K41" s="2800">
        <f t="shared" si="3"/>
        <v>2.7999999999999972</v>
      </c>
    </row>
    <row r="42" spans="1:14">
      <c r="A42" s="2788" t="s">
        <v>2537</v>
      </c>
      <c r="B42" s="2789" t="s">
        <v>2538</v>
      </c>
      <c r="C42" s="2790" t="s">
        <v>2539</v>
      </c>
      <c r="D42" s="2794" t="s">
        <v>2540</v>
      </c>
      <c r="E42" s="2786" t="s">
        <v>2541</v>
      </c>
      <c r="F42" s="2786"/>
      <c r="G42" s="2787"/>
    </row>
    <row r="43" spans="1:14">
      <c r="A43" s="2788" t="s">
        <v>2542</v>
      </c>
      <c r="B43" s="2789" t="s">
        <v>2543</v>
      </c>
      <c r="C43" s="2790" t="s">
        <v>2544</v>
      </c>
      <c r="D43" s="2790" t="s">
        <v>2545</v>
      </c>
      <c r="E43" s="2791" t="s">
        <v>2546</v>
      </c>
      <c r="F43" s="2792"/>
      <c r="G43" s="2793"/>
      <c r="I43" s="2800" t="s">
        <v>2554</v>
      </c>
      <c r="J43" s="2800" t="s">
        <v>2565</v>
      </c>
    </row>
    <row r="44" spans="1:14">
      <c r="A44" s="2788" t="s">
        <v>2547</v>
      </c>
      <c r="B44" s="2789" t="s">
        <v>2548</v>
      </c>
      <c r="C44" s="2790" t="s">
        <v>2549</v>
      </c>
      <c r="D44" s="2794">
        <v>0.5</v>
      </c>
      <c r="E44" s="2791" t="s">
        <v>2550</v>
      </c>
      <c r="F44" s="2792"/>
      <c r="G44" s="2793"/>
      <c r="I44" s="2800">
        <v>30</v>
      </c>
      <c r="J44" s="2800">
        <v>81.7</v>
      </c>
    </row>
    <row r="45" spans="1:14" ht="14.25" thickBot="1">
      <c r="A45" s="2795" t="s">
        <v>2551</v>
      </c>
      <c r="B45" s="2796" t="s">
        <v>2538</v>
      </c>
      <c r="C45" s="2797" t="s">
        <v>2538</v>
      </c>
      <c r="D45" s="2797" t="s">
        <v>2552</v>
      </c>
      <c r="E45" s="2798" t="s">
        <v>2553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3374</v>
      </c>
    </row>
    <row r="50" spans="1:4">
      <c r="A50" s="3145" t="s">
        <v>3375</v>
      </c>
      <c r="B50" s="3145" t="s">
        <v>3376</v>
      </c>
      <c r="C50" s="3145" t="s">
        <v>3377</v>
      </c>
      <c r="D50" s="3145" t="s">
        <v>3378</v>
      </c>
    </row>
    <row r="51" spans="1:4">
      <c r="A51" s="3145" t="s">
        <v>3379</v>
      </c>
      <c r="B51" s="2765">
        <f>B52+B53</f>
        <v>15000</v>
      </c>
      <c r="C51" s="3146">
        <f>D51/B51</f>
        <v>2666.6666666666665</v>
      </c>
      <c r="D51" s="2765">
        <f>D52+D53</f>
        <v>40000000</v>
      </c>
    </row>
    <row r="52" spans="1:4">
      <c r="A52" s="3147" t="s">
        <v>3380</v>
      </c>
      <c r="B52" s="3148">
        <v>10000</v>
      </c>
      <c r="C52" s="3148">
        <v>1500</v>
      </c>
      <c r="D52" s="3149">
        <f>C52*B52</f>
        <v>15000000</v>
      </c>
    </row>
    <row r="53" spans="1:4">
      <c r="A53" s="3147" t="s">
        <v>3381</v>
      </c>
      <c r="B53" s="3148">
        <v>5000</v>
      </c>
      <c r="C53" s="3148">
        <v>5000</v>
      </c>
      <c r="D53" s="3149">
        <f>C53*B53</f>
        <v>25000000</v>
      </c>
    </row>
    <row r="54" spans="1:4">
      <c r="A54" s="3145" t="s">
        <v>3382</v>
      </c>
      <c r="B54" s="2765">
        <f>B51</f>
        <v>15000</v>
      </c>
      <c r="C54" s="2771">
        <v>700</v>
      </c>
      <c r="D54" s="2765">
        <f t="shared" ref="D54:D55" si="5">C54*B54</f>
        <v>10500000</v>
      </c>
    </row>
    <row r="55" spans="1:4">
      <c r="A55" s="3145" t="s">
        <v>3383</v>
      </c>
      <c r="B55" s="2765">
        <f>B51</f>
        <v>15000</v>
      </c>
      <c r="C55" s="2771">
        <v>1500</v>
      </c>
      <c r="D55" s="2765">
        <f t="shared" si="5"/>
        <v>22500000</v>
      </c>
    </row>
    <row r="56" spans="1:4">
      <c r="A56" s="3145" t="s">
        <v>3384</v>
      </c>
      <c r="B56" s="2765">
        <f>B51</f>
        <v>15000</v>
      </c>
      <c r="C56" s="3150">
        <f>C51+C54+C55</f>
        <v>4866.6666666666661</v>
      </c>
      <c r="D56" s="2765">
        <f>D51+D54+D55</f>
        <v>73000000</v>
      </c>
    </row>
    <row r="58" spans="1:4">
      <c r="A58" s="3145" t="s">
        <v>3385</v>
      </c>
      <c r="B58" s="3151">
        <v>0.05</v>
      </c>
      <c r="C58" s="2765">
        <f>C56*(1+B58)</f>
        <v>5110</v>
      </c>
      <c r="D58" s="2765">
        <f>D56*B58</f>
        <v>3650000</v>
      </c>
    </row>
    <row r="60" spans="1:4">
      <c r="A60" s="3145" t="s">
        <v>3386</v>
      </c>
      <c r="B60" s="2771">
        <v>3500</v>
      </c>
      <c r="C60" s="2771">
        <f>C53</f>
        <v>5000</v>
      </c>
      <c r="D60" s="2765">
        <f>C60*B60</f>
        <v>17500000</v>
      </c>
    </row>
    <row r="62" spans="1:4">
      <c r="A62" s="3145" t="s">
        <v>3387</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13" sqref="N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45898</v>
      </c>
      <c r="C3" s="2186" t="s">
        <v>2171</v>
      </c>
      <c r="D3" s="2185">
        <v>45898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3407</v>
      </c>
      <c r="C8" s="2201"/>
      <c r="D8" s="3223" t="s">
        <v>2177</v>
      </c>
      <c r="E8" s="2202" t="s">
        <v>3408</v>
      </c>
      <c r="F8" s="2203"/>
      <c r="G8" s="2442"/>
      <c r="H8" s="2442"/>
      <c r="I8" s="2442"/>
      <c r="J8" s="2245"/>
      <c r="K8" s="2400"/>
      <c r="L8" s="2399"/>
      <c r="M8" s="2399"/>
      <c r="N8" s="2245"/>
      <c r="O8" s="1670"/>
      <c r="P8" s="2245"/>
      <c r="Q8" s="2245"/>
      <c r="R8" s="2245"/>
    </row>
    <row r="9" spans="1:30" ht="13.5" thickBot="1">
      <c r="A9" s="2204" t="s">
        <v>2178</v>
      </c>
      <c r="B9" s="2205" t="s">
        <v>3408</v>
      </c>
      <c r="C9" s="2206"/>
      <c r="D9" s="3224"/>
      <c r="E9" s="2205"/>
      <c r="F9" s="2207"/>
      <c r="G9" s="2443"/>
      <c r="H9" s="2443"/>
      <c r="I9" s="2443"/>
      <c r="J9" s="2245"/>
      <c r="K9" s="2402"/>
      <c r="L9" s="2399"/>
      <c r="M9" s="2399"/>
      <c r="N9" s="2245"/>
      <c r="O9" s="1670"/>
      <c r="P9" s="2245"/>
      <c r="Q9" s="2245"/>
      <c r="R9" s="2245"/>
    </row>
    <row r="10" spans="1:30" ht="13.5" thickTop="1">
      <c r="A10" s="2208" t="s">
        <v>2179</v>
      </c>
      <c r="B10" s="2209" t="s">
        <v>3409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2566</v>
      </c>
      <c r="J12" s="2803"/>
      <c r="K12" s="2399"/>
      <c r="L12" s="2399"/>
      <c r="M12" s="2245"/>
      <c r="N12" s="1670"/>
      <c r="O12" s="2245"/>
      <c r="P12" s="2245"/>
      <c r="Q12" s="2245"/>
      <c r="AD12" s="1618"/>
    </row>
    <row r="13" spans="1:30">
      <c r="A13" s="3122" t="s">
        <v>3321</v>
      </c>
      <c r="B13" s="2218" t="s">
        <v>2190</v>
      </c>
      <c r="C13" s="803"/>
      <c r="D13" s="803">
        <v>50645</v>
      </c>
      <c r="E13" s="803">
        <v>54295</v>
      </c>
      <c r="F13" s="803"/>
      <c r="G13" s="803"/>
      <c r="H13" s="803"/>
      <c r="I13" s="803"/>
      <c r="J13" s="2803"/>
      <c r="K13" s="2399"/>
      <c r="L13" s="2399"/>
      <c r="M13" s="2245"/>
      <c r="N13" s="1670"/>
      <c r="O13" s="2245"/>
      <c r="P13" s="2245"/>
      <c r="Q13" s="2245"/>
      <c r="AD13" s="1618"/>
    </row>
    <row r="14" spans="1:30">
      <c r="A14" s="1018"/>
      <c r="B14" s="2218" t="s">
        <v>2191</v>
      </c>
      <c r="C14" s="2219"/>
      <c r="D14" s="2219">
        <v>40</v>
      </c>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13</v>
      </c>
      <c r="E15" s="2221">
        <f>IF(A13="出让",IF(E13="","",ROUNDDOWN(MIN((E13-$D$3)/365,E14),2)),E14)</f>
        <v>23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0"/>
      <c r="C16" s="3231"/>
      <c r="D16" s="3232"/>
      <c r="E16" s="2222" t="s">
        <v>2194</v>
      </c>
      <c r="F16" s="3233"/>
      <c r="G16" s="3234"/>
      <c r="H16" s="3234"/>
      <c r="I16" s="3235"/>
      <c r="J16" s="2245"/>
      <c r="K16" s="2403"/>
      <c r="L16" s="1670"/>
      <c r="M16" s="1670"/>
      <c r="N16" s="2245"/>
      <c r="O16" s="1670"/>
      <c r="P16" s="2245"/>
      <c r="Q16" s="2245"/>
      <c r="R16" s="2245"/>
    </row>
    <row r="17" spans="1:28">
      <c r="A17" s="305" t="s">
        <v>2195</v>
      </c>
      <c r="B17" s="294" t="s">
        <v>2196</v>
      </c>
      <c r="C17" s="8">
        <f>'数据-汇总表'!E3</f>
        <v>1240.3</v>
      </c>
      <c r="D17" s="1256" t="s">
        <v>2197</v>
      </c>
      <c r="E17" s="3236" t="s">
        <v>2198</v>
      </c>
      <c r="F17" s="3237"/>
      <c r="G17" s="3237"/>
      <c r="H17" s="3237"/>
      <c r="I17" s="3238"/>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548</v>
      </c>
      <c r="D18" s="1029" t="s">
        <v>2201</v>
      </c>
      <c r="E18" s="3239" t="s">
        <v>2202</v>
      </c>
      <c r="F18" s="3240"/>
      <c r="G18" s="3240"/>
      <c r="H18" s="3240"/>
      <c r="I18" s="3241"/>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6" t="s">
        <v>2206</v>
      </c>
      <c r="C20" s="3227"/>
      <c r="D20" s="3228" t="s">
        <v>2207</v>
      </c>
      <c r="E20" s="3229"/>
      <c r="F20" s="2430" t="s">
        <v>1056</v>
      </c>
      <c r="G20" s="2442"/>
      <c r="H20" s="2442"/>
      <c r="I20" s="2442"/>
      <c r="J20" s="2245"/>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4"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4"/>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4"/>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5"/>
      <c r="B30" s="294" t="s">
        <v>2218</v>
      </c>
      <c r="C30" s="3216"/>
      <c r="D30" s="3217"/>
      <c r="E30" s="2442"/>
      <c r="F30" s="2442"/>
      <c r="G30" s="2442"/>
      <c r="H30" s="2442"/>
      <c r="I30" s="2442"/>
      <c r="J30" s="2245"/>
      <c r="K30" s="2402"/>
      <c r="L30" s="2399"/>
      <c r="M30" s="2399"/>
      <c r="N30" s="2245"/>
      <c r="O30" s="1670"/>
      <c r="P30" s="2245"/>
      <c r="Q30" s="2245"/>
      <c r="R30" s="2245"/>
      <c r="S30" s="2245"/>
      <c r="T30" s="2245"/>
      <c r="U30" s="2245"/>
      <c r="V30" s="2245"/>
    </row>
    <row r="31" spans="1:28">
      <c r="A31" s="3218"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3" t="s">
        <v>2228</v>
      </c>
      <c r="T34" s="315" t="str">
        <f>NUMBERSTRING(7-K34,1)&amp;"通"</f>
        <v>七通</v>
      </c>
      <c r="U34" s="2245"/>
      <c r="V34" s="2245"/>
    </row>
    <row r="35" spans="1:30">
      <c r="A35" s="2236"/>
      <c r="B35" s="3213" t="s">
        <v>2229</v>
      </c>
      <c r="C35" s="3213"/>
      <c r="D35" s="3213"/>
      <c r="E35" s="321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3"/>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2569</v>
      </c>
      <c r="G36" s="2442"/>
      <c r="H36" s="2442"/>
      <c r="I36" s="2442"/>
      <c r="J36" s="2245"/>
      <c r="K36" s="2402"/>
      <c r="L36" s="2399"/>
      <c r="M36" s="2399"/>
      <c r="N36" s="2245"/>
      <c r="O36" s="1670"/>
      <c r="P36" s="2245"/>
      <c r="Q36" s="2245"/>
      <c r="R36" s="2245"/>
      <c r="S36" s="2245"/>
      <c r="T36" s="2245"/>
      <c r="U36" s="2245"/>
      <c r="V36" s="2245"/>
    </row>
    <row r="37" spans="1:30">
      <c r="A37" s="2415" t="s">
        <v>2230</v>
      </c>
      <c r="B37" s="2237" t="s">
        <v>370</v>
      </c>
      <c r="C37" s="2237" t="s">
        <v>370</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3406</v>
      </c>
      <c r="C38" s="2238" t="s">
        <v>3406</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548</v>
      </c>
      <c r="B3" s="11">
        <f>IF(C3="否",G5-AT5,G5)</f>
        <v>1240.3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1240.3</v>
      </c>
      <c r="H5" s="13">
        <f t="shared" ref="H5:AT5" si="0">SUM(H13:H656)</f>
        <v>1240.3</v>
      </c>
      <c r="I5" s="13">
        <f t="shared" si="0"/>
        <v>1240.3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1240.3</v>
      </c>
      <c r="BA5" s="15">
        <f t="shared" si="1"/>
        <v>1240.3</v>
      </c>
      <c r="BB5" s="15">
        <f t="shared" si="1"/>
        <v>1240.3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548</v>
      </c>
      <c r="F6" s="13" t="s">
        <v>0</v>
      </c>
      <c r="G6" s="13" t="s">
        <v>1</v>
      </c>
      <c r="H6" s="17">
        <f>SUMIF(I$12:AB$12,"总值",I6:AB6)</f>
        <v>548</v>
      </c>
      <c r="I6" s="13">
        <f t="shared" ref="I6:AB6" si="2">ROUND($A$3*I5/$B$3,2)</f>
        <v>548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548</v>
      </c>
      <c r="AZ6" s="13" t="s">
        <v>2</v>
      </c>
      <c r="BA6" s="13">
        <f>ROUND($AY$6*BA5/$AZ$5,2)</f>
        <v>548</v>
      </c>
      <c r="BB6" s="13">
        <f>ROUND($AY$6*BB5/$AZ$5,2)</f>
        <v>548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0" t="s">
        <v>3412</v>
      </c>
      <c r="D13" s="1513" t="s">
        <v>3413</v>
      </c>
      <c r="E13" s="13">
        <f>IF($C$3="是",ROUND($A$3*G13/$B$3,2),ROUND($A$3*(G13-AT13)/$B$3,2))</f>
        <v>548</v>
      </c>
      <c r="F13" s="29"/>
      <c r="G13" s="30">
        <f>H13+AC13+AT13</f>
        <v>1240.3</v>
      </c>
      <c r="H13" s="17">
        <f>SUMIF(I$12:AB$12,"总值",I13:AB13)</f>
        <v>1240.3</v>
      </c>
      <c r="I13" s="1514">
        <v>1240.3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综合楼</v>
      </c>
      <c r="AY13" s="1260">
        <f>ROUND($AY$6*AZ13/$AZ$5,2)</f>
        <v>548</v>
      </c>
      <c r="AZ13" s="13">
        <f>BA13+BL13</f>
        <v>1240.3</v>
      </c>
      <c r="BA13" s="13">
        <f>SUM(BB13:BK13)</f>
        <v>1240.3</v>
      </c>
      <c r="BB13" s="13">
        <f>IF($D13="是",I13-J13,0)</f>
        <v>1240.3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6FACE-6471-460E-A2C3-DDB43DB564D7}">
  <dimension ref="A1"/>
  <sheetViews>
    <sheetView topLeftCell="A13" zoomScale="85" zoomScaleNormal="85" workbookViewId="0">
      <selection activeCell="M47" sqref="M47"/>
    </sheetView>
  </sheetViews>
  <sheetFormatPr defaultRowHeight="13.5"/>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1" t="s">
        <v>1131</v>
      </c>
      <c r="B2" s="3251"/>
      <c r="C2" s="3251"/>
      <c r="D2" s="748" t="s">
        <v>1107</v>
      </c>
      <c r="E2" s="1523" t="s">
        <v>1108</v>
      </c>
      <c r="F2" s="2439"/>
      <c r="G2" s="2432"/>
      <c r="H2" s="2433"/>
      <c r="I2" s="2146" t="s">
        <v>1132</v>
      </c>
      <c r="J2" s="2439"/>
      <c r="K2" s="2439"/>
      <c r="L2" s="2439"/>
      <c r="M2" s="2439"/>
      <c r="N2" s="2440"/>
      <c r="O2" s="2439"/>
      <c r="P2" s="2439"/>
    </row>
    <row r="3" spans="1:16" ht="15.75" thickBot="1">
      <c r="A3" s="3252" t="s">
        <v>1105</v>
      </c>
      <c r="B3" s="3252"/>
      <c r="C3" s="3252"/>
      <c r="D3" s="41">
        <f>'数据-基础表'!AY6</f>
        <v>548</v>
      </c>
      <c r="E3" s="41">
        <f>'数据-基础表'!AZ5</f>
        <v>1240.3</v>
      </c>
      <c r="F3" s="2439"/>
      <c r="G3" s="42"/>
      <c r="H3" s="43" t="s">
        <v>1106</v>
      </c>
      <c r="I3" s="802">
        <f>ROUND('数据-基础表'!B3/'数据-基础表'!A3,2)</f>
        <v>2.2599999999999998</v>
      </c>
      <c r="J3" s="2439"/>
      <c r="K3" s="2439"/>
      <c r="L3" s="2439"/>
      <c r="M3" s="2439"/>
      <c r="N3" s="2440"/>
      <c r="O3" s="2439"/>
      <c r="P3" s="2439"/>
    </row>
    <row r="4" spans="1:16" ht="15">
      <c r="A4" s="3253"/>
      <c r="B4" s="3254"/>
      <c r="C4" s="3255"/>
      <c r="D4" s="1524" t="s">
        <v>1107</v>
      </c>
      <c r="E4" s="1525" t="s">
        <v>1108</v>
      </c>
      <c r="F4" s="2439"/>
      <c r="G4" s="2434" t="s">
        <v>1133</v>
      </c>
      <c r="H4" s="43" t="s">
        <v>1113</v>
      </c>
      <c r="I4" s="802">
        <f>ROUND(SUMIF('数据-基础表'!I9:AS9,"地上",'数据-基础表'!I5:AS5)/'数据-基础表'!A3,2)</f>
        <v>2.2599999999999998</v>
      </c>
      <c r="J4" s="2439"/>
      <c r="K4" s="2439"/>
      <c r="L4" s="2439"/>
      <c r="M4" s="2439"/>
      <c r="N4" s="2440"/>
      <c r="O4" s="2439"/>
      <c r="P4" s="2439"/>
    </row>
    <row r="5" spans="1:16">
      <c r="A5" s="42" t="s">
        <v>1109</v>
      </c>
      <c r="B5" s="3256" t="s">
        <v>1110</v>
      </c>
      <c r="C5" s="3256"/>
      <c r="D5" s="43">
        <f>ROUND($D$3*E5/$E$3,2)</f>
        <v>0</v>
      </c>
      <c r="E5" s="44">
        <f>SUMIF('数据-基础表'!$11:$11,"住宅",'数据-基础表'!$5:$5)</f>
        <v>0</v>
      </c>
      <c r="F5" s="2439"/>
      <c r="G5" s="42"/>
      <c r="H5" s="43" t="s">
        <v>1106</v>
      </c>
      <c r="I5" s="802">
        <f>ROUND(E31/D31,2)</f>
        <v>2.2599999999999998</v>
      </c>
      <c r="J5" s="2439"/>
      <c r="K5" s="2439"/>
      <c r="L5" s="2439"/>
      <c r="M5" s="2439"/>
      <c r="N5" s="2439"/>
      <c r="O5" s="2439"/>
      <c r="P5" s="2439"/>
    </row>
    <row r="6" spans="1:16" ht="15" thickBot="1">
      <c r="A6" s="1527"/>
      <c r="B6" s="3256" t="s">
        <v>1111</v>
      </c>
      <c r="C6" s="3256"/>
      <c r="D6" s="43">
        <f>ROUND($D$3*E6/$E$3,2)</f>
        <v>548</v>
      </c>
      <c r="E6" s="44">
        <f>E3-E5</f>
        <v>1240.3</v>
      </c>
      <c r="F6" s="2439"/>
      <c r="G6" s="1529" t="s">
        <v>1112</v>
      </c>
      <c r="H6" s="45" t="s">
        <v>1113</v>
      </c>
      <c r="I6" s="2435">
        <f>ROUND(F31/D31,2)</f>
        <v>2.2599999999999998</v>
      </c>
      <c r="J6" s="2439"/>
      <c r="K6" s="2439"/>
      <c r="L6" s="2439"/>
      <c r="M6" s="2439"/>
      <c r="N6" s="2439"/>
      <c r="O6" s="2439"/>
      <c r="P6" s="2439"/>
    </row>
    <row r="7" spans="1:16" ht="15.75" thickBot="1">
      <c r="A7" s="3248"/>
      <c r="B7" s="3249"/>
      <c r="C7" s="3250"/>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548</v>
      </c>
      <c r="E8" s="46">
        <f>SUMIF('数据-基础表'!BB10:BK10,"地上",'数据-基础表'!BB5:BK5)</f>
        <v>1240.3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548</v>
      </c>
      <c r="E16" s="48">
        <f>SUM(E8:E15)</f>
        <v>1240.3</v>
      </c>
      <c r="F16" s="2439"/>
      <c r="G16" s="2439"/>
      <c r="H16" s="1531" t="s">
        <v>1135</v>
      </c>
      <c r="I16" s="1532"/>
      <c r="J16" s="1071"/>
      <c r="K16" s="3245" t="s">
        <v>1135</v>
      </c>
      <c r="L16" s="3246"/>
      <c r="M16" s="3246"/>
      <c r="N16" s="3246"/>
      <c r="O16" s="3246"/>
      <c r="P16" s="3247"/>
    </row>
    <row r="17" spans="1:19" ht="15">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综合楼</v>
      </c>
      <c r="D19" s="43">
        <f>ROUND($D$3*E19/$E$3,2)</f>
        <v>548</v>
      </c>
      <c r="E19" s="51">
        <f t="shared" ref="E19:E26" si="1">SUM(F19:G19)</f>
        <v>1240.3</v>
      </c>
      <c r="F19" s="2558">
        <f>'数据-基础表'!I13</f>
        <v>1240.3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548</v>
      </c>
      <c r="S19" s="51">
        <f t="shared" si="5"/>
        <v>1240.3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548</v>
      </c>
      <c r="E27" s="1073">
        <f>IF(SUM(E19:E26)='数据-基础表'!BA5,SUM(E19:E26),IF(F27="地上面积有误","面积有误","地下面积有误"))</f>
        <v>1240.3</v>
      </c>
      <c r="F27" s="1072">
        <f>IF(SUM(F19:F26)=E8,SUM(F19:F26),"地上面积有误")</f>
        <v>1240.3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548</v>
      </c>
      <c r="S27" s="43">
        <f>IF(SUM(S19:S26)=$E$3,SUM(S19:S26),SUM(S19:S26)&amp;"误差"&amp;ROUND(SUM(S19:S26)-E3,2))</f>
        <v>1240.3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548</v>
      </c>
      <c r="E31" s="643">
        <f>E27+E30</f>
        <v>1240.3</v>
      </c>
      <c r="F31" s="644">
        <f>F27+F30</f>
        <v>1240.3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M28" sqref="AM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45898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综合楼</v>
      </c>
      <c r="B6" s="1587" t="str">
        <f>IF(A6=0,"","经营性")</f>
        <v>经营性</v>
      </c>
      <c r="C6" s="1588" t="s">
        <v>673</v>
      </c>
      <c r="D6" s="805">
        <f>SUMIF(项目基本情况!C$12:I$12,C6,项目基本情况!C$14:I$14)</f>
        <v>40</v>
      </c>
      <c r="E6" s="804">
        <f>IF(B6="","",SUMIF(项目基本情况!C$12:I$12,C6,项目基本情况!C$13:I$13))</f>
        <v>50645</v>
      </c>
      <c r="F6" s="61">
        <f>SUMIF(项目基本情况!C$12:I$12,C6,项目基本情况!C$15:I$15)</f>
        <v>13</v>
      </c>
      <c r="G6" s="62">
        <f>IF(ISERROR(ROUND(POWER(1+H6,D6-F6)*(POWER(1+H6,F6)-1)/(POWER(1+H6,D6)-1),3)),0,ROUND(POWER(1+H6,D6-F6)*(POWER(1+H6,F6)-1)/(POWER(1+H6,D6)-1),3))</f>
        <v>0.56799999999999995</v>
      </c>
      <c r="H6" s="691">
        <v>5.5E-2</v>
      </c>
      <c r="I6" s="691">
        <v>0.06</v>
      </c>
      <c r="J6" s="63">
        <v>7.0000000000000007E-2</v>
      </c>
      <c r="K6" s="970">
        <f>SUMIF('数据-汇总表'!C$19:C$33,A6,'数据-汇总表'!E$19:E$33)</f>
        <v>1240.3</v>
      </c>
      <c r="L6" s="692">
        <v>4100</v>
      </c>
      <c r="M6" s="64">
        <f t="shared" ref="M6:M14" si="0">ROUND(K6*L6/10000,0)</f>
        <v>509</v>
      </c>
      <c r="N6" s="690">
        <v>0.7</v>
      </c>
      <c r="O6" s="64" t="str">
        <f>IF($N$5="成新度","——",ROUND(M6*N6,0))</f>
        <v>——</v>
      </c>
      <c r="P6" s="65" t="str">
        <f>IF($N$5="成新度","——",M6-O6)</f>
        <v>——</v>
      </c>
      <c r="Q6" s="693">
        <v>0.15</v>
      </c>
      <c r="R6" s="66">
        <f ca="1">SUMIF('数据-汇总表'!C$19:C$33,A6,'数据-汇总表'!R$19:R$27)</f>
        <v>548</v>
      </c>
      <c r="S6" s="49">
        <f>IF('数据-汇总表'!$I$17="按面积比例",SUMIF('数据-汇总表'!C$19:C$33,A6,'数据-汇总表'!K$19:K$33),SUMIF('数据-汇总表'!C$19:C$33,A6,'数据-汇总表'!N$19:N$33))</f>
        <v>0</v>
      </c>
      <c r="T6" s="1092">
        <f>ROUND($L$14*S6/10000,0)</f>
        <v>0</v>
      </c>
      <c r="U6" s="3127">
        <v>1</v>
      </c>
      <c r="V6" s="67">
        <v>0.02</v>
      </c>
      <c r="W6" s="67">
        <v>0.1</v>
      </c>
      <c r="X6" s="979"/>
      <c r="Y6" s="68">
        <f>N6</f>
        <v>0.7</v>
      </c>
      <c r="Z6" s="69"/>
      <c r="AA6" s="63"/>
      <c r="AB6" s="63"/>
      <c r="AC6" s="979"/>
      <c r="AD6" s="70"/>
      <c r="AE6" s="980">
        <f ca="1">IF(AN6="",0,SUMIF(INDIRECT("'"&amp;AN6&amp;"'"&amp;"!E:E"),$AE$5,INDIRECT("'"&amp;AN6&amp;"'"&amp;"!F:F")))</f>
        <v>13</v>
      </c>
      <c r="AF6" s="74"/>
      <c r="AG6" s="130">
        <f>IF(AF6="",0,AE6-AF6)</f>
        <v>0</v>
      </c>
      <c r="AH6" s="71"/>
      <c r="AI6" s="73">
        <v>365</v>
      </c>
      <c r="AJ6" s="74"/>
      <c r="AK6" s="75">
        <v>2E-3</v>
      </c>
      <c r="AL6" s="76">
        <v>1E-3</v>
      </c>
      <c r="AM6" s="77">
        <v>0.01</v>
      </c>
      <c r="AN6" s="1589" t="s">
        <v>3416</v>
      </c>
      <c r="AO6" s="50">
        <f ca="1">SUMIF(INDIRECT("'"&amp;AN6&amp;"'"&amp;"!A:A"),"总价",INDIRECT("'"&amp;AN6&amp;"'"&amp;"!B:B"))</f>
        <v>424.53960000000001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0.56799999999999995</v>
      </c>
      <c r="H16" s="84">
        <f>ROUND(SUMPRODUCT(H6:H13,K6:K13)/SUMPRODUCT((H6:H13&gt;0)*(K6:K13)),3)</f>
        <v>5.5E-2</v>
      </c>
      <c r="I16" s="85"/>
      <c r="J16" s="85"/>
      <c r="K16" s="86">
        <f>SUM(K6:K15)</f>
        <v>1240.3</v>
      </c>
      <c r="L16" s="87">
        <f>ROUND(M16*10000/SUM(K6:K14),0)</f>
        <v>4104</v>
      </c>
      <c r="M16" s="87">
        <f>SUM(M6:M14)</f>
        <v>509</v>
      </c>
      <c r="N16" s="88">
        <f>ROUND(SUMPRODUCT(M6:M14,N6:N14)/M16,3)</f>
        <v>0.7</v>
      </c>
      <c r="O16" s="87">
        <f>SUM(O6:O14)</f>
        <v>0</v>
      </c>
      <c r="P16" s="87">
        <f>SUM(P6:P14)</f>
        <v>0</v>
      </c>
      <c r="Q16" s="89">
        <f>ROUND(SUMPRODUCT(Q6:Q13,K6:K13)/SUMPRODUCT((Q6:Q13&gt;0)*(K6:K13)),2)</f>
        <v>0.15</v>
      </c>
      <c r="R16" s="974">
        <f ca="1">SUM(R6:R13)</f>
        <v>548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3508" t="s">
        <v>3437</v>
      </c>
      <c r="M21" s="2449"/>
      <c r="N21" s="2449"/>
      <c r="O21" s="2449">
        <v>1997</v>
      </c>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v>2500</v>
      </c>
      <c r="M22" s="2449">
        <f>L22*K16</f>
        <v>3100750</v>
      </c>
      <c r="N22" s="2449"/>
      <c r="O22" s="3511">
        <f>ROUND(1-(2025-O21)/50,2)</f>
        <v>0.44</v>
      </c>
      <c r="P22" s="3510">
        <v>0.85</v>
      </c>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3508" t="s">
        <v>3438</v>
      </c>
      <c r="M23" s="2449">
        <v>2000000</v>
      </c>
      <c r="N23" s="2449"/>
      <c r="O23" s="3509">
        <f>ROUND(O22*0.3+P22*0.7,2)</f>
        <v>0.73</v>
      </c>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f>M22+M23</f>
        <v>5100750</v>
      </c>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f>ROUND(M24/K16,0)</f>
        <v>4113</v>
      </c>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120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160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(元)'!C8</f>
        <v>198448</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3388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7" t="s">
        <v>2277</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5" sqref="G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1240.3</v>
      </c>
      <c r="C1" s="2462"/>
      <c r="D1" s="2462"/>
      <c r="E1" s="2462"/>
      <c r="F1" s="2462"/>
      <c r="G1" s="2463"/>
      <c r="H1" s="2463"/>
      <c r="I1" s="2463"/>
      <c r="J1" s="2463"/>
      <c r="K1" s="2463"/>
    </row>
    <row r="2" spans="1:11" ht="16.5">
      <c r="A2" s="2300" t="s">
        <v>653</v>
      </c>
      <c r="B2" s="2300">
        <f>SUM(C14:C23)</f>
        <v>548</v>
      </c>
      <c r="C2" s="2462"/>
      <c r="D2" s="2462"/>
      <c r="E2" s="2462"/>
      <c r="F2" s="2462"/>
      <c r="G2" s="2463"/>
      <c r="H2" s="2463"/>
      <c r="I2" s="2463"/>
      <c r="J2" s="2463"/>
      <c r="K2" s="2463"/>
    </row>
    <row r="3" spans="1:11" ht="16.5">
      <c r="A3" s="2300" t="s">
        <v>662</v>
      </c>
      <c r="B3" s="2302">
        <f>项目基本情况!D3</f>
        <v>45898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537</v>
      </c>
      <c r="C5" s="2300">
        <f ca="1">IF(B5=D14,结果表!H102,ROUND(B5*10000/$B$1,0))</f>
        <v>4330</v>
      </c>
      <c r="D5" s="2300">
        <f ca="1">ROUND(B5*10000/$B$2,0)</f>
        <v>9799</v>
      </c>
      <c r="E5" s="2462"/>
      <c r="F5" s="2463"/>
      <c r="G5" s="2463"/>
      <c r="H5" s="2463"/>
      <c r="I5" s="2463"/>
      <c r="J5" s="2463"/>
      <c r="K5" s="2463"/>
    </row>
    <row r="6" spans="1:11" ht="16.5">
      <c r="A6" s="2300" t="s">
        <v>656</v>
      </c>
      <c r="B6" s="2300">
        <f ca="1">SUM(G14:G23)</f>
        <v>537</v>
      </c>
      <c r="C6" s="2300">
        <f ca="1">IF(B6=G14,结果表!H108,ROUND(B6*10000/$B$1,0))</f>
        <v>4330</v>
      </c>
      <c r="D6" s="2300">
        <f ca="1">ROUND(B6*10000/$B$2,0)</f>
        <v>9799</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3344</v>
      </c>
      <c r="D10" s="2300" t="s">
        <v>3345</v>
      </c>
      <c r="E10" s="3137"/>
      <c r="F10" s="3141" t="s">
        <v>3346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1240.3</v>
      </c>
      <c r="C14" s="2306">
        <f>'数据-汇总表'!D3</f>
        <v>548</v>
      </c>
      <c r="D14" s="2306">
        <f ca="1">结果表!G19</f>
        <v>537</v>
      </c>
      <c r="E14" s="2306">
        <f ca="1">ROUND(D14*10000/B14,0)</f>
        <v>4330</v>
      </c>
      <c r="F14" s="2306">
        <f ca="1">ROUND(D14*10000/C14,0)</f>
        <v>9799</v>
      </c>
      <c r="G14" s="2306">
        <f ca="1">D14</f>
        <v>537</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M15" sqref="M1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3411</v>
      </c>
      <c r="D1" s="646"/>
      <c r="E1" s="646"/>
      <c r="F1" s="1621" t="s">
        <v>1263</v>
      </c>
      <c r="G1" s="1453" t="s">
        <v>3430</v>
      </c>
      <c r="H1" s="1621" t="str">
        <f>IF(G1="现房","——","估价对象范围")</f>
        <v>——</v>
      </c>
      <c r="I1" s="1622" t="s">
        <v>3431</v>
      </c>
    </row>
    <row r="2" spans="1:12" ht="21.75" customHeight="1" thickBot="1">
      <c r="A2" s="3293" t="str">
        <f>项目基本情况!S2</f>
        <v>北京市房地产</v>
      </c>
      <c r="B2" s="3294"/>
      <c r="C2" s="3294"/>
      <c r="D2" s="3294"/>
      <c r="E2" s="3294"/>
      <c r="F2" s="3294"/>
      <c r="G2" s="3294"/>
      <c r="H2" s="3294"/>
      <c r="I2" s="3295"/>
    </row>
    <row r="3" spans="1:12" ht="12.75">
      <c r="A3" s="3297" t="s">
        <v>1264</v>
      </c>
      <c r="B3" s="3298"/>
      <c r="C3" s="3298"/>
      <c r="D3" s="3298"/>
      <c r="E3" s="3298"/>
      <c r="F3" s="3298"/>
      <c r="G3" s="3298"/>
      <c r="H3" s="3298"/>
      <c r="I3" s="3298"/>
    </row>
    <row r="4" spans="1:12" ht="14.25">
      <c r="A4" s="1624" t="s">
        <v>1265</v>
      </c>
      <c r="B4" s="1625" t="s">
        <v>1266</v>
      </c>
      <c r="C4" s="1626" t="s">
        <v>3429</v>
      </c>
      <c r="D4" s="1626" t="s">
        <v>3436</v>
      </c>
      <c r="E4" s="3299" t="s">
        <v>1267</v>
      </c>
      <c r="F4" s="3300"/>
      <c r="G4" s="3300"/>
      <c r="H4" s="3300"/>
      <c r="I4" s="330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3" t="s">
        <v>1268</v>
      </c>
      <c r="B5" s="3260">
        <v>25</v>
      </c>
      <c r="C5" s="3276"/>
      <c r="D5" s="3296"/>
      <c r="E5" s="123" t="s">
        <v>1269</v>
      </c>
      <c r="F5" s="1627"/>
      <c r="G5" s="1627"/>
      <c r="H5" s="1627"/>
      <c r="I5" s="1281"/>
    </row>
    <row r="6" spans="1:12" ht="12.75">
      <c r="A6" s="3273"/>
      <c r="B6" s="3260"/>
      <c r="C6" s="3277"/>
      <c r="D6" s="3296"/>
      <c r="E6" s="123" t="s">
        <v>1270</v>
      </c>
      <c r="F6" s="1627"/>
      <c r="G6" s="1627"/>
      <c r="H6" s="1627"/>
      <c r="I6" s="1281"/>
    </row>
    <row r="7" spans="1:12" ht="12.75">
      <c r="A7" s="3273"/>
      <c r="B7" s="3260"/>
      <c r="C7" s="3278"/>
      <c r="D7" s="3296"/>
      <c r="E7" s="123" t="s">
        <v>1271</v>
      </c>
      <c r="F7" s="1627"/>
      <c r="G7" s="1627"/>
      <c r="H7" s="1627"/>
      <c r="I7" s="1281"/>
    </row>
    <row r="8" spans="1:12" ht="12.75">
      <c r="A8" s="3273" t="s">
        <v>1272</v>
      </c>
      <c r="B8" s="3260">
        <v>15</v>
      </c>
      <c r="C8" s="3276"/>
      <c r="D8" s="3296"/>
      <c r="E8" s="123" t="s">
        <v>1273</v>
      </c>
      <c r="F8" s="1627"/>
      <c r="G8" s="1627"/>
      <c r="H8" s="1627"/>
      <c r="I8" s="1281"/>
    </row>
    <row r="9" spans="1:12" ht="12.75">
      <c r="A9" s="3273"/>
      <c r="B9" s="3260"/>
      <c r="C9" s="3278"/>
      <c r="D9" s="3296"/>
      <c r="E9" s="123" t="s">
        <v>1274</v>
      </c>
      <c r="F9" s="1627"/>
      <c r="G9" s="1627"/>
      <c r="H9" s="1627"/>
      <c r="I9" s="1281"/>
    </row>
    <row r="10" spans="1:12" ht="12.75">
      <c r="A10" s="3273" t="s">
        <v>1275</v>
      </c>
      <c r="B10" s="3260">
        <v>15</v>
      </c>
      <c r="C10" s="3276"/>
      <c r="D10" s="3296"/>
      <c r="E10" s="123" t="s">
        <v>1276</v>
      </c>
      <c r="F10" s="1627"/>
      <c r="G10" s="1627"/>
      <c r="H10" s="1627"/>
      <c r="I10" s="1281"/>
    </row>
    <row r="11" spans="1:12" ht="12.75">
      <c r="A11" s="3273"/>
      <c r="B11" s="3260"/>
      <c r="C11" s="3278"/>
      <c r="D11" s="3296"/>
      <c r="E11" s="123" t="s">
        <v>1277</v>
      </c>
      <c r="F11" s="1627"/>
      <c r="G11" s="1627"/>
      <c r="H11" s="1627"/>
      <c r="I11" s="1281"/>
    </row>
    <row r="12" spans="1:12" ht="12.75">
      <c r="A12" s="3273" t="s">
        <v>1278</v>
      </c>
      <c r="B12" s="3260">
        <v>15</v>
      </c>
      <c r="C12" s="3276"/>
      <c r="D12" s="3296"/>
      <c r="E12" s="123" t="s">
        <v>1279</v>
      </c>
      <c r="F12" s="1627"/>
      <c r="G12" s="1627"/>
      <c r="H12" s="1627"/>
      <c r="I12" s="1281"/>
    </row>
    <row r="13" spans="1:12" ht="12.75">
      <c r="A13" s="3273"/>
      <c r="B13" s="3260"/>
      <c r="C13" s="3278"/>
      <c r="D13" s="3296"/>
      <c r="E13" s="123" t="s">
        <v>1280</v>
      </c>
      <c r="F13" s="1627"/>
      <c r="G13" s="1627"/>
      <c r="H13" s="1627"/>
      <c r="I13" s="1281"/>
    </row>
    <row r="14" spans="1:12" ht="12.75">
      <c r="A14" s="3273" t="s">
        <v>1281</v>
      </c>
      <c r="B14" s="3260">
        <v>30</v>
      </c>
      <c r="C14" s="3276">
        <v>6</v>
      </c>
      <c r="D14" s="3296">
        <v>4</v>
      </c>
      <c r="E14" s="123" t="s">
        <v>1282</v>
      </c>
      <c r="F14" s="1627"/>
      <c r="G14" s="1627"/>
      <c r="H14" s="1627"/>
      <c r="I14" s="1281"/>
    </row>
    <row r="15" spans="1:12" ht="12.75">
      <c r="A15" s="3273"/>
      <c r="B15" s="3260"/>
      <c r="C15" s="3277"/>
      <c r="D15" s="3296"/>
      <c r="E15" s="123" t="s">
        <v>1283</v>
      </c>
      <c r="F15" s="1627"/>
      <c r="G15" s="1627"/>
      <c r="H15" s="1627"/>
      <c r="I15" s="1281"/>
    </row>
    <row r="16" spans="1:12" ht="12.75">
      <c r="A16" s="3273"/>
      <c r="B16" s="3260"/>
      <c r="C16" s="3278"/>
      <c r="D16" s="3296"/>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15.75" thickBot="1">
      <c r="A18" s="1629" t="s">
        <v>1288</v>
      </c>
      <c r="B18" s="1542"/>
      <c r="C18" s="125">
        <f>ROUND(C17/SUM(C17:D17),2)</f>
        <v>0.6</v>
      </c>
      <c r="D18" s="125">
        <f>1-C18</f>
        <v>0.4</v>
      </c>
      <c r="E18" s="3283" t="s">
        <v>2131</v>
      </c>
      <c r="F18" s="3284"/>
      <c r="G18" s="3284"/>
      <c r="H18" s="3284"/>
      <c r="I18" s="3284"/>
      <c r="K18" s="294" t="s">
        <v>1289</v>
      </c>
      <c r="L18" s="294">
        <f>IF(C1="",'数据-汇总表'!E3,SUMIF(项目类型,C1,'数据-汇总表'!E17:E26)+SUMIF(项目类型,C1,'数据-汇总表'!I17:I26))</f>
        <v>1240.3</v>
      </c>
      <c r="M18" s="294">
        <f>IF(C1="",'数据-汇总表'!E3,SUMIF(项目类型,C1,'数据-汇总表'!E17:E26))</f>
        <v>1240.3</v>
      </c>
    </row>
    <row r="19" spans="1:36" ht="15">
      <c r="A19" s="1630" t="s">
        <v>1290</v>
      </c>
      <c r="B19" s="1631" t="s">
        <v>1291</v>
      </c>
      <c r="C19" s="126">
        <f ca="1">SUMIF(INDIRECT("'"&amp;C4&amp;"'"&amp;"!A:A"),结果表!B19,INDIRECT("'"&amp;C4&amp;"'"&amp;"!B:B"))</f>
        <v>686.64179999999999</v>
      </c>
      <c r="D19" s="127">
        <f ca="1">SUMIF(INDIRECT("'"&amp;D4&amp;"'"&amp;"!A:A"),结果表!B19,INDIRECT("'"&amp;D4&amp;"'"&amp;"!B:B"))</f>
        <v>313.2396</v>
      </c>
      <c r="E19" s="1630" t="s">
        <v>1292</v>
      </c>
      <c r="F19" s="1631" t="s">
        <v>1291</v>
      </c>
      <c r="G19" s="128">
        <f ca="1">ROUND(C19*$C$18+D19*$D$18,0)</f>
        <v>537</v>
      </c>
      <c r="H19" s="1632" t="s">
        <v>1293</v>
      </c>
      <c r="I19" s="121">
        <f ca="1">ROUND(G20*L18,0)</f>
        <v>5372980</v>
      </c>
      <c r="K19" s="294" t="s">
        <v>1294</v>
      </c>
      <c r="L19" s="294">
        <f>IF(C1="",'数据-汇总表'!D3,SUMIF(项目类型,C1,'数据-汇总表'!D17:D26)+SUMIF(项目类型,C1,'数据-汇总表'!H17:H27))</f>
        <v>548</v>
      </c>
      <c r="M19" s="294">
        <f>IF(C1="",'数据-汇总表'!D3,SUMIF(项目类型,C1,'数据-汇总表'!D17:D26))</f>
        <v>548</v>
      </c>
    </row>
    <row r="20" spans="1:36" ht="15">
      <c r="A20" s="1633"/>
      <c r="B20" s="43" t="s">
        <v>1295</v>
      </c>
      <c r="C20" s="129">
        <f ca="1">SUMIF(INDIRECT("'"&amp;C4&amp;"'"&amp;"!A:A"),结果表!B20,INDIRECT("'"&amp;C4&amp;"'"&amp;"!B:B"))</f>
        <v>5536</v>
      </c>
      <c r="D20" s="130">
        <f ca="1">SUMIF(INDIRECT("'"&amp;D4&amp;"'"&amp;"!A:A"),结果表!B20,INDIRECT("'"&amp;D4&amp;"'"&amp;"!B:B"))</f>
        <v>2526</v>
      </c>
      <c r="E20" s="1633"/>
      <c r="F20" s="43" t="s">
        <v>1295</v>
      </c>
      <c r="G20" s="131">
        <f ca="1">ROUND(C20*$C$18+D20*$D$18,0)</f>
        <v>4332</v>
      </c>
      <c r="H20" s="760" t="s">
        <v>1296</v>
      </c>
      <c r="I20" s="121"/>
      <c r="J20" s="3513" t="str">
        <f ca="1">NUMBERSTRING(INT(I19),2)&amp;"元整"</f>
        <v>伍佰叁拾柒万贰仟玖佰捌拾元整</v>
      </c>
      <c r="K20" s="3514"/>
    </row>
    <row r="21" spans="1:36" ht="15" customHeight="1" thickBot="1">
      <c r="A21" s="449"/>
      <c r="B21" s="93" t="s">
        <v>1297</v>
      </c>
      <c r="C21" s="678">
        <f ca="1">ROUND(C19*10000/L19,0)</f>
        <v>12530</v>
      </c>
      <c r="D21" s="679">
        <f ca="1">ROUND(D19*10000/L19,0)</f>
        <v>5716</v>
      </c>
      <c r="E21" s="449"/>
      <c r="F21" s="93" t="s">
        <v>1297</v>
      </c>
      <c r="G21" s="132">
        <f ca="1">ROUND(G19*10000/L19,0)</f>
        <v>9799</v>
      </c>
      <c r="H21" s="1634" t="s">
        <v>1296</v>
      </c>
      <c r="I21" s="121"/>
    </row>
    <row r="22" spans="1:36" ht="15" thickBot="1">
      <c r="A22" s="1564" t="s">
        <v>1298</v>
      </c>
      <c r="B22" s="1635"/>
      <c r="C22" s="1636"/>
      <c r="D22" s="680">
        <f ca="1">IF(C19&lt;D19,D19/C19-1,C19/D19-1)</f>
        <v>1.1920657541383655</v>
      </c>
      <c r="E22" s="121"/>
      <c r="F22" s="121"/>
      <c r="G22" s="121"/>
      <c r="H22" s="121"/>
      <c r="I22" s="121"/>
    </row>
    <row r="23" spans="1:36" ht="13.5" thickBot="1">
      <c r="A23" s="646"/>
      <c r="B23" s="646"/>
      <c r="C23" s="646"/>
      <c r="D23" s="646"/>
      <c r="E23" s="121"/>
      <c r="F23" s="121"/>
      <c r="G23" s="121"/>
      <c r="H23" s="121"/>
      <c r="I23" s="121"/>
    </row>
    <row r="24" spans="1:36" ht="14.25">
      <c r="A24" s="3267" t="s">
        <v>1299</v>
      </c>
      <c r="B24" s="1631" t="s">
        <v>1291</v>
      </c>
      <c r="C24" s="128">
        <f>IF(B30=0,0,D30)</f>
        <v>0</v>
      </c>
      <c r="D24" s="1637"/>
      <c r="E24" s="121"/>
      <c r="F24" s="121"/>
      <c r="G24" s="121"/>
      <c r="H24" s="121"/>
      <c r="I24" s="121"/>
    </row>
    <row r="25" spans="1:36" ht="14.25">
      <c r="A25" s="326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537</v>
      </c>
      <c r="D32" s="1641" t="s">
        <v>3432</v>
      </c>
      <c r="E32" s="121"/>
      <c r="F32" s="121"/>
      <c r="G32" s="121"/>
      <c r="H32" s="121"/>
      <c r="I32" s="121"/>
    </row>
    <row r="33" spans="1:15" ht="15">
      <c r="A33" s="740" t="s">
        <v>1306</v>
      </c>
      <c r="B33" s="123"/>
      <c r="C33" s="1642" t="s">
        <v>3433</v>
      </c>
      <c r="D33" s="1643" t="s">
        <v>3429</v>
      </c>
      <c r="E33" s="1644" t="s">
        <v>1307</v>
      </c>
      <c r="F33" s="1645" t="str">
        <f>IF(D32="楼面单价","取值（单价）","取值（总价）")</f>
        <v>取值（总价）</v>
      </c>
      <c r="G33" s="121"/>
      <c r="H33" s="121"/>
      <c r="I33" s="121"/>
    </row>
    <row r="34" spans="1:15" ht="15">
      <c r="A34" s="1646"/>
      <c r="B34" s="1647" t="s">
        <v>1308</v>
      </c>
      <c r="C34" s="140">
        <f ca="1">IF(C33="自定义",F34,C32-C35)</f>
        <v>136</v>
      </c>
      <c r="D34" s="808">
        <f ca="1">IF(C33="自定义",ROUND(C34/C32,3),IF(C33="收益比率",SUMIF(INDIRECT("'"&amp;D33&amp;"'"&amp;"!b:b"),"土地收益比率",INDIRECT("'"&amp;D33&amp;"'"&amp;"!c:c")),SUMIF(INDIRECT("'"&amp;D33&amp;"'"&amp;"!b:b"),"土地成本比率",INDIRECT("'"&amp;D33&amp;"'"&amp;"!c:c"))))</f>
        <v>0.254</v>
      </c>
      <c r="E34" s="1648" t="s">
        <v>1309</v>
      </c>
      <c r="F34" s="1243"/>
      <c r="G34" s="121"/>
      <c r="H34" s="121"/>
      <c r="I34" s="121"/>
    </row>
    <row r="35" spans="1:15" ht="15.75" thickBot="1">
      <c r="A35" s="1649"/>
      <c r="B35" s="1650" t="s">
        <v>1310</v>
      </c>
      <c r="C35" s="1090">
        <f ca="1">IF(C33="自定义",F35,ROUND(C32*D35,0))</f>
        <v>401</v>
      </c>
      <c r="D35" s="1091">
        <f ca="1">IF(C33="自定义",ROUND(C35/C32,3),IF(C33="收益比率",SUMIF(INDIRECT("'"&amp;D33&amp;"'"&amp;"!b:b"),"建筑物收益比率",INDIRECT("'"&amp;D33&amp;"'"&amp;"!c:c")),SUMIF(INDIRECT("'"&amp;D33&amp;"'"&amp;"!b:b"),"建筑物成本比率",INDIRECT("'"&amp;D33&amp;"'"&amp;"!c:c"))))</f>
        <v>0.746</v>
      </c>
      <c r="E35" s="1651" t="s">
        <v>1311</v>
      </c>
      <c r="F35" s="146"/>
      <c r="G35" s="121"/>
      <c r="H35" s="121"/>
      <c r="I35" s="121"/>
    </row>
    <row r="36" spans="1:15" ht="15.75" thickBot="1">
      <c r="A36" s="3287" t="s">
        <v>1312</v>
      </c>
      <c r="B36" s="1652" t="s">
        <v>1313</v>
      </c>
      <c r="C36" s="137"/>
      <c r="D36" s="1653"/>
      <c r="E36" s="1567"/>
      <c r="F36" s="1654"/>
      <c r="G36" s="121"/>
      <c r="H36" s="121"/>
      <c r="I36" s="121"/>
    </row>
    <row r="37" spans="1:15" ht="15.75" thickBot="1">
      <c r="A37" s="3288"/>
      <c r="B37" s="1555" t="s">
        <v>1314</v>
      </c>
      <c r="C37" s="139"/>
      <c r="D37" s="1071"/>
      <c r="E37" s="1071"/>
      <c r="F37" s="1654"/>
      <c r="G37" s="121"/>
      <c r="H37" s="121"/>
      <c r="I37" s="121"/>
    </row>
    <row r="38" spans="1:15" ht="15.75" thickBot="1">
      <c r="A38" s="328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4" t="s">
        <v>1326</v>
      </c>
      <c r="B45" s="3265"/>
      <c r="C45" s="3266"/>
      <c r="D45" s="147">
        <f ca="1">ROUND(H101*F45,0)</f>
        <v>537</v>
      </c>
      <c r="E45" s="148" t="s">
        <v>1327</v>
      </c>
      <c r="F45" s="149">
        <v>1</v>
      </c>
      <c r="G45" s="150" t="s">
        <v>1328</v>
      </c>
      <c r="H45" s="121"/>
      <c r="I45" s="121"/>
      <c r="J45" s="3342" t="s">
        <v>1329</v>
      </c>
      <c r="K45" s="3342"/>
      <c r="L45" s="3342"/>
      <c r="M45" s="3342"/>
      <c r="N45" s="3342"/>
      <c r="O45" s="3342"/>
    </row>
    <row r="46" spans="1:15" ht="14.25" customHeight="1">
      <c r="A46" s="3261" t="s">
        <v>1330</v>
      </c>
      <c r="B46" s="3262"/>
      <c r="C46" s="3262"/>
      <c r="D46" s="3262"/>
      <c r="E46" s="3262"/>
      <c r="F46" s="3262"/>
      <c r="G46" s="3263"/>
      <c r="H46" s="1668"/>
      <c r="I46" s="151"/>
      <c r="J46" s="2310">
        <v>1</v>
      </c>
      <c r="K46" s="3323" t="s">
        <v>1331</v>
      </c>
      <c r="L46" s="3323"/>
      <c r="M46" s="3343"/>
      <c r="N46" s="3343"/>
      <c r="O46" s="3343"/>
    </row>
    <row r="47" spans="1:15" ht="12" customHeight="1">
      <c r="A47" s="152" t="s">
        <v>1332</v>
      </c>
      <c r="B47" s="153"/>
      <c r="C47" s="154"/>
      <c r="D47" s="1024" t="s">
        <v>1333</v>
      </c>
      <c r="E47" s="294" t="s">
        <v>1334</v>
      </c>
      <c r="F47" s="155" t="s">
        <v>1335</v>
      </c>
      <c r="G47" s="2333" t="s">
        <v>1336</v>
      </c>
      <c r="H47" s="2334"/>
      <c r="I47" s="151"/>
      <c r="J47" s="2310">
        <v>2</v>
      </c>
      <c r="K47" s="3323" t="s">
        <v>1337</v>
      </c>
      <c r="L47" s="3323"/>
      <c r="M47" s="3344">
        <f>'数据-取费表'!B2</f>
        <v>45898</v>
      </c>
      <c r="N47" s="3344"/>
      <c r="O47" s="3344"/>
    </row>
    <row r="48" spans="1:15" ht="25.5">
      <c r="A48" s="3292" t="s">
        <v>1338</v>
      </c>
      <c r="B48" s="3275"/>
      <c r="C48" s="3275"/>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23" t="s">
        <v>1340</v>
      </c>
      <c r="L48" s="3323"/>
      <c r="M48" s="3345">
        <f ca="1">H101</f>
        <v>537</v>
      </c>
      <c r="N48" s="3345"/>
      <c r="O48" s="3345"/>
    </row>
    <row r="49" spans="1:35" ht="25.5" customHeight="1">
      <c r="A49" s="2152" t="s">
        <v>1341</v>
      </c>
      <c r="B49" s="3259" t="s">
        <v>1342</v>
      </c>
      <c r="C49" s="3259"/>
      <c r="D49" s="1478">
        <v>0</v>
      </c>
      <c r="E49" s="316" t="s">
        <v>1343</v>
      </c>
      <c r="F49" s="2233" t="s">
        <v>28</v>
      </c>
      <c r="G49" s="3329"/>
      <c r="H49" s="2134" t="s">
        <v>2134</v>
      </c>
      <c r="I49" s="2135"/>
      <c r="J49" s="2310">
        <v>4</v>
      </c>
      <c r="K49" s="3323" t="str">
        <f>IF(项目基本情况!E8="房地产抵押价值","房地产抵押价值","抵押担保权已注销时的房地产抵押价值")</f>
        <v>房地产抵押价值</v>
      </c>
      <c r="L49" s="3323"/>
      <c r="M49" s="3345">
        <f ca="1">IF(项目基本情况!E8="房地产抵押价值",H107,H109)</f>
        <v>537</v>
      </c>
      <c r="N49" s="3345"/>
      <c r="O49" s="3345"/>
    </row>
    <row r="50" spans="1:35" ht="25.5" customHeight="1">
      <c r="A50" s="2338"/>
      <c r="B50" s="3259" t="s">
        <v>1344</v>
      </c>
      <c r="C50" s="3259"/>
      <c r="D50" s="2189"/>
      <c r="E50" s="323"/>
      <c r="F50" s="2233"/>
      <c r="G50" s="3330"/>
      <c r="H50" s="2136" t="s">
        <v>2135</v>
      </c>
      <c r="I50" s="2135"/>
      <c r="J50" s="3342" t="s">
        <v>1345</v>
      </c>
      <c r="K50" s="3342"/>
      <c r="L50" s="3342"/>
      <c r="M50" s="3342"/>
      <c r="N50" s="3342"/>
      <c r="O50" s="3342"/>
    </row>
    <row r="51" spans="1:35" ht="20.45" customHeight="1">
      <c r="A51" s="2339"/>
      <c r="B51" s="3259" t="s">
        <v>1346</v>
      </c>
      <c r="C51" s="3259"/>
      <c r="D51" s="1024"/>
      <c r="E51" s="319"/>
      <c r="F51" s="2233"/>
      <c r="G51" s="3331"/>
      <c r="H51" s="2136" t="s">
        <v>2136</v>
      </c>
      <c r="I51" s="2135"/>
      <c r="J51" s="2311" t="s">
        <v>1347</v>
      </c>
      <c r="K51" s="3323" t="s">
        <v>1348</v>
      </c>
      <c r="L51" s="3323"/>
      <c r="M51" s="2311" t="s">
        <v>1349</v>
      </c>
      <c r="N51" s="2311" t="s">
        <v>1350</v>
      </c>
      <c r="O51" s="2311" t="s">
        <v>1351</v>
      </c>
    </row>
    <row r="52" spans="1:35" ht="24" customHeight="1">
      <c r="A52" s="2153" t="s">
        <v>1352</v>
      </c>
      <c r="B52" s="3259" t="s">
        <v>1353</v>
      </c>
      <c r="C52" s="3259"/>
      <c r="D52" s="1024">
        <f ca="1">ROUND(D45*'数据-取费表'!B41/(1+'数据-取费表'!C42),0)</f>
        <v>28</v>
      </c>
      <c r="E52" s="1256" t="s">
        <v>1354</v>
      </c>
      <c r="F52" s="2340">
        <f>'数据-取费表'!B41</f>
        <v>5.5000000000000007E-2</v>
      </c>
      <c r="G52" s="2341"/>
      <c r="H52" s="2331"/>
      <c r="I52" s="1669"/>
      <c r="J52" s="2310">
        <v>1</v>
      </c>
      <c r="K52" s="3324" t="s">
        <v>1355</v>
      </c>
      <c r="L52" s="3324"/>
      <c r="M52" s="2312" t="b">
        <f>D48</f>
        <v>0</v>
      </c>
      <c r="N52" s="2310" t="str">
        <f>E48</f>
        <v>销售额×税（费）率</v>
      </c>
      <c r="O52" s="2313">
        <f>F48</f>
        <v>5.5000000000000007E-2</v>
      </c>
    </row>
    <row r="53" spans="1:35" ht="12" customHeight="1">
      <c r="A53" s="2153" t="s">
        <v>1356</v>
      </c>
      <c r="B53" s="3285" t="s">
        <v>2282</v>
      </c>
      <c r="C53" s="3286"/>
      <c r="D53" s="1024">
        <f ca="1">ROUND(D45*'数据-取费表'!B41/(1+'数据-取费表'!C42),0)</f>
        <v>28</v>
      </c>
      <c r="E53" s="1256" t="s">
        <v>1354</v>
      </c>
      <c r="F53" s="2340">
        <f>'数据-取费表'!B41</f>
        <v>5.5000000000000007E-2</v>
      </c>
      <c r="G53" s="2341"/>
      <c r="H53" s="2331"/>
      <c r="I53" s="1669"/>
      <c r="J53" s="2310">
        <v>2</v>
      </c>
      <c r="K53" s="3324" t="s">
        <v>1357</v>
      </c>
      <c r="L53" s="3324"/>
      <c r="M53" s="2312">
        <f t="shared" ref="M53:O54" ca="1" si="0">D55</f>
        <v>0</v>
      </c>
      <c r="N53" s="2310" t="str">
        <f t="shared" si="0"/>
        <v>销售额×税（费）率</v>
      </c>
      <c r="O53" s="2313" t="str">
        <f t="shared" si="0"/>
        <v>免征</v>
      </c>
    </row>
    <row r="54" spans="1:35" ht="12" customHeight="1">
      <c r="A54" s="2153" t="s">
        <v>1358</v>
      </c>
      <c r="B54" s="3285" t="s">
        <v>2283</v>
      </c>
      <c r="C54" s="3286"/>
      <c r="D54" s="1024">
        <f ca="1">C68</f>
        <v>28</v>
      </c>
      <c r="E54" s="319" t="s">
        <v>1359</v>
      </c>
      <c r="F54" s="2340">
        <f>'数据-取费表'!B41</f>
        <v>5.5000000000000007E-2</v>
      </c>
      <c r="G54" s="2341"/>
      <c r="H54" s="2342"/>
      <c r="I54" s="1669"/>
      <c r="J54" s="2310">
        <v>3</v>
      </c>
      <c r="K54" s="3324" t="s">
        <v>1360</v>
      </c>
      <c r="L54" s="3324"/>
      <c r="M54" s="2312">
        <f t="shared" ca="1" si="0"/>
        <v>304</v>
      </c>
      <c r="N54" s="2310" t="str">
        <f t="shared" si="0"/>
        <v>增值额×税（费）率</v>
      </c>
      <c r="O54" s="2314" t="str">
        <f t="shared" si="0"/>
        <v>免征</v>
      </c>
    </row>
    <row r="55" spans="1:35" ht="24" customHeight="1">
      <c r="A55" s="3274" t="s">
        <v>1361</v>
      </c>
      <c r="B55" s="3275"/>
      <c r="C55" s="3275"/>
      <c r="D55" s="12">
        <f ca="1">IF(H55="个人住宅",0,ROUND(D45*I55,0))</f>
        <v>0</v>
      </c>
      <c r="E55" s="1256" t="s">
        <v>1362</v>
      </c>
      <c r="F55" s="2340" t="str">
        <f>IF(H55="正常",I55,"免征")</f>
        <v>免征</v>
      </c>
      <c r="G55" s="2341"/>
      <c r="H55" s="2337"/>
      <c r="I55" s="157">
        <f>'数据-取费表'!B49</f>
        <v>5.0000000000000001E-4</v>
      </c>
      <c r="J55" s="2310">
        <f>IF(H59="非个人房产","",4)</f>
        <v>4</v>
      </c>
      <c r="K55" s="3324" t="str">
        <f>IF(H59="非个人房产","——","个人所得税")</f>
        <v>个人所得税</v>
      </c>
      <c r="L55" s="3324"/>
      <c r="M55" s="2315">
        <f ca="1">D59</f>
        <v>5</v>
      </c>
      <c r="N55" s="1883" t="str">
        <f>E59</f>
        <v>差额计税</v>
      </c>
      <c r="O55" s="2316">
        <f>F59</f>
        <v>0.01</v>
      </c>
    </row>
    <row r="56" spans="1:35" ht="24.75">
      <c r="A56" s="3274" t="s">
        <v>1363</v>
      </c>
      <c r="B56" s="3275"/>
      <c r="C56" s="3275"/>
      <c r="D56" s="12">
        <f ca="1">IF(H56="个人住宅",D57,D58)</f>
        <v>304</v>
      </c>
      <c r="E56" s="1256" t="s">
        <v>1364</v>
      </c>
      <c r="F56" s="2340" t="str">
        <f>IF(H56="正常",F58,"免征")</f>
        <v>免征</v>
      </c>
      <c r="G56" s="2343" t="s">
        <v>1365</v>
      </c>
      <c r="H56" s="2344"/>
      <c r="I56" s="1670"/>
      <c r="J56" s="2310" t="str">
        <f>IF(项目基本情况!K6="上海银行",IF(J55="",4,J55+1),"")</f>
        <v/>
      </c>
      <c r="K56" s="3347" t="str">
        <f>IF(项目基本情况!K6="上海银行","其他处置费用","")</f>
        <v/>
      </c>
      <c r="L56" s="3348"/>
      <c r="M56" s="2312" t="str">
        <f>IF(项目基本情况!K6="上海银行",M69,"")</f>
        <v/>
      </c>
      <c r="N56" s="3347" t="str">
        <f>IF(项目基本情况!K6="上海银行","包含处置中涉及的律师、诉讼、拍卖、评估等费用","")</f>
        <v/>
      </c>
      <c r="O56" s="3350"/>
    </row>
    <row r="57" spans="1:35" ht="12.75">
      <c r="A57" s="2153" t="s">
        <v>1341</v>
      </c>
      <c r="B57" s="3285" t="s">
        <v>1366</v>
      </c>
      <c r="C57" s="3286"/>
      <c r="D57" s="1478">
        <v>0</v>
      </c>
      <c r="E57" s="316" t="s">
        <v>1343</v>
      </c>
      <c r="F57" s="294"/>
      <c r="G57" s="2341"/>
      <c r="H57" s="2345"/>
      <c r="I57" s="1670"/>
      <c r="J57" s="3324">
        <f>IF(AND(J55="",J56=""),4,IF(项目基本情况!K6="上海银行",结果表!J56+1,结果表!J55+1))</f>
        <v>5</v>
      </c>
      <c r="K57" s="3324" t="s">
        <v>1367</v>
      </c>
      <c r="L57" s="2317" t="s">
        <v>1368</v>
      </c>
      <c r="M57" s="2318"/>
      <c r="N57" s="2319">
        <f ca="1">SUMIF(M52:M56,"&lt;9e307")</f>
        <v>309</v>
      </c>
      <c r="O57" s="2320"/>
      <c r="P57" s="2465">
        <f ca="1">N57/M49</f>
        <v>0.57541899441340782</v>
      </c>
    </row>
    <row r="58" spans="1:35" ht="24.75">
      <c r="A58" s="2153" t="s">
        <v>1352</v>
      </c>
      <c r="B58" s="3285" t="s">
        <v>1369</v>
      </c>
      <c r="C58" s="3259"/>
      <c r="D58" s="12">
        <f ca="1">IF(H58="转让取得",C81,C97)</f>
        <v>304</v>
      </c>
      <c r="E58" s="1256" t="s">
        <v>1364</v>
      </c>
      <c r="F58" s="294" t="s">
        <v>28</v>
      </c>
      <c r="G58" s="2341"/>
      <c r="H58" s="2344"/>
      <c r="I58" s="1670"/>
      <c r="J58" s="3324"/>
      <c r="K58" s="3324"/>
      <c r="L58" s="2317" t="s">
        <v>1370</v>
      </c>
      <c r="M58" s="2321"/>
      <c r="N58" s="2322" t="str">
        <f ca="1">NUMBERSTRING(INT(N57*10000),2)&amp;"元整"</f>
        <v>叁佰零玖万元整</v>
      </c>
      <c r="O58" s="2323"/>
    </row>
    <row r="59" spans="1:35" ht="24.75" thickBot="1">
      <c r="A59" s="3327" t="s">
        <v>1371</v>
      </c>
      <c r="B59" s="3328"/>
      <c r="C59" s="3328"/>
      <c r="D59" s="2346">
        <f ca="1">IF(H59="非个人房产","——",IF(H59="个人住宅（满五唯一有凭证）",0,IF(H59="个人其他（无凭证）",ROUND(D45*F59,0),ROUND(C67*F59,0))))</f>
        <v>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5">
        <f>J57+1</f>
        <v>6</v>
      </c>
      <c r="K59" s="3324" t="s">
        <v>1372</v>
      </c>
      <c r="L59" s="2310" t="s">
        <v>1368</v>
      </c>
      <c r="M59" s="2324"/>
      <c r="N59" s="2325">
        <f ca="1">M49-N57</f>
        <v>228</v>
      </c>
      <c r="O59" s="2326"/>
    </row>
    <row r="60" spans="1:35" ht="12" customHeight="1">
      <c r="A60" s="1671"/>
      <c r="B60" s="646"/>
      <c r="C60" s="646"/>
      <c r="D60" s="646"/>
      <c r="E60" s="1466"/>
      <c r="F60" s="1670"/>
      <c r="G60" s="1670"/>
      <c r="H60" s="151"/>
      <c r="I60" s="121"/>
      <c r="J60" s="3326"/>
      <c r="K60" s="3324"/>
      <c r="L60" s="2317" t="s">
        <v>1370</v>
      </c>
      <c r="M60" s="2321"/>
      <c r="N60" s="2322" t="str">
        <f ca="1">NUMBERSTRING(INT(N59*10000),2)&amp;"元整"</f>
        <v>贰佰贰拾捌万元整</v>
      </c>
      <c r="O60" s="2323"/>
    </row>
    <row r="61" spans="1:35" ht="13.5" thickBot="1">
      <c r="A61" s="3272" t="s">
        <v>1373</v>
      </c>
      <c r="B61" s="3272"/>
      <c r="C61" s="3272"/>
      <c r="D61" s="3272"/>
      <c r="E61" s="3272"/>
      <c r="F61" s="1670"/>
      <c r="G61" s="1670"/>
      <c r="H61" s="151"/>
      <c r="I61" s="121"/>
      <c r="J61" s="2310">
        <f>J59+1</f>
        <v>7</v>
      </c>
      <c r="K61" s="3324" t="s">
        <v>1374</v>
      </c>
      <c r="L61" s="3324"/>
      <c r="M61" s="2327"/>
      <c r="N61" s="2328">
        <f ca="1">ROUND(N59*10000/'数据-汇总表'!E3,0)</f>
        <v>1838</v>
      </c>
      <c r="O61" s="2329"/>
    </row>
    <row r="62" spans="1:35" ht="12.75">
      <c r="A62" s="3290" t="s">
        <v>1375</v>
      </c>
      <c r="B62" s="3291"/>
      <c r="C62" s="1865"/>
      <c r="D62" s="1865" t="s">
        <v>1376</v>
      </c>
      <c r="E62" s="158" t="s">
        <v>1377</v>
      </c>
      <c r="F62" s="1670"/>
      <c r="G62" s="1670"/>
      <c r="H62" s="151"/>
      <c r="I62" s="121"/>
    </row>
    <row r="63" spans="1:35" ht="12.75">
      <c r="A63" s="165" t="s">
        <v>330</v>
      </c>
      <c r="B63" s="159" t="s">
        <v>1378</v>
      </c>
      <c r="C63" s="2350">
        <f ca="1">ROUND((C64+C65)/(1+'数据-取费表'!C42),0)</f>
        <v>511</v>
      </c>
      <c r="D63" s="159"/>
      <c r="E63" s="160"/>
      <c r="F63" s="1670"/>
      <c r="G63" s="1670"/>
      <c r="H63" s="151"/>
      <c r="I63" s="121"/>
      <c r="J63" s="3349" t="s">
        <v>1379</v>
      </c>
      <c r="K63" s="1245" t="s">
        <v>1380</v>
      </c>
      <c r="L63" s="1245">
        <f ca="1">IF(M49&gt;10000,M49*0.5%,IF(AND(M49&gt;1000,M49&lt;=10000),M49*1%,IF(AND(M49&gt;100,M49&lt;=1000),M49*3%,IF(AND(M49&gt;10,M49&lt;=100),M49*5%,M49*8%))))</f>
        <v>16.11</v>
      </c>
      <c r="M63" s="294">
        <f ca="1">ROUND(L63,1)</f>
        <v>16.100000000000001</v>
      </c>
      <c r="N63" s="2330"/>
      <c r="Z63" s="1623"/>
      <c r="AI63" s="1561"/>
    </row>
    <row r="64" spans="1:35" ht="14.25" customHeight="1">
      <c r="A64" s="161" t="s">
        <v>325</v>
      </c>
      <c r="B64" s="162" t="s">
        <v>1381</v>
      </c>
      <c r="C64" s="2351">
        <f ca="1">D45</f>
        <v>537</v>
      </c>
      <c r="D64" s="162" t="s">
        <v>26</v>
      </c>
      <c r="E64" s="164"/>
      <c r="F64" s="1670"/>
      <c r="G64" s="1670"/>
      <c r="H64" s="151"/>
      <c r="I64" s="121"/>
      <c r="J64" s="3349"/>
      <c r="K64" s="1245" t="s">
        <v>1382</v>
      </c>
      <c r="L64" s="1245">
        <f ca="1">IF(M49&gt;2000,M49*0.5%,IF(AND(M49&gt;1000,M49&lt;=2000),M49*0.6%,IF(AND(M49&gt;500,M49&lt;=1000),M49*0.7%,IF(AND(M49&gt;200,M49&lt;=500),M49*0.8%,IF(AND(M49&gt;100,M49&lt;=200),M49*0.9%,IF(AND(M49&gt;50,M49&lt;=100),M49*1%,IF(AND(M49&gt;20,M49&lt;=50),M49*1.5%,IF(AND(M49&gt;10,M49&lt;=20),M49*2%,IF(AND(M49&gt;1,M49&lt;=10),M49*2.5%)))))))))</f>
        <v>3.7589999999999995</v>
      </c>
      <c r="M64" s="294">
        <f t="shared" ref="M64:M65" ca="1" si="1">ROUND(L64,1)</f>
        <v>3.8</v>
      </c>
      <c r="N64" s="2331" t="s">
        <v>1383</v>
      </c>
      <c r="Z64" s="1623"/>
      <c r="AI64" s="1561"/>
    </row>
    <row r="65" spans="1:35" ht="14.25" customHeight="1">
      <c r="A65" s="161" t="s">
        <v>326</v>
      </c>
      <c r="B65" s="162" t="s">
        <v>1384</v>
      </c>
      <c r="C65" s="2352"/>
      <c r="D65" s="162"/>
      <c r="E65" s="164"/>
      <c r="F65" s="1670"/>
      <c r="G65" s="1670"/>
      <c r="H65" s="151"/>
      <c r="I65" s="121"/>
      <c r="J65" s="3349"/>
      <c r="K65" s="1245" t="s">
        <v>1385</v>
      </c>
      <c r="L65" s="1245">
        <f ca="1">IF(M49&gt;1000,M49*0.1%,IF(AND(M49&gt;500,M49&lt;=1000),M49*0.5%,IF(AND(M49&gt;50,M49&lt;=500),M49*1%,IF(AND(M49&gt;1,M49&lt;=50),M49*1.5%))))</f>
        <v>2.6850000000000001</v>
      </c>
      <c r="M65" s="294">
        <f t="shared" ca="1" si="1"/>
        <v>2.7</v>
      </c>
      <c r="N65" s="2331" t="s">
        <v>1383</v>
      </c>
      <c r="Z65" s="1623"/>
      <c r="AI65" s="1561"/>
    </row>
    <row r="66" spans="1:35" ht="14.25" customHeight="1">
      <c r="A66" s="165" t="s">
        <v>327</v>
      </c>
      <c r="B66" s="166" t="s">
        <v>1386</v>
      </c>
      <c r="C66" s="2353"/>
      <c r="D66" s="166" t="s">
        <v>26</v>
      </c>
      <c r="E66" s="1251" t="s">
        <v>671</v>
      </c>
      <c r="F66" s="1670"/>
      <c r="G66" s="1670"/>
      <c r="H66" s="151"/>
      <c r="I66" s="121"/>
      <c r="J66" s="3349"/>
      <c r="K66" s="1245" t="s">
        <v>1387</v>
      </c>
      <c r="L66" s="1245">
        <f ca="1">M49*0.5%</f>
        <v>2.6850000000000001</v>
      </c>
      <c r="M66" s="294">
        <f ca="1">IF(L66&gt;0.5,0.5,ROUND(L66,0))</f>
        <v>0.5</v>
      </c>
      <c r="N66" s="2331" t="s">
        <v>1388</v>
      </c>
      <c r="Z66" s="1623"/>
      <c r="AI66" s="1561"/>
    </row>
    <row r="67" spans="1:35" ht="14.25" customHeight="1">
      <c r="A67" s="165" t="s">
        <v>328</v>
      </c>
      <c r="B67" s="166" t="s">
        <v>1389</v>
      </c>
      <c r="C67" s="2354">
        <f ca="1">C63-C66</f>
        <v>511</v>
      </c>
      <c r="D67" s="162" t="s">
        <v>26</v>
      </c>
      <c r="E67" s="164"/>
      <c r="F67" s="1670"/>
      <c r="G67" s="1670"/>
      <c r="H67" s="151"/>
      <c r="I67" s="121"/>
      <c r="J67" s="3349"/>
      <c r="K67" s="1245" t="s">
        <v>1390</v>
      </c>
      <c r="L67" s="1245">
        <f ca="1">IF(M49&gt;=10000,(8.25+(M49-10000)*0.01%),IF(AND(M49&gt;=8000,M49&lt;10000),(7.85+(M49-8000)*0.02%),IF(AND(M49&gt;=5000,M49&lt;8000),(6.65+(M49-5000)*0.04%),IF(AND(M49&gt;=2000,M49&lt;5000),(4.25+(PM49-2000)*0.08%),IF(AND(M49&gt;=1000,M49&lt;2000),(2.75+(M49-1000)*0.15%),IF(AND(M49&gt;=100,M49&lt;1000),(0.5+(M49-100)*0.25%),IF(AND(M49&gt;0,M49&lt;100),M49*0.5%)))))))</f>
        <v>1.5925</v>
      </c>
      <c r="M67" s="294">
        <f ca="1">ROUND(L67*0.9,1)</f>
        <v>1.4</v>
      </c>
      <c r="N67" s="2330"/>
      <c r="Z67" s="1623"/>
      <c r="AI67" s="1561"/>
    </row>
    <row r="68" spans="1:35" ht="14.25" customHeight="1" thickBot="1">
      <c r="A68" s="168" t="s">
        <v>329</v>
      </c>
      <c r="B68" s="169" t="s">
        <v>1391</v>
      </c>
      <c r="C68" s="2355">
        <f ca="1">IF(C67&lt;=0,0,ROUND(C67*D68,0))</f>
        <v>28</v>
      </c>
      <c r="D68" s="2356">
        <f>'数据-取费表'!B41</f>
        <v>5.5000000000000007E-2</v>
      </c>
      <c r="E68" s="170"/>
      <c r="F68" s="1670"/>
      <c r="G68" s="1670"/>
      <c r="H68" s="151"/>
      <c r="I68" s="121"/>
      <c r="J68" s="3349"/>
      <c r="K68" s="1245" t="s">
        <v>1392</v>
      </c>
      <c r="L68" s="1245">
        <f ca="1">IF(M49&gt;10000,M49*0.5%,IF(AND(M49&gt;5000,M49&lt;=10000),M49*1%,IF(AND(M49&gt;1000,M49&lt;=5000),M49*2%,IF(AND(M49&gt;200,M49&lt;=1000),M49*3%,M49*5%))))</f>
        <v>16.11</v>
      </c>
      <c r="M68" s="294">
        <f ca="1">ROUND(L68,1)</f>
        <v>16.100000000000001</v>
      </c>
      <c r="N68" s="2330"/>
      <c r="Z68" s="1623"/>
      <c r="AI68" s="1561"/>
    </row>
    <row r="69" spans="1:35" ht="16.5" customHeight="1">
      <c r="A69" s="1672"/>
      <c r="B69" s="1673"/>
      <c r="C69" s="1674"/>
      <c r="D69" s="1675"/>
      <c r="E69" s="1676"/>
      <c r="F69" s="1466"/>
      <c r="G69" s="1466"/>
      <c r="H69" s="1467"/>
      <c r="I69" s="646"/>
      <c r="J69" s="3349"/>
      <c r="K69" s="1245" t="s">
        <v>1393</v>
      </c>
      <c r="L69" s="1245"/>
      <c r="M69" s="294">
        <f ca="1">ROUND(SUM(M63:M68),0)</f>
        <v>41</v>
      </c>
      <c r="N69" s="2332">
        <f ca="1">M69/M49</f>
        <v>7.6350093109869649E-2</v>
      </c>
      <c r="Z69" s="1623"/>
      <c r="AI69" s="1561"/>
    </row>
    <row r="70" spans="1:35" s="642" customFormat="1" ht="15" thickBot="1">
      <c r="A70" s="3311" t="s">
        <v>1394</v>
      </c>
      <c r="B70" s="3312"/>
      <c r="C70" s="3312"/>
      <c r="D70" s="3312"/>
      <c r="E70" s="3312"/>
      <c r="F70" s="3312"/>
      <c r="G70" s="3312"/>
      <c r="H70" s="331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0" t="s">
        <v>1375</v>
      </c>
      <c r="B71" s="32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511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5" t="s">
        <v>1402</v>
      </c>
      <c r="F76" s="3259"/>
      <c r="G76" s="3259"/>
      <c r="H76" s="331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v>
      </c>
      <c r="D78" s="2363">
        <f>'数据-取费表'!B43</f>
        <v>5.000000000000001E-3</v>
      </c>
      <c r="E78" s="3269" t="s">
        <v>1406</v>
      </c>
      <c r="F78" s="3270"/>
      <c r="G78" s="3270"/>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508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169.33333333333334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304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1" t="s">
        <v>1410</v>
      </c>
      <c r="B83" s="3312"/>
      <c r="C83" s="3312"/>
      <c r="D83" s="3312"/>
      <c r="E83" s="3312"/>
      <c r="F83" s="3312"/>
      <c r="G83" s="3312"/>
      <c r="H83" s="331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0" t="s">
        <v>1375</v>
      </c>
      <c r="B84" s="32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511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1" t="s">
        <v>2129</v>
      </c>
      <c r="H90" s="3352"/>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9" t="s">
        <v>1419</v>
      </c>
      <c r="F91" s="3270"/>
      <c r="G91" s="32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9" t="s">
        <v>1422</v>
      </c>
      <c r="F92" s="3270"/>
      <c r="G92" s="3270"/>
      <c r="H92" s="3279"/>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v>
      </c>
      <c r="D93" s="2363">
        <f>'数据-取费表'!B43</f>
        <v>5.000000000000001E-3</v>
      </c>
      <c r="E93" s="3269" t="s">
        <v>1406</v>
      </c>
      <c r="F93" s="3270"/>
      <c r="G93" s="3270"/>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0" t="s">
        <v>1426</v>
      </c>
      <c r="F94" s="3281"/>
      <c r="G94" s="3281"/>
      <c r="H94" s="32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508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169.33333333333334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304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71"/>
      <c r="E100" s="3254" t="s">
        <v>1429</v>
      </c>
      <c r="F100" s="3254"/>
      <c r="G100" s="3254"/>
      <c r="H100" s="3271"/>
      <c r="I100" s="121"/>
    </row>
    <row r="101" spans="1:35" ht="18.75" customHeight="1">
      <c r="A101" s="3332" t="s">
        <v>1430</v>
      </c>
      <c r="B101" s="3333"/>
      <c r="C101" s="2371" t="str">
        <f>C4</f>
        <v>成本法 (元)</v>
      </c>
      <c r="D101" s="2372" t="str">
        <f>D4</f>
        <v>收益法-酒店模型</v>
      </c>
      <c r="E101" s="3346" t="s">
        <v>1431</v>
      </c>
      <c r="F101" s="3303"/>
      <c r="G101" s="1687" t="s">
        <v>1432</v>
      </c>
      <c r="H101" s="2381">
        <f ca="1">H118</f>
        <v>537</v>
      </c>
      <c r="I101" s="121"/>
    </row>
    <row r="102" spans="1:35" ht="18.75" customHeight="1">
      <c r="A102" s="3305" t="s">
        <v>1433</v>
      </c>
      <c r="B102" s="2370" t="s">
        <v>1432</v>
      </c>
      <c r="C102" s="2371">
        <f ca="1">IF(D32="楼面单价",ROUND(C19,0),C19)</f>
        <v>686.64179999999999</v>
      </c>
      <c r="D102" s="2372">
        <f ca="1">IF(D32="楼面单价",ROUND(D19,0),D19)</f>
        <v>313.2396</v>
      </c>
      <c r="E102" s="3346"/>
      <c r="F102" s="3303"/>
      <c r="G102" s="1687" t="s">
        <v>1434</v>
      </c>
      <c r="H102" s="2341">
        <f ca="1">I118</f>
        <v>4330</v>
      </c>
      <c r="I102" s="121"/>
    </row>
    <row r="103" spans="1:35" ht="42.75" customHeight="1">
      <c r="A103" s="3305"/>
      <c r="B103" s="2370" t="s">
        <v>1434</v>
      </c>
      <c r="C103" s="2373">
        <f ca="1">C20</f>
        <v>5536</v>
      </c>
      <c r="D103" s="2374">
        <f ca="1">D20</f>
        <v>2526</v>
      </c>
      <c r="E103" s="3340" t="s">
        <v>1435</v>
      </c>
      <c r="F103" s="3341"/>
      <c r="G103" s="1688" t="s">
        <v>1436</v>
      </c>
      <c r="H103" s="2381">
        <f>IF(D36="正常操作",H104+H105+H106,H105+H106)</f>
        <v>0</v>
      </c>
      <c r="I103" s="121"/>
    </row>
    <row r="104" spans="1:35" ht="18.75" customHeight="1">
      <c r="A104" s="3305" t="s">
        <v>1437</v>
      </c>
      <c r="B104" s="2375" t="s">
        <v>1432</v>
      </c>
      <c r="C104" s="2376">
        <f ca="1">H118</f>
        <v>537</v>
      </c>
      <c r="D104" s="2377"/>
      <c r="E104" s="1555" t="s">
        <v>1438</v>
      </c>
      <c r="F104" s="1548"/>
      <c r="G104" s="1688" t="s">
        <v>1436</v>
      </c>
      <c r="H104" s="2382">
        <f>IF(D36="同一抵押权人同一抵押物续贷",C36&amp;"（续贷，未扣减，详见特别提示）",C36)</f>
        <v>0</v>
      </c>
      <c r="I104" s="121"/>
    </row>
    <row r="105" spans="1:35" ht="18.75" customHeight="1" thickBot="1">
      <c r="A105" s="3306"/>
      <c r="B105" s="2378" t="s">
        <v>1434</v>
      </c>
      <c r="C105" s="2379">
        <f ca="1">I118</f>
        <v>4330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2" t="str">
        <f>IF(项目基本情况!E8="已注销","——","3.房地产抵押价值")</f>
        <v>3.房地产抵押价值</v>
      </c>
      <c r="F107" s="3303"/>
      <c r="G107" s="1687" t="s">
        <v>1432</v>
      </c>
      <c r="H107" s="2381">
        <f ca="1">IF(E107="——","——",H101-H103)</f>
        <v>537</v>
      </c>
      <c r="I107" s="121"/>
    </row>
    <row r="108" spans="1:35" ht="18.75" customHeight="1">
      <c r="A108" s="121"/>
      <c r="B108" s="121"/>
      <c r="C108" s="121"/>
      <c r="D108" s="121"/>
      <c r="E108" s="3302"/>
      <c r="F108" s="3303"/>
      <c r="G108" s="1687" t="s">
        <v>1434</v>
      </c>
      <c r="H108" s="2341">
        <f ca="1">IF(H107=H101,H102,ROUND(H107*10000/'数据-汇总表'!E3,0))</f>
        <v>4330</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303"/>
      <c r="G109" s="1687" t="s">
        <v>1432</v>
      </c>
      <c r="H109" s="2384" t="str">
        <f>IF(E109="——","——",H101-H105-H106)</f>
        <v>——</v>
      </c>
      <c r="I109" s="121"/>
    </row>
    <row r="110" spans="1:35" ht="18.75" customHeight="1">
      <c r="A110" s="121"/>
      <c r="B110" s="121"/>
      <c r="C110" s="121"/>
      <c r="D110" s="121"/>
      <c r="E110" s="3302"/>
      <c r="F110" s="3303"/>
      <c r="G110" s="1687" t="s">
        <v>1434</v>
      </c>
      <c r="H110" s="2341"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04"/>
      <c r="G111" s="1687" t="s">
        <v>1432</v>
      </c>
      <c r="H111" s="2381" t="str">
        <f>IF(E111="——","——",N59)</f>
        <v>——</v>
      </c>
      <c r="I111" s="121"/>
    </row>
    <row r="112" spans="1:35" ht="18.75" customHeight="1" thickBot="1">
      <c r="A112" s="121"/>
      <c r="B112" s="121"/>
      <c r="C112" s="121"/>
      <c r="D112" s="121"/>
      <c r="E112" s="3335"/>
      <c r="F112" s="3336"/>
      <c r="G112" s="1690" t="s">
        <v>1434</v>
      </c>
      <c r="H112" s="2385"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7" t="s">
        <v>1442</v>
      </c>
      <c r="B115" s="3318"/>
      <c r="C115" s="3318"/>
      <c r="D115" s="3318"/>
      <c r="E115" s="3318"/>
      <c r="F115" s="3318"/>
      <c r="G115" s="3318"/>
      <c r="H115" s="3318"/>
      <c r="I115" s="3319"/>
    </row>
    <row r="116" spans="1:27" ht="27" customHeight="1">
      <c r="A116" s="3273" t="s">
        <v>1443</v>
      </c>
      <c r="B116" s="3308" t="s">
        <v>1444</v>
      </c>
      <c r="C116" s="3308" t="s">
        <v>1445</v>
      </c>
      <c r="D116" s="3321" t="s">
        <v>1446</v>
      </c>
      <c r="E116" s="3322"/>
      <c r="F116" s="3316" t="s">
        <v>1447</v>
      </c>
      <c r="G116" s="3316"/>
      <c r="H116" s="3273" t="s">
        <v>1448</v>
      </c>
      <c r="I116" s="3273"/>
    </row>
    <row r="117" spans="1:27" ht="18.75" customHeight="1">
      <c r="A117" s="3273"/>
      <c r="B117" s="3309"/>
      <c r="C117" s="330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1240.3</v>
      </c>
      <c r="C118" s="2150">
        <f>M19</f>
        <v>548</v>
      </c>
      <c r="D118" s="2150">
        <f ca="1">ROUND(IF(D32="总价",C34,E118*B118/10000),0)</f>
        <v>136</v>
      </c>
      <c r="E118" s="2150">
        <f ca="1">ROUND(IF(C33="自定义",IF(D32="楼面单价",C34,D118*10000/B118),I118-G118),0)</f>
        <v>1097</v>
      </c>
      <c r="F118" s="2150">
        <f ca="1">ROUND(IF(D32="总价",C35,G118*B118/10000),0)</f>
        <v>401</v>
      </c>
      <c r="G118" s="2150">
        <f ca="1">ROUND(IF(D32="楼面单价",C35,F118*10000/B118),0)</f>
        <v>3233</v>
      </c>
      <c r="H118" s="2150">
        <f ca="1">ROUND(IF(D32="总价",C32,I118*B118/10000),0)</f>
        <v>537</v>
      </c>
      <c r="I118" s="2150">
        <f ca="1">ROUND(IF(D32="楼面单价",C32,H118*10000/B118),0)</f>
        <v>4330</v>
      </c>
    </row>
    <row r="119" spans="1:27" ht="18.75" customHeight="1">
      <c r="A119" s="3273" t="s">
        <v>1452</v>
      </c>
      <c r="B119" s="3273"/>
      <c r="C119" s="3273"/>
      <c r="D119" s="3313" t="str">
        <f ca="1">NUMBERSTRING(INT(D118*10000),2)&amp;"元整"</f>
        <v>壹佰叁拾陆万元整</v>
      </c>
      <c r="E119" s="3315"/>
      <c r="F119" s="3313" t="str">
        <f ca="1">NUMBERSTRING(INT(F118*10000),2)&amp;"元整"</f>
        <v>肆佰零壹万元整</v>
      </c>
      <c r="G119" s="3315"/>
      <c r="H119" s="3313" t="str">
        <f ca="1">NUMBERSTRING(INT(H118*10000),2)&amp;"元整"</f>
        <v>伍佰叁拾柒万元整</v>
      </c>
      <c r="I119" s="3315"/>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3" t="s">
        <v>1452</v>
      </c>
      <c r="B121" s="3314"/>
      <c r="C121" s="3315"/>
      <c r="D121" s="3313" t="str">
        <f>IF(D120=0,"零元整",NUMBERSTRING(INT(D120*10000),2)&amp;"元整")</f>
        <v>零元整</v>
      </c>
      <c r="E121" s="3314"/>
      <c r="F121" s="3314"/>
      <c r="G121" s="3314"/>
      <c r="H121" s="3314"/>
      <c r="I121" s="3315"/>
      <c r="AA121" s="684"/>
    </row>
    <row r="122" spans="1:27" ht="18.75" customHeight="1">
      <c r="A122" s="3304" t="str">
        <f>IF(项目基本情况!B9="房地产市场价值","",MID(E107,3,LEN(E107)-2))</f>
        <v>房地产抵押价值</v>
      </c>
      <c r="B122" s="3304"/>
      <c r="C122" s="3304"/>
      <c r="D122" s="3337">
        <f ca="1">H107</f>
        <v>537</v>
      </c>
      <c r="E122" s="3338"/>
      <c r="F122" s="3338"/>
      <c r="G122" s="3338"/>
      <c r="H122" s="3338"/>
      <c r="I122" s="3339"/>
      <c r="AA122" s="684"/>
    </row>
    <row r="123" spans="1:27" ht="18.75" customHeight="1">
      <c r="A123" s="3273" t="s">
        <v>1452</v>
      </c>
      <c r="B123" s="3273"/>
      <c r="C123" s="3273"/>
      <c r="D123" s="3313" t="str">
        <f ca="1">NUMBERSTRING(INT(D122*10000),2)&amp;"元整"</f>
        <v>伍佰叁拾柒万元整</v>
      </c>
      <c r="E123" s="3314"/>
      <c r="F123" s="3314"/>
      <c r="G123" s="3314"/>
      <c r="H123" s="3314"/>
      <c r="I123" s="3315"/>
      <c r="AA123" s="684"/>
    </row>
    <row r="124" spans="1:27" ht="18.75" customHeight="1">
      <c r="A124" s="3304" t="str">
        <f>IF(项目基本情况!B9="房地产市场价值","",MID(E109,3,LEN(E109)-2))</f>
        <v/>
      </c>
      <c r="B124" s="3304"/>
      <c r="C124" s="3304"/>
      <c r="D124" s="3337" t="str">
        <f>H109</f>
        <v>——</v>
      </c>
      <c r="E124" s="3338"/>
      <c r="F124" s="3338"/>
      <c r="G124" s="3338"/>
      <c r="H124" s="3338"/>
      <c r="I124" s="3339"/>
      <c r="AA124" s="684"/>
    </row>
    <row r="125" spans="1:27" ht="18.75" customHeight="1">
      <c r="A125" s="3273" t="s">
        <v>1452</v>
      </c>
      <c r="B125" s="3273"/>
      <c r="C125" s="3273"/>
      <c r="D125" s="3313" t="e">
        <f>NUMBERSTRING(INT(D124*10000),2)&amp;"元整"</f>
        <v>#VALUE!</v>
      </c>
      <c r="E125" s="3314"/>
      <c r="F125" s="3314"/>
      <c r="G125" s="3314"/>
      <c r="H125" s="3314"/>
      <c r="I125" s="3315"/>
      <c r="AA125" s="684"/>
    </row>
    <row r="126" spans="1:27" ht="18.75" customHeight="1">
      <c r="A126" s="3304" t="str">
        <f>IF(项目基本情况!B9="房地产市场价值","",MID(E111,3,LEN(E111)-2))</f>
        <v/>
      </c>
      <c r="B126" s="3304"/>
      <c r="C126" s="3304"/>
      <c r="D126" s="3337" t="str">
        <f>H111</f>
        <v>——</v>
      </c>
      <c r="E126" s="3338"/>
      <c r="F126" s="3338"/>
      <c r="G126" s="3338"/>
      <c r="H126" s="3338"/>
      <c r="I126" s="3339"/>
      <c r="AA126" s="684"/>
    </row>
    <row r="127" spans="1:27" ht="18.75" customHeight="1">
      <c r="A127" s="3273" t="s">
        <v>1452</v>
      </c>
      <c r="B127" s="3273"/>
      <c r="C127" s="3273"/>
      <c r="D127" s="3313" t="e">
        <f>NUMBERSTRING(INT(D126*10000),2)&amp;"元整"</f>
        <v>#VALUE!</v>
      </c>
      <c r="E127" s="3314"/>
      <c r="F127" s="3314"/>
      <c r="G127" s="3314"/>
      <c r="H127" s="3314"/>
      <c r="I127" s="3315"/>
      <c r="AA127" s="684"/>
    </row>
    <row r="128" spans="1:27" ht="21.75" customHeight="1">
      <c r="A128" s="3320" t="s">
        <v>1453</v>
      </c>
      <c r="B128" s="3320"/>
      <c r="C128" s="3320"/>
      <c r="D128" s="3320"/>
      <c r="E128" s="3320"/>
      <c r="F128" s="3320"/>
      <c r="G128" s="3320"/>
      <c r="H128" s="3320"/>
      <c r="I128" s="332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7">
    <mergeCell ref="J20:K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258893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2087342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198448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198448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5"/>
      <c r="H9" s="1070"/>
      <c r="I9" s="1716" t="s">
        <v>1479</v>
      </c>
    </row>
    <row r="10" spans="1:9" s="206" customFormat="1" ht="13.5" customHeight="1">
      <c r="A10" s="733" t="s">
        <v>356</v>
      </c>
      <c r="B10" s="216" t="s">
        <v>1480</v>
      </c>
      <c r="C10" s="217">
        <f ca="1">ROUND(D10*E10/10000,0)</f>
        <v>20</v>
      </c>
      <c r="D10" s="795">
        <f ca="1">IF(B1="",'数据-汇总表'!E6,IF(INDIRECT("'数据-取费表'!c"&amp;$G$1)="住宅",INDIRECT("'数据-取费表'!s"&amp;$G$1),INDIRECT("'数据-取费表'!k"&amp;$G$1)+INDIRECT("'数据-取费表'!s"&amp;$G$1)))</f>
        <v>1240.3</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25</v>
      </c>
      <c r="D19" s="204">
        <f ca="1">D9+D10</f>
        <v>1240.3</v>
      </c>
      <c r="E19" s="203">
        <f>'数据-取费表'!B31</f>
        <v>200</v>
      </c>
      <c r="F19" s="223"/>
      <c r="G19" s="1714"/>
    </row>
    <row r="20" spans="1:7" s="206" customFormat="1" ht="13.5" customHeight="1">
      <c r="A20" s="247" t="s">
        <v>1493</v>
      </c>
      <c r="B20" s="202" t="s">
        <v>1494</v>
      </c>
      <c r="C20" s="224">
        <f ca="1">ROUND((C5+C19)*F20,0)</f>
        <v>3969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6014</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5953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60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30366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30366</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258381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569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509</v>
      </c>
      <c r="D34" s="209"/>
      <c r="E34" s="212"/>
      <c r="F34" s="249">
        <f ca="1">IF('数据-取费表'!B24=0,1,IF(B1="",'数据-取费表'!N16,INDIRECT("'数据-取费表'!n"&amp;$G$1)))</f>
        <v>1</v>
      </c>
      <c r="G34" s="211" t="s">
        <v>1526</v>
      </c>
    </row>
    <row r="35" spans="1:7" ht="13.5" customHeight="1">
      <c r="A35" s="734" t="s">
        <v>351</v>
      </c>
      <c r="B35" s="207" t="s">
        <v>1527</v>
      </c>
      <c r="C35" s="212">
        <f ca="1">ROUND(C34*F35,0)</f>
        <v>25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25</v>
      </c>
      <c r="D37" s="209">
        <f ca="1">D19</f>
        <v>1240.3</v>
      </c>
      <c r="E37" s="241">
        <f>'数据-取费表'!B35</f>
        <v>200</v>
      </c>
      <c r="F37" s="251"/>
      <c r="G37" s="253" t="s">
        <v>1532</v>
      </c>
    </row>
    <row r="38" spans="1:7" ht="13.5" customHeight="1">
      <c r="A38" s="734" t="s">
        <v>354</v>
      </c>
      <c r="B38" s="207" t="s">
        <v>1533</v>
      </c>
      <c r="C38" s="212">
        <f ca="1">ROUND(C34*F38,0)</f>
        <v>10</v>
      </c>
      <c r="D38" s="212"/>
      <c r="E38" s="212"/>
      <c r="F38" s="251">
        <f>'数据-取费表'!B36</f>
        <v>0.02</v>
      </c>
      <c r="G38" s="211" t="s">
        <v>1528</v>
      </c>
    </row>
    <row r="39" spans="1:7" s="206" customFormat="1" ht="13.5" customHeight="1">
      <c r="A39" s="247" t="s">
        <v>1534</v>
      </c>
      <c r="B39" s="202" t="s">
        <v>1535</v>
      </c>
      <c r="C39" s="224">
        <f ca="1">ROUND(C33*F20,0)</f>
        <v>11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9</v>
      </c>
      <c r="D42" s="230"/>
      <c r="E42" s="230"/>
      <c r="F42" s="231"/>
      <c r="G42" s="3353" t="s">
        <v>1544</v>
      </c>
    </row>
    <row r="43" spans="1:7" ht="13.5" customHeight="1">
      <c r="A43" s="734" t="s">
        <v>347</v>
      </c>
      <c r="B43" s="207" t="s">
        <v>1545</v>
      </c>
      <c r="C43" s="230">
        <f ca="1">ROUND(IF('数据-取费表'!B22&lt;=1,C39*F22*'数据-取费表'!B21/2,C39*(POWER((1+F22),'数据-取费表'!B21/2)-1)),0)</f>
        <v>0</v>
      </c>
      <c r="D43" s="230"/>
      <c r="E43" s="230"/>
      <c r="F43" s="231"/>
      <c r="G43" s="3354"/>
    </row>
    <row r="44" spans="1:7" ht="13.5" customHeight="1">
      <c r="A44" s="734" t="s">
        <v>348</v>
      </c>
      <c r="B44" s="207" t="s">
        <v>1546</v>
      </c>
      <c r="C44" s="230">
        <f ca="1">ROUND(IF('数据-取费表'!B22&lt;=1,C40*F22*'数据-取费表'!B21/2,C40*(POWER((1+F22),'数据-取费表'!B21/2)-1)),4)</f>
        <v>2.9999999999999997E-4</v>
      </c>
      <c r="D44" s="230"/>
      <c r="E44" s="230"/>
      <c r="F44" s="231"/>
      <c r="G44" s="3355"/>
    </row>
    <row r="45" spans="1:7" s="206" customFormat="1" ht="13.5" customHeight="1">
      <c r="A45" s="247" t="s">
        <v>1547</v>
      </c>
      <c r="B45" s="236" t="s">
        <v>1513</v>
      </c>
      <c r="C45" s="237">
        <f ca="1">C46</f>
        <v>87</v>
      </c>
      <c r="D45" s="227">
        <f ca="1">C47</f>
        <v>3.0000000000000001E-3</v>
      </c>
      <c r="E45" s="228" t="s">
        <v>1539</v>
      </c>
      <c r="F45" s="238">
        <f ca="1">F27</f>
        <v>0.15</v>
      </c>
      <c r="G45" s="239" t="s">
        <v>1548</v>
      </c>
    </row>
    <row r="46" spans="1:7" s="206" customFormat="1" ht="13.5" customHeight="1">
      <c r="A46" s="734" t="s">
        <v>346</v>
      </c>
      <c r="B46" s="240" t="s">
        <v>1549</v>
      </c>
      <c r="C46" s="241">
        <f ca="1">ROUND((C33+C39)*F27,0)</f>
        <v>87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731</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512</v>
      </c>
      <c r="D51" s="224"/>
      <c r="E51" s="224"/>
      <c r="F51" s="256"/>
      <c r="G51" s="226" t="s">
        <v>1560</v>
      </c>
    </row>
    <row r="52" spans="1:7" s="200" customFormat="1" ht="16.5" thickBot="1">
      <c r="A52" s="257" t="s">
        <v>1561</v>
      </c>
      <c r="B52" s="258"/>
      <c r="C52" s="259">
        <f ca="1">C31+C51</f>
        <v>258893</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686.64179999999999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5536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1341519.72</v>
      </c>
      <c r="D5" s="203" t="s">
        <v>1469</v>
      </c>
      <c r="E5" s="204" t="s">
        <v>1470</v>
      </c>
      <c r="F5" s="204" t="s">
        <v>1471</v>
      </c>
      <c r="G5" s="205"/>
    </row>
    <row r="6" spans="1:8" s="206" customFormat="1" ht="13.5" customHeight="1">
      <c r="A6" s="732" t="s">
        <v>1472</v>
      </c>
      <c r="B6" s="207" t="s">
        <v>1473</v>
      </c>
      <c r="C6" s="208">
        <f>基准地价修正!T2*基准地价修正!U2+基准地价修正!T3*基准地价修正!U3+基准地价修正!T4*基准地价修正!U4</f>
        <v>1109239.72</v>
      </c>
      <c r="D6" s="209"/>
      <c r="E6" s="210"/>
      <c r="F6" s="210"/>
      <c r="G6" s="211"/>
    </row>
    <row r="7" spans="1:8" s="206" customFormat="1" ht="13.5" customHeight="1">
      <c r="A7" s="732" t="s">
        <v>1474</v>
      </c>
      <c r="B7" s="207" t="s">
        <v>1475</v>
      </c>
      <c r="C7" s="212">
        <f>ROUND(C6*F7,0)</f>
        <v>33832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198448</v>
      </c>
      <c r="D8" s="214"/>
      <c r="E8" s="212"/>
      <c r="F8" s="213"/>
      <c r="G8" s="1714" t="s">
        <v>3427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198448</v>
      </c>
      <c r="D10" s="795">
        <f ca="1">IF(B1="",'数据-汇总表'!E6,IF(INDIRECT("'数据-取费表'!c"&amp;$G$1)="住宅",INDIRECT("'数据-取费表'!s"&amp;$G$1),INDIRECT("'数据-取费表'!k"&amp;$G$1)+INDIRECT("'数据-取费表'!s"&amp;$G$1)))</f>
        <v>1240.3</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1240.3</v>
      </c>
      <c r="E19" s="203">
        <f>'数据-取费表'!B31</f>
        <v>200</v>
      </c>
      <c r="F19" s="223"/>
      <c r="G19" s="1714" t="s">
        <v>3428</v>
      </c>
    </row>
    <row r="20" spans="1:7" s="206" customFormat="1" ht="13.5" customHeight="1">
      <c r="A20" s="247" t="s">
        <v>1574</v>
      </c>
      <c r="B20" s="202" t="s">
        <v>1575</v>
      </c>
      <c r="C20" s="224">
        <f ca="1">ROUND((C5+C19)*F20,0)</f>
        <v>26830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40648</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40246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402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205252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205252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1746456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5689257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5085230</v>
      </c>
      <c r="D34" s="209"/>
      <c r="E34" s="212"/>
      <c r="F34" s="249"/>
      <c r="G34" s="211"/>
    </row>
    <row r="35" spans="1:7" ht="13.5" customHeight="1">
      <c r="A35" s="734" t="s">
        <v>351</v>
      </c>
      <c r="B35" s="207" t="s">
        <v>1527</v>
      </c>
      <c r="C35" s="212">
        <f ca="1">ROUND(C34*F35,0)</f>
        <v>254262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248060</v>
      </c>
      <c r="D37" s="209">
        <f ca="1">D19</f>
        <v>1240.3</v>
      </c>
      <c r="E37" s="241">
        <f>'数据-取费表'!B35</f>
        <v>200</v>
      </c>
      <c r="F37" s="251"/>
      <c r="G37" s="253"/>
    </row>
    <row r="38" spans="1:7" ht="13.5" customHeight="1">
      <c r="A38" s="734" t="s">
        <v>354</v>
      </c>
      <c r="B38" s="207" t="s">
        <v>1533</v>
      </c>
      <c r="C38" s="212">
        <f ca="1">ROUND(C34*F38,0)</f>
        <v>101705</v>
      </c>
      <c r="D38" s="212"/>
      <c r="E38" s="212"/>
      <c r="F38" s="251">
        <f>'数据-取费表'!B36</f>
        <v>0.02</v>
      </c>
      <c r="G38" s="211" t="s">
        <v>1528</v>
      </c>
    </row>
    <row r="39" spans="1:7" s="206" customFormat="1" ht="13.5" customHeight="1">
      <c r="A39" s="247" t="s">
        <v>1534</v>
      </c>
      <c r="B39" s="202" t="s">
        <v>1535</v>
      </c>
      <c r="C39" s="224">
        <f ca="1">ROUND(C33*F20,0)</f>
        <v>113785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87046</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85339</v>
      </c>
      <c r="D42" s="230"/>
      <c r="E42" s="230"/>
      <c r="F42" s="231"/>
      <c r="G42" s="3353" t="s">
        <v>1591</v>
      </c>
    </row>
    <row r="43" spans="1:7" ht="13.5" customHeight="1">
      <c r="A43" s="734" t="s">
        <v>347</v>
      </c>
      <c r="B43" s="207" t="s">
        <v>1545</v>
      </c>
      <c r="C43" s="230">
        <f ca="1">ROUND(IF('数据-取费表'!B22&lt;=1,C39*F22*'数据-取费表'!B20/2,C39*(POWER((1+F22),'数据-取费表'!B20/2)-1)),0)</f>
        <v>1707</v>
      </c>
      <c r="D43" s="230"/>
      <c r="E43" s="230"/>
      <c r="F43" s="231"/>
      <c r="G43" s="3354"/>
    </row>
    <row r="44" spans="1:7" ht="13.5" customHeight="1">
      <c r="A44" s="734" t="s">
        <v>348</v>
      </c>
      <c r="B44" s="207" t="s">
        <v>1546</v>
      </c>
      <c r="C44" s="230">
        <f ca="1">ROUND(IF('数据-取费表'!B22&lt;=1,C40*F22*'数据-取费表'!B20/2,C40*(POWER((1+F22),'数据-取费表'!B20/2)-1)),4)</f>
        <v>2.9999999999999997E-4</v>
      </c>
      <c r="D44" s="230"/>
      <c r="E44" s="230"/>
      <c r="F44" s="231"/>
      <c r="G44" s="3355"/>
    </row>
    <row r="45" spans="1:7" s="206" customFormat="1" ht="13.5" customHeight="1">
      <c r="A45" s="247" t="s">
        <v>1547</v>
      </c>
      <c r="B45" s="236" t="s">
        <v>1513</v>
      </c>
      <c r="C45" s="237">
        <f ca="1">C46</f>
        <v>870456</v>
      </c>
      <c r="D45" s="227">
        <f ca="1">C47</f>
        <v>3.0000000000000001E-3</v>
      </c>
      <c r="E45" s="228" t="s">
        <v>1539</v>
      </c>
      <c r="F45" s="238">
        <f ca="1">F27</f>
        <v>0.15</v>
      </c>
      <c r="G45" s="239" t="s">
        <v>1548</v>
      </c>
    </row>
    <row r="46" spans="1:7" s="206" customFormat="1" ht="13.5" customHeight="1">
      <c r="A46" s="734" t="s">
        <v>346</v>
      </c>
      <c r="B46" s="240" t="s">
        <v>1549</v>
      </c>
      <c r="C46" s="241">
        <f ca="1">ROUND((C33+C39)*F27,0)</f>
        <v>870456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7314231</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5119962</v>
      </c>
      <c r="D51" s="224"/>
      <c r="E51" s="224"/>
      <c r="F51" s="256"/>
      <c r="G51" s="226" t="s">
        <v>1560</v>
      </c>
    </row>
    <row r="52" spans="1:7" s="200" customFormat="1" ht="16.5" thickBot="1">
      <c r="A52" s="257" t="s">
        <v>1561</v>
      </c>
      <c r="B52" s="258"/>
      <c r="C52" s="259">
        <f ca="1">C31+C51</f>
        <v>6866418</v>
      </c>
      <c r="D52" s="258"/>
      <c r="E52" s="258"/>
      <c r="F52" s="258"/>
      <c r="G52" s="260"/>
    </row>
    <row r="55" spans="1:7" ht="15">
      <c r="B55" s="262" t="s">
        <v>1562</v>
      </c>
      <c r="C55" s="263"/>
    </row>
    <row r="56" spans="1:7">
      <c r="B56" s="265" t="s">
        <v>802</v>
      </c>
      <c r="C56" s="267">
        <f ca="1">1-C57</f>
        <v>0.254</v>
      </c>
    </row>
    <row r="57" spans="1:7">
      <c r="B57" s="265" t="s">
        <v>803</v>
      </c>
      <c r="C57" s="266">
        <f ca="1">ROUND(C51/C52,3)</f>
        <v>0.746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226197</v>
      </c>
      <c r="C2" s="268" t="s">
        <v>1595</v>
      </c>
      <c r="D2" s="268"/>
      <c r="E2" s="2568"/>
      <c r="F2" s="2568"/>
      <c r="G2" s="2568"/>
      <c r="H2" s="2568"/>
      <c r="I2" s="2568"/>
      <c r="J2" s="2568"/>
      <c r="K2" s="2568"/>
    </row>
    <row r="3" spans="1:33" ht="18" customHeight="1" thickBot="1">
      <c r="A3" s="195" t="s">
        <v>1464</v>
      </c>
      <c r="B3" s="196">
        <f ca="1">ROUND(B2*10000/IF(C1="",'数据-汇总表'!E3,INDIRECT("'数据-取费表'!K"&amp;$K$1)),0)</f>
        <v>1823728</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1240.3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1240.3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-198428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8"/>
      <c r="I19" s="761"/>
      <c r="J19" s="761"/>
      <c r="K19" s="762"/>
    </row>
    <row r="20" spans="1:33" s="755" customFormat="1" ht="13.5" customHeight="1">
      <c r="A20" s="752" t="s">
        <v>361</v>
      </c>
      <c r="B20" s="753" t="s">
        <v>1627</v>
      </c>
      <c r="C20" s="21">
        <f ca="1">ROUND(D20*E20/10000,0)</f>
        <v>20</v>
      </c>
      <c r="D20" s="796">
        <f ca="1">IF(C1="",'数据-汇总表'!E6,IF(INDIRECT("'数据-取费表'!c"&amp;$K$1)="住宅",INDIRECT("'数据-取费表'!s"&amp;$K$1),INDIRECT("'数据-取费表'!k"&amp;$K$1)+INDIRECT("'数据-取费表'!s"&amp;$K$1)))</f>
        <v>1240.3</v>
      </c>
      <c r="E20" s="21">
        <f>'数据-取费表'!B28</f>
        <v>160</v>
      </c>
      <c r="F20" s="756"/>
      <c r="G20" s="12"/>
      <c r="H20" s="761"/>
      <c r="I20" s="761"/>
      <c r="J20" s="761"/>
      <c r="K20" s="762"/>
    </row>
    <row r="21" spans="1:33" s="755" customFormat="1" ht="13.5" customHeight="1">
      <c r="A21" s="744" t="s">
        <v>357</v>
      </c>
      <c r="B21" s="765" t="s">
        <v>1628</v>
      </c>
      <c r="C21" s="766">
        <f ca="1">C16+C17+C18</f>
        <v>-198428</v>
      </c>
      <c r="D21" s="767"/>
      <c r="E21" s="273"/>
      <c r="F21" s="273"/>
      <c r="G21" s="123" t="s">
        <v>1629</v>
      </c>
      <c r="H21" s="759"/>
      <c r="I21" s="759"/>
      <c r="J21" s="759"/>
      <c r="K21" s="760"/>
    </row>
    <row r="22" spans="1:33" s="755" customFormat="1" ht="13.5" customHeight="1">
      <c r="A22" s="744" t="s">
        <v>1601</v>
      </c>
      <c r="B22" s="765" t="s">
        <v>1630</v>
      </c>
      <c r="C22" s="766">
        <f ca="1">ROUND(C21*F22,0)</f>
        <v>-3969</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-30360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-30360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226197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8" t="s">
        <v>694</v>
      </c>
      <c r="C6" s="1011">
        <f ca="1">ROUND(F6*F8*F7*(1-F9)/10000,0)</f>
        <v>0</v>
      </c>
      <c r="D6" s="147" t="s">
        <v>2109</v>
      </c>
      <c r="E6" s="294" t="s">
        <v>696</v>
      </c>
      <c r="F6" s="295">
        <f ca="1">INDIRECT("'数据-取费表'!u"&amp;$G$1)</f>
        <v>0</v>
      </c>
      <c r="G6" s="1292"/>
      <c r="H6" s="1006" t="s">
        <v>398</v>
      </c>
      <c r="I6" s="3358" t="s">
        <v>694</v>
      </c>
      <c r="J6" s="293">
        <f ca="1">ROUND(M6*M8*M7*(1-M9)/10000,0)</f>
        <v>0</v>
      </c>
      <c r="K6" s="147" t="s">
        <v>2108</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0</v>
      </c>
      <c r="G7" s="1292"/>
      <c r="H7" s="296"/>
      <c r="I7" s="3359"/>
      <c r="J7" s="298"/>
      <c r="K7" s="299"/>
      <c r="L7" s="294" t="s">
        <v>697</v>
      </c>
      <c r="M7" s="295">
        <f ca="1">F7</f>
        <v>0</v>
      </c>
    </row>
    <row r="8" spans="1:37" ht="18" customHeight="1">
      <c r="A8" s="296"/>
      <c r="B8" s="3359"/>
      <c r="C8" s="298"/>
      <c r="D8" s="299"/>
      <c r="E8" s="294" t="s">
        <v>698</v>
      </c>
      <c r="F8" s="295">
        <f ca="1">INDIRECT("'数据-取费表'!ai"&amp;$G$1)</f>
        <v>0</v>
      </c>
      <c r="G8" s="1292"/>
      <c r="H8" s="296"/>
      <c r="I8" s="3359"/>
      <c r="J8" s="298"/>
      <c r="K8" s="299"/>
      <c r="L8" s="294" t="s">
        <v>698</v>
      </c>
      <c r="M8" s="295">
        <f ca="1">INDIRECT("'数据-取费表'!ai"&amp;$G$1)</f>
        <v>0</v>
      </c>
    </row>
    <row r="9" spans="1:37" ht="18" customHeight="1">
      <c r="A9" s="296"/>
      <c r="B9" s="3360"/>
      <c r="C9" s="298"/>
      <c r="D9" s="299"/>
      <c r="E9" s="294" t="s">
        <v>699</v>
      </c>
      <c r="F9" s="304">
        <f ca="1">INDIRECT("'数据-取费表'!w"&amp;$G$1)</f>
        <v>0</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6" t="s">
        <v>837</v>
      </c>
      <c r="L53" s="335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64" sqref="E6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6" width="13.875" style="1845" customWidth="1"/>
    <col min="7"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0" width="12" style="1845"/>
    <col min="21" max="21" width="13.875" style="1845" bestFit="1" customWidth="1"/>
    <col min="22"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1240.3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111</v>
      </c>
      <c r="C2" s="1846" t="s">
        <v>1935</v>
      </c>
      <c r="D2" s="162" t="s">
        <v>1936</v>
      </c>
      <c r="E2" s="3121" t="s">
        <v>673</v>
      </c>
      <c r="F2" s="162" t="s">
        <v>1937</v>
      </c>
      <c r="G2" s="163" t="str">
        <f>IF(E2="商业",项目基本情况!B37,IF(E2="办公",项目基本情况!C37,IF(E2="住宅",项目基本情况!D37,IF(E2="工业",项目基本情况!E37,项目基本情况!F37))))</f>
        <v>十二级</v>
      </c>
      <c r="H2" s="162" t="s">
        <v>1938</v>
      </c>
      <c r="I2" s="163" t="str">
        <f>IF(E2="商业",项目基本情况!B38,IF(E2="办公",项目基本情况!C38,IF(E2="住宅",项目基本情况!D38,IF(E2="工业",项目基本情况!E38,项目基本情况!F38))))</f>
        <v>Ⅻ-怀1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1118</v>
      </c>
      <c r="U2" s="1130">
        <f>ROUND('数据-汇总表'!F19/3,2)</f>
        <v>413.43</v>
      </c>
      <c r="V2" s="3064">
        <f>ROUND(T2*U2/10000,0)</f>
        <v>46</v>
      </c>
      <c r="W2" s="1133"/>
      <c r="X2" s="1133"/>
      <c r="Y2" s="1133"/>
      <c r="Z2" s="1133"/>
      <c r="AA2" s="1133"/>
      <c r="AB2" s="1133"/>
      <c r="AC2" s="1134"/>
      <c r="AD2" s="1135"/>
      <c r="AE2" s="1135"/>
      <c r="AF2" s="1135"/>
      <c r="AG2" s="1135"/>
      <c r="AH2" s="1135"/>
      <c r="AI2" s="1135"/>
      <c r="AJ2" s="1136"/>
    </row>
    <row r="3" spans="1:36" ht="15.75">
      <c r="A3" s="195" t="s">
        <v>1940</v>
      </c>
      <c r="B3" s="196">
        <f>ROUND(B2*10000/D1,0)</f>
        <v>895</v>
      </c>
      <c r="C3" s="1846" t="s">
        <v>1941</v>
      </c>
      <c r="D3" s="162" t="s">
        <v>1942</v>
      </c>
      <c r="E3" s="3119" t="s">
        <v>2435</v>
      </c>
      <c r="F3" s="1848" t="s">
        <v>3423</v>
      </c>
      <c r="G3" s="708">
        <f>IF(F3="宗地容积率",'数据-汇总表'!I4,IF(F3="估价对象容积率",'数据-汇总表'!I6,'数据-汇总表'!I7))</f>
        <v>2.2599999999999998</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862</v>
      </c>
      <c r="U3" s="1130">
        <f>ROUND('数据-汇总表'!F19/3,2)</f>
        <v>413.43</v>
      </c>
      <c r="V3" s="3064">
        <f t="shared" ref="V3:V16" si="1">ROUND(T3*U3/10000,0)</f>
        <v>36</v>
      </c>
      <c r="W3" s="1133"/>
      <c r="X3" s="1133"/>
      <c r="Y3" s="1133"/>
      <c r="Z3" s="1133"/>
      <c r="AA3" s="1133"/>
      <c r="AB3" s="1133"/>
      <c r="AC3" s="1134"/>
      <c r="AD3" s="1135"/>
      <c r="AE3" s="1135"/>
      <c r="AF3" s="1135"/>
      <c r="AG3" s="1135"/>
      <c r="AH3" s="1135"/>
      <c r="AI3" s="1135"/>
      <c r="AJ3" s="1136"/>
    </row>
    <row r="4" spans="1:36" ht="15.75">
      <c r="A4" s="3368"/>
      <c r="B4" s="3369"/>
      <c r="C4" s="3369"/>
      <c r="D4" s="3370"/>
      <c r="E4" s="3370"/>
      <c r="F4" s="3370"/>
      <c r="G4" s="3370"/>
      <c r="H4" s="3370"/>
      <c r="I4" s="3370"/>
      <c r="J4" s="33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703</v>
      </c>
      <c r="U4" s="1130">
        <f>ROUND('数据-汇总表'!F19-U2-U3,2)</f>
        <v>413.44</v>
      </c>
      <c r="V4" s="3064">
        <f t="shared" si="1"/>
        <v>29</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1460</v>
      </c>
      <c r="D5" s="1252">
        <f>ROUND(C6*C17+C20,0)</f>
        <v>1460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597</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1460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544</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十二级</v>
      </c>
      <c r="Y7" s="1131" t="s">
        <v>1956</v>
      </c>
      <c r="Z7" s="1132">
        <f>G3</f>
        <v>2.2599999999999998</v>
      </c>
      <c r="AA7" s="1133"/>
      <c r="AB7" s="1133"/>
      <c r="AC7" s="1134"/>
      <c r="AD7" s="1135"/>
      <c r="AE7" s="1135"/>
      <c r="AF7" s="1135"/>
      <c r="AG7" s="1135"/>
      <c r="AH7" s="1135"/>
      <c r="AI7" s="1135"/>
      <c r="AJ7" s="1136"/>
    </row>
    <row r="8" spans="1:36" ht="25.5">
      <c r="A8" s="3010"/>
      <c r="B8" s="162" t="s">
        <v>1957</v>
      </c>
      <c r="C8" s="1870" t="s">
        <v>3421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65" t="s">
        <v>1960</v>
      </c>
      <c r="X8" s="33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67"/>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6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3228</v>
      </c>
      <c r="B12" s="3014" t="s">
        <v>3229</v>
      </c>
      <c r="C12" s="3015">
        <v>1</v>
      </c>
      <c r="D12" s="3016" t="s">
        <v>3230</v>
      </c>
      <c r="E12" s="3017" t="s">
        <v>3231</v>
      </c>
      <c r="F12" s="3018"/>
      <c r="G12" s="3019"/>
      <c r="H12" s="3019"/>
      <c r="I12" s="3019"/>
      <c r="J12" s="3020"/>
      <c r="K12" s="1056"/>
      <c r="L12" s="1796" t="s">
        <v>1984</v>
      </c>
      <c r="M12" s="812">
        <f>SUMPRODUCT((区片价!B378:B384=I2)*(区片价!C3:G3=E2)*(区片价!C378:G384))</f>
        <v>1460</v>
      </c>
      <c r="N12" s="813">
        <f>SUMPRODUCT((因素修正幅度!B378:B384=I2)*(因素修正幅度!C3:G3=E2)*(因素修正幅度!C378:G384))</f>
        <v>0.15</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3233</v>
      </c>
      <c r="G14" s="3021" t="s">
        <v>3233</v>
      </c>
      <c r="H14" s="3021" t="s">
        <v>3233</v>
      </c>
      <c r="I14" s="3021" t="s">
        <v>3233</v>
      </c>
      <c r="J14" s="3021" t="s">
        <v>3233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3235</v>
      </c>
      <c r="B17" s="3028" t="s">
        <v>3236</v>
      </c>
      <c r="C17" s="3037">
        <f>ROUND(IF(OR(E2="工业",E2="公共服务"),1,IF(AND(E18=0,E19=0),1,IF(AND(E18=J24,E19=G19),0.8,IF(E19=0,1+E17*(-0.2),1+E17*G17*(-0.2))))),4)</f>
        <v>1</v>
      </c>
      <c r="D17" s="3029" t="s">
        <v>3237</v>
      </c>
      <c r="E17" s="3037">
        <f>ROUND(G18/I18,2)</f>
        <v>0</v>
      </c>
      <c r="F17" s="3029" t="s">
        <v>3240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3238</v>
      </c>
      <c r="E18" s="2357"/>
      <c r="F18" s="3031" t="s">
        <v>3241</v>
      </c>
      <c r="G18" s="3035">
        <f>ROUND(1-(1/(POWER(1+G24,E18))),4)</f>
        <v>0</v>
      </c>
      <c r="H18" s="3031" t="s">
        <v>3243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3239</v>
      </c>
      <c r="E19" s="3044"/>
      <c r="F19" s="3045" t="s">
        <v>3242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72" t="s">
        <v>3244</v>
      </c>
      <c r="B20" s="159" t="s">
        <v>1994</v>
      </c>
      <c r="C20" s="3032">
        <f>ROUND(IF(F21="与级别开发程度一致",0,(G21-E21)/C21),0)</f>
        <v>0</v>
      </c>
      <c r="D20" s="3047" t="s">
        <v>1998</v>
      </c>
      <c r="E20" s="3048"/>
      <c r="F20" s="3378" t="s">
        <v>1995</v>
      </c>
      <c r="G20" s="337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73"/>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0.9</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45898</v>
      </c>
      <c r="H23" s="3049" t="s">
        <v>3245</v>
      </c>
      <c r="I23" s="3050" t="str">
        <f>IF(H23="季度增幅（自定义）",SUMIF(N25:N28,E2,O25:O28),"")</f>
        <v/>
      </c>
      <c r="J23" s="3142" t="s">
        <v>3439</v>
      </c>
      <c r="K23" s="1061"/>
      <c r="L23" s="1897" t="s">
        <v>2004</v>
      </c>
      <c r="M23" s="1241">
        <f>ROUND(SUMIF(地价!B2:G2,E2,地价!B16:G16),0)</f>
        <v>350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0.56820000000000004</v>
      </c>
      <c r="D24" s="1902" t="s">
        <v>2007</v>
      </c>
      <c r="E24" s="1248">
        <f>存贷款利率!E28/100</f>
        <v>4.3499999999999997E-2</v>
      </c>
      <c r="F24" s="1902" t="s">
        <v>1999</v>
      </c>
      <c r="G24" s="724">
        <f>SUMIF(M30:Q30,E2,M33:Q33)</f>
        <v>5.5E-2</v>
      </c>
      <c r="H24" s="1902" t="s">
        <v>2008</v>
      </c>
      <c r="I24" s="725">
        <f>SUMIF('数据-取费表'!C6:C15,E2,'数据-取费表'!F6:F15)/COUNTIF('数据-取费表'!C6:C15,E2)</f>
        <v>13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3441</v>
      </c>
      <c r="C25" s="461">
        <f>IF(B25="容积率修正",IF(G3&lt;10,D26,J26),C27)</f>
        <v>1.5418000000000001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3246</v>
      </c>
      <c r="D26" s="1263">
        <f>IF(E26=G26,F26,IF(G3&lt;10,ROUND(F26+(H26-F26)*(G3-E26)/(G26-E26),4),"——"))</f>
        <v>0.97040000000000004</v>
      </c>
      <c r="E26" s="708">
        <f>ROUNDDOWN(G3,1)</f>
        <v>2.2000000000000002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0.9768</v>
      </c>
      <c r="G26" s="708">
        <f>ROUNDUP(G3,1)</f>
        <v>2.3000000000000003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0.96609999999999996</v>
      </c>
      <c r="I26" s="1912" t="s">
        <v>3247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0.96009999999999995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111</v>
      </c>
      <c r="D30" s="1925"/>
      <c r="E30" s="1842"/>
      <c r="F30" s="1926"/>
      <c r="G30" s="1842"/>
      <c r="H30" s="1842"/>
      <c r="I30" s="1842"/>
      <c r="J30" s="1927"/>
      <c r="K30" s="1056"/>
      <c r="L30" s="3056" t="s">
        <v>1936</v>
      </c>
      <c r="M30" s="3057" t="s">
        <v>1990</v>
      </c>
      <c r="N30" s="3057" t="s">
        <v>1991</v>
      </c>
      <c r="O30" s="3057" t="s">
        <v>1992</v>
      </c>
      <c r="P30" s="3057" t="s">
        <v>1993</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1118</v>
      </c>
      <c r="D33" s="1940">
        <f>'数据-汇总表'!E3</f>
        <v>1240.3</v>
      </c>
      <c r="E33" s="727">
        <f>ROUND(C33*D33/10000,0)</f>
        <v>139</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3254</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6"/>
      <c r="B37" s="1955" t="s">
        <v>2036</v>
      </c>
      <c r="C37" s="167">
        <f>ROUND(D5*C22*C23*C24*C28*F37,0)</f>
        <v>363</v>
      </c>
      <c r="D37" s="1940"/>
      <c r="E37" s="163">
        <f>ROUND(C37*D37/10000,0)</f>
        <v>0</v>
      </c>
      <c r="F37" s="163">
        <f>SUMIF(修正!A59:A70,G2,修正!B59:B70)</f>
        <v>0.5</v>
      </c>
      <c r="G37" s="163">
        <f>ROUND(IF(E2="工业",C37*$M$42,C37*$M$41),0)</f>
        <v>91</v>
      </c>
      <c r="H37" s="163">
        <f>D37</f>
        <v>0</v>
      </c>
      <c r="I37" s="163">
        <f>ROUND(G37*H37/10000,0)</f>
        <v>0</v>
      </c>
      <c r="J37" s="2755"/>
      <c r="K37" s="3062" t="s">
        <v>3255</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7"/>
      <c r="B38" s="1884" t="s">
        <v>2037</v>
      </c>
      <c r="C38" s="167">
        <f>ROUND(D5*C22*C23*C24*C28*F38,0)</f>
        <v>145</v>
      </c>
      <c r="D38" s="1940"/>
      <c r="E38" s="163">
        <f t="shared" ref="E38:E42" si="4">ROUND(C38*D38/10000,0)</f>
        <v>0</v>
      </c>
      <c r="F38" s="163">
        <f>SUMIF(修正!A59:A70,G2,修正!C59:C70)</f>
        <v>0.2</v>
      </c>
      <c r="G38" s="163">
        <f>ROUND(IF(E2="工业",C38*$M$42,C38*$M$41),0)</f>
        <v>36</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7"/>
      <c r="B39" s="1884" t="s">
        <v>3248</v>
      </c>
      <c r="C39" s="167">
        <f>ROUND(D5*C22*C23*C24*C28*F39,0)</f>
        <v>145</v>
      </c>
      <c r="D39" s="1940"/>
      <c r="E39" s="163">
        <f t="shared" si="4"/>
        <v>0</v>
      </c>
      <c r="F39" s="163">
        <f>SUMIF(修正!A59:A70,G2,修正!D59:D70)</f>
        <v>0.2</v>
      </c>
      <c r="G39" s="163">
        <f>ROUND(IF(E2="工业",C39*$M$42,C39*$M$41),0)</f>
        <v>36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145</v>
      </c>
      <c r="D40" s="1940"/>
      <c r="E40" s="163">
        <f t="shared" si="4"/>
        <v>0</v>
      </c>
      <c r="F40" s="167">
        <f>SUMIF(修正!A59:A70,G2,修正!E59:E70)</f>
        <v>0.2</v>
      </c>
      <c r="G40" s="163">
        <f>ROUND(IF(E2="工业",C40*$M$42,C40*$M$41),0)</f>
        <v>36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0.96009999999999995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3424</v>
      </c>
      <c r="D50" s="1002">
        <f t="shared" ref="D50:D58" si="7">SUMIF($J$49:$N$49,C50,J50:N50)</f>
        <v>-2.2499999999999999E-2</v>
      </c>
      <c r="E50" s="702">
        <f>ROUND(SUM(D50:D58),4)</f>
        <v>-3.9899999999999998E-2</v>
      </c>
      <c r="F50" s="1675">
        <f>IF(E2="商业",SUMIF(L1:L12,G2,N1:N12),"——")</f>
        <v>0.15</v>
      </c>
      <c r="G50" s="1000">
        <f>H50</f>
        <v>2.2499999999999999E-2</v>
      </c>
      <c r="H50" s="1003">
        <f t="shared" ref="H50:H58" si="8">IFERROR(ROUNDDOWN($F$50*I50/2,4),"——")</f>
        <v>2.2499999999999999E-2</v>
      </c>
      <c r="I50" s="3069">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3424</v>
      </c>
      <c r="D51" s="1002">
        <f t="shared" si="7"/>
        <v>-1.6500000000000001E-2</v>
      </c>
      <c r="E51" s="703"/>
      <c r="F51" s="1675"/>
      <c r="G51" s="1000">
        <f t="shared" ref="G51:G58" si="12">H51</f>
        <v>1.6500000000000001E-2</v>
      </c>
      <c r="H51" s="1003">
        <f t="shared" si="8"/>
        <v>1.6500000000000001E-2</v>
      </c>
      <c r="I51" s="3069">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t="s">
        <v>3425</v>
      </c>
      <c r="D52" s="1002">
        <f t="shared" si="7"/>
        <v>0</v>
      </c>
      <c r="E52" s="703"/>
      <c r="F52" s="1675"/>
      <c r="G52" s="1000">
        <f t="shared" si="12"/>
        <v>8.9999999999999993E-3</v>
      </c>
      <c r="H52" s="1003">
        <f t="shared" si="8"/>
        <v>8.9999999999999993E-3</v>
      </c>
      <c r="I52" s="3069">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3426</v>
      </c>
      <c r="D53" s="1002">
        <f t="shared" si="7"/>
        <v>3.7000000000000002E-3</v>
      </c>
      <c r="E53" s="703"/>
      <c r="F53" s="1675"/>
      <c r="G53" s="1000">
        <f t="shared" si="12"/>
        <v>3.7000000000000002E-3</v>
      </c>
      <c r="H53" s="1003">
        <f t="shared" si="8"/>
        <v>3.7000000000000002E-3</v>
      </c>
      <c r="I53" s="3069">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3442</v>
      </c>
      <c r="D54" s="1002">
        <f t="shared" si="7"/>
        <v>-1.2E-2</v>
      </c>
      <c r="E54" s="703"/>
      <c r="F54" s="1675"/>
      <c r="G54" s="1000">
        <f t="shared" si="12"/>
        <v>6.0000000000000001E-3</v>
      </c>
      <c r="H54" s="1003">
        <f t="shared" si="8"/>
        <v>6.0000000000000001E-3</v>
      </c>
      <c r="I54" s="3069">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24">
      <c r="A55" s="1970" t="s">
        <v>2057</v>
      </c>
      <c r="B55" s="1975" t="s">
        <v>2058</v>
      </c>
      <c r="C55" s="1887" t="s">
        <v>3426</v>
      </c>
      <c r="D55" s="1002">
        <f t="shared" si="7"/>
        <v>3.7000000000000002E-3</v>
      </c>
      <c r="E55" s="703"/>
      <c r="F55" s="1675"/>
      <c r="G55" s="1000">
        <f t="shared" si="12"/>
        <v>3.7000000000000002E-3</v>
      </c>
      <c r="H55" s="1003">
        <f t="shared" si="8"/>
        <v>3.7000000000000002E-3</v>
      </c>
      <c r="I55" s="3069">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3424</v>
      </c>
      <c r="D56" s="1002">
        <f t="shared" si="7"/>
        <v>-3.7000000000000002E-3</v>
      </c>
      <c r="E56" s="703"/>
      <c r="F56" s="1675"/>
      <c r="G56" s="1000">
        <f t="shared" si="12"/>
        <v>3.7000000000000002E-3</v>
      </c>
      <c r="H56" s="1003">
        <f t="shared" si="8"/>
        <v>3.7000000000000002E-3</v>
      </c>
      <c r="I56" s="3069">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3425</v>
      </c>
      <c r="D57" s="1002">
        <f t="shared" si="7"/>
        <v>0</v>
      </c>
      <c r="E57" s="703"/>
      <c r="F57" s="1675"/>
      <c r="G57" s="1000">
        <f t="shared" si="12"/>
        <v>6.0000000000000001E-3</v>
      </c>
      <c r="H57" s="1003">
        <f t="shared" si="8"/>
        <v>6.0000000000000001E-3</v>
      </c>
      <c r="I57" s="3069">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3443</v>
      </c>
      <c r="D58" s="1002">
        <f t="shared" si="7"/>
        <v>7.4000000000000003E-3</v>
      </c>
      <c r="E58" s="704"/>
      <c r="F58" s="1675"/>
      <c r="G58" s="1000">
        <f t="shared" si="12"/>
        <v>3.7000000000000002E-3</v>
      </c>
      <c r="H58" s="1003">
        <f t="shared" si="8"/>
        <v>3.7000000000000002E-3</v>
      </c>
      <c r="I58" s="3070">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t="str">
        <f>H61</f>
        <v>——</v>
      </c>
      <c r="H61" s="1003" t="str">
        <f t="shared" ref="H61:H69" si="14">IFERROR(ROUNDDOWN($F$61*I61/2,4),"——")</f>
        <v>——</v>
      </c>
      <c r="I61" s="3069">
        <v>0.25</v>
      </c>
      <c r="J61" s="1001" t="e">
        <f t="shared" ref="J61:J69" si="15">K61+$G61</f>
        <v>#VALUE!</v>
      </c>
      <c r="K61" s="1001" t="e">
        <f t="shared" ref="K61:K69" si="16">$L61+$G61</f>
        <v>#VALUE!</v>
      </c>
      <c r="L61" s="1001">
        <v>0</v>
      </c>
      <c r="M61" s="1001" t="e">
        <f t="shared" ref="M61:N69" si="17">L61-$G61</f>
        <v>#VALUE!</v>
      </c>
      <c r="N61" s="1001" t="e">
        <f t="shared" si="17"/>
        <v>#VALUE!</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t="str">
        <f t="shared" ref="G62:G69" si="18">H62</f>
        <v>——</v>
      </c>
      <c r="H62" s="1003" t="str">
        <f t="shared" si="14"/>
        <v>——</v>
      </c>
      <c r="I62" s="3069">
        <v>0.26</v>
      </c>
      <c r="J62" s="1001" t="e">
        <f t="shared" si="15"/>
        <v>#VALUE!</v>
      </c>
      <c r="K62" s="1001" t="e">
        <f t="shared" si="16"/>
        <v>#VALUE!</v>
      </c>
      <c r="L62" s="1001">
        <v>0</v>
      </c>
      <c r="M62" s="1001" t="e">
        <f t="shared" si="17"/>
        <v>#VALUE!</v>
      </c>
      <c r="N62" s="1001" t="e">
        <f t="shared" si="17"/>
        <v>#VALUE!</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3"/>
        <v>0</v>
      </c>
      <c r="E63" s="703"/>
      <c r="F63" s="1675"/>
      <c r="G63" s="1000" t="str">
        <f t="shared" si="18"/>
        <v>——</v>
      </c>
      <c r="H63" s="1003" t="str">
        <f t="shared" si="14"/>
        <v>——</v>
      </c>
      <c r="I63" s="3069">
        <v>0.11</v>
      </c>
      <c r="J63" s="1001" t="e">
        <f t="shared" si="15"/>
        <v>#VALUE!</v>
      </c>
      <c r="K63" s="1001" t="e">
        <f t="shared" si="16"/>
        <v>#VALUE!</v>
      </c>
      <c r="L63" s="1001">
        <v>0</v>
      </c>
      <c r="M63" s="1001" t="e">
        <f t="shared" si="17"/>
        <v>#VALUE!</v>
      </c>
      <c r="N63" s="1001" t="e">
        <f t="shared" si="17"/>
        <v>#VALUE!</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t="str">
        <f t="shared" si="18"/>
        <v>——</v>
      </c>
      <c r="H64" s="1003" t="str">
        <f t="shared" si="14"/>
        <v>——</v>
      </c>
      <c r="I64" s="3069">
        <v>0.05</v>
      </c>
      <c r="J64" s="1001" t="e">
        <f t="shared" si="15"/>
        <v>#VALUE!</v>
      </c>
      <c r="K64" s="1001" t="e">
        <f t="shared" si="16"/>
        <v>#VALUE!</v>
      </c>
      <c r="L64" s="1001">
        <v>0</v>
      </c>
      <c r="M64" s="1001" t="e">
        <f t="shared" si="17"/>
        <v>#VALUE!</v>
      </c>
      <c r="N64" s="1001" t="e">
        <f t="shared" si="17"/>
        <v>#VALUE!</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t="str">
        <f t="shared" si="18"/>
        <v>——</v>
      </c>
      <c r="H65" s="1003" t="str">
        <f t="shared" si="14"/>
        <v>——</v>
      </c>
      <c r="I65" s="3069">
        <v>0.05</v>
      </c>
      <c r="J65" s="1001" t="e">
        <f t="shared" si="15"/>
        <v>#VALUE!</v>
      </c>
      <c r="K65" s="1001" t="e">
        <f t="shared" si="16"/>
        <v>#VALUE!</v>
      </c>
      <c r="L65" s="1001">
        <v>0</v>
      </c>
      <c r="M65" s="1001" t="e">
        <f t="shared" si="17"/>
        <v>#VALUE!</v>
      </c>
      <c r="N65" s="1001" t="e">
        <f t="shared" si="17"/>
        <v>#VALUE!</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t="str">
        <f t="shared" si="18"/>
        <v>——</v>
      </c>
      <c r="H66" s="1003" t="str">
        <f t="shared" si="14"/>
        <v>——</v>
      </c>
      <c r="I66" s="3069">
        <v>0.06</v>
      </c>
      <c r="J66" s="1001" t="e">
        <f t="shared" si="15"/>
        <v>#VALUE!</v>
      </c>
      <c r="K66" s="1001" t="e">
        <f t="shared" si="16"/>
        <v>#VALUE!</v>
      </c>
      <c r="L66" s="1001">
        <v>0</v>
      </c>
      <c r="M66" s="1001" t="e">
        <f t="shared" si="17"/>
        <v>#VALUE!</v>
      </c>
      <c r="N66" s="1001" t="e">
        <f t="shared" si="17"/>
        <v>#VALUE!</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t="str">
        <f t="shared" si="18"/>
        <v>——</v>
      </c>
      <c r="H67" s="1003" t="str">
        <f t="shared" si="14"/>
        <v>——</v>
      </c>
      <c r="I67" s="3069">
        <v>0.06</v>
      </c>
      <c r="J67" s="1001" t="e">
        <f t="shared" si="15"/>
        <v>#VALUE!</v>
      </c>
      <c r="K67" s="1001" t="e">
        <f t="shared" si="16"/>
        <v>#VALUE!</v>
      </c>
      <c r="L67" s="1001">
        <v>0</v>
      </c>
      <c r="M67" s="1001" t="e">
        <f t="shared" si="17"/>
        <v>#VALUE!</v>
      </c>
      <c r="N67" s="1001" t="e">
        <f t="shared" si="17"/>
        <v>#VALUE!</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t="str">
        <f t="shared" si="18"/>
        <v>——</v>
      </c>
      <c r="H68" s="1003" t="str">
        <f t="shared" si="14"/>
        <v>——</v>
      </c>
      <c r="I68" s="3069">
        <v>0.09</v>
      </c>
      <c r="J68" s="1001" t="e">
        <f t="shared" si="15"/>
        <v>#VALUE!</v>
      </c>
      <c r="K68" s="1001" t="e">
        <f t="shared" si="16"/>
        <v>#VALUE!</v>
      </c>
      <c r="L68" s="1001">
        <v>0</v>
      </c>
      <c r="M68" s="1001" t="e">
        <f t="shared" si="17"/>
        <v>#VALUE!</v>
      </c>
      <c r="N68" s="1001" t="e">
        <f t="shared" si="17"/>
        <v>#VALUE!</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t="str">
        <f t="shared" si="18"/>
        <v>——</v>
      </c>
      <c r="H69" s="1003" t="str">
        <f t="shared" si="14"/>
        <v>——</v>
      </c>
      <c r="I69" s="3070">
        <v>7.0000000000000007E-2</v>
      </c>
      <c r="J69" s="1001" t="e">
        <f t="shared" si="15"/>
        <v>#VALUE!</v>
      </c>
      <c r="K69" s="1001" t="e">
        <f t="shared" si="16"/>
        <v>#VALUE!</v>
      </c>
      <c r="L69" s="1001">
        <v>0</v>
      </c>
      <c r="M69" s="1001" t="e">
        <f t="shared" si="17"/>
        <v>#VALUE!</v>
      </c>
      <c r="N69" s="1001" t="e">
        <f t="shared" si="17"/>
        <v>#VALUE!</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9">SUMIF($J$71:$N$71,C72,J72:N72)</f>
        <v>0</v>
      </c>
      <c r="E72" s="702">
        <f>ROUND(SUM(D72:D80),4)</f>
        <v>0</v>
      </c>
      <c r="F72" s="1675" t="str">
        <f>IF(E2="住宅",SUMIF(L1:L12,G2,N1:N12),"——")</f>
        <v>——</v>
      </c>
      <c r="G72" s="1000"/>
      <c r="H72" s="1003" t="str">
        <f t="shared" ref="H72:H80" si="20">IFERROR(ROUNDDOWN($F$72*I72/2,4),"——")</f>
        <v>——</v>
      </c>
      <c r="I72" s="3069">
        <v>0.2</v>
      </c>
      <c r="J72" s="1001">
        <f t="shared" ref="J72:J80" si="21">K72+$G72</f>
        <v>0</v>
      </c>
      <c r="K72" s="1001">
        <f t="shared" ref="K72:K80" si="22">$L72+$G72</f>
        <v>0</v>
      </c>
      <c r="L72" s="1001">
        <v>0</v>
      </c>
      <c r="M72" s="1001">
        <f t="shared" ref="M72:N80" si="23">L72-$G72</f>
        <v>0</v>
      </c>
      <c r="N72" s="1001">
        <f t="shared" si="23"/>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9"/>
        <v>0</v>
      </c>
      <c r="E73" s="705"/>
      <c r="F73" s="1675"/>
      <c r="G73" s="1000"/>
      <c r="H73" s="1003" t="str">
        <f t="shared" si="20"/>
        <v>——</v>
      </c>
      <c r="I73" s="3069">
        <v>0.26</v>
      </c>
      <c r="J73" s="1001">
        <f t="shared" si="21"/>
        <v>0</v>
      </c>
      <c r="K73" s="1001">
        <f t="shared" si="22"/>
        <v>0</v>
      </c>
      <c r="L73" s="1001">
        <v>0</v>
      </c>
      <c r="M73" s="1001">
        <f t="shared" si="23"/>
        <v>0</v>
      </c>
      <c r="N73" s="1001">
        <f t="shared" si="23"/>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9"/>
        <v>0</v>
      </c>
      <c r="E74" s="705"/>
      <c r="F74" s="1675"/>
      <c r="G74" s="1000"/>
      <c r="H74" s="1003" t="str">
        <f t="shared" si="20"/>
        <v>——</v>
      </c>
      <c r="I74" s="3069">
        <v>0.1</v>
      </c>
      <c r="J74" s="1001">
        <f t="shared" si="21"/>
        <v>0</v>
      </c>
      <c r="K74" s="1001">
        <f t="shared" si="22"/>
        <v>0</v>
      </c>
      <c r="L74" s="1001">
        <v>0</v>
      </c>
      <c r="M74" s="1001">
        <f t="shared" si="23"/>
        <v>0</v>
      </c>
      <c r="N74" s="1001">
        <f t="shared" si="23"/>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9"/>
        <v>0</v>
      </c>
      <c r="E75" s="705"/>
      <c r="F75" s="1675"/>
      <c r="G75" s="1000"/>
      <c r="H75" s="1003" t="str">
        <f t="shared" si="20"/>
        <v>——</v>
      </c>
      <c r="I75" s="3069">
        <v>0.05</v>
      </c>
      <c r="J75" s="1001">
        <f t="shared" si="21"/>
        <v>0</v>
      </c>
      <c r="K75" s="1001">
        <f t="shared" si="22"/>
        <v>0</v>
      </c>
      <c r="L75" s="1001">
        <v>0</v>
      </c>
      <c r="M75" s="1001">
        <f t="shared" si="23"/>
        <v>0</v>
      </c>
      <c r="N75" s="1001">
        <f t="shared" si="23"/>
        <v>0</v>
      </c>
      <c r="O75" s="1056"/>
      <c r="P75" s="1056"/>
      <c r="Q75" s="1844"/>
      <c r="Z75" s="1845"/>
      <c r="AA75" s="1895"/>
      <c r="AG75" s="1058"/>
      <c r="AK75" s="1895"/>
    </row>
    <row r="76" spans="1:37" ht="24">
      <c r="A76" s="1970" t="s">
        <v>2059</v>
      </c>
      <c r="B76" s="1240">
        <f>估价对象房地状况!C21</f>
        <v>0</v>
      </c>
      <c r="C76" s="1887"/>
      <c r="D76" s="1002">
        <f t="shared" si="19"/>
        <v>0</v>
      </c>
      <c r="E76" s="705"/>
      <c r="F76" s="1675"/>
      <c r="G76" s="1000"/>
      <c r="H76" s="1003" t="str">
        <f t="shared" si="20"/>
        <v>——</v>
      </c>
      <c r="I76" s="3069">
        <v>0.08</v>
      </c>
      <c r="J76" s="1001">
        <f t="shared" si="21"/>
        <v>0</v>
      </c>
      <c r="K76" s="1001">
        <f t="shared" si="22"/>
        <v>0</v>
      </c>
      <c r="L76" s="1001">
        <v>0</v>
      </c>
      <c r="M76" s="1001">
        <f t="shared" si="23"/>
        <v>0</v>
      </c>
      <c r="N76" s="1001">
        <f t="shared" si="23"/>
        <v>0</v>
      </c>
      <c r="O76" s="1056"/>
      <c r="P76" s="1056"/>
      <c r="Z76" s="1845"/>
      <c r="AA76" s="1895"/>
      <c r="AG76" s="1058"/>
      <c r="AK76" s="1895"/>
    </row>
    <row r="77" spans="1:37" ht="24">
      <c r="A77" s="1970" t="s">
        <v>2060</v>
      </c>
      <c r="B77" s="1240">
        <f>估价对象房地状况!C22</f>
        <v>0</v>
      </c>
      <c r="C77" s="1887"/>
      <c r="D77" s="1002">
        <f t="shared" si="19"/>
        <v>0</v>
      </c>
      <c r="E77" s="705"/>
      <c r="F77" s="1675"/>
      <c r="G77" s="1000"/>
      <c r="H77" s="1003" t="str">
        <f t="shared" si="20"/>
        <v>——</v>
      </c>
      <c r="I77" s="3069">
        <v>0.09</v>
      </c>
      <c r="J77" s="1001">
        <f t="shared" si="21"/>
        <v>0</v>
      </c>
      <c r="K77" s="1001">
        <f t="shared" si="22"/>
        <v>0</v>
      </c>
      <c r="L77" s="1001">
        <v>0</v>
      </c>
      <c r="M77" s="1001">
        <f t="shared" si="23"/>
        <v>0</v>
      </c>
      <c r="N77" s="1001">
        <f t="shared" si="23"/>
        <v>0</v>
      </c>
      <c r="O77" s="1056"/>
      <c r="P77" s="1056"/>
      <c r="Z77" s="1845"/>
      <c r="AA77" s="1895"/>
      <c r="AG77" s="1058"/>
      <c r="AK77" s="1895"/>
    </row>
    <row r="78" spans="1:37" ht="24">
      <c r="A78" s="1970" t="s">
        <v>2057</v>
      </c>
      <c r="B78" s="1975" t="s">
        <v>2058</v>
      </c>
      <c r="C78" s="1887"/>
      <c r="D78" s="1002">
        <f t="shared" si="19"/>
        <v>0</v>
      </c>
      <c r="E78" s="705"/>
      <c r="F78" s="1675"/>
      <c r="G78" s="1000"/>
      <c r="H78" s="1003" t="str">
        <f t="shared" si="20"/>
        <v>——</v>
      </c>
      <c r="I78" s="3069">
        <v>0.05</v>
      </c>
      <c r="J78" s="1001">
        <f t="shared" si="21"/>
        <v>0</v>
      </c>
      <c r="K78" s="1001">
        <f t="shared" si="22"/>
        <v>0</v>
      </c>
      <c r="L78" s="1001">
        <v>0</v>
      </c>
      <c r="M78" s="1001">
        <f t="shared" si="23"/>
        <v>0</v>
      </c>
      <c r="N78" s="1001">
        <f t="shared" si="23"/>
        <v>0</v>
      </c>
      <c r="O78" s="1844"/>
      <c r="P78" s="1844"/>
      <c r="Z78" s="1845"/>
      <c r="AA78" s="1895"/>
      <c r="AG78" s="1058"/>
      <c r="AK78" s="1895"/>
    </row>
    <row r="79" spans="1:37" ht="24">
      <c r="A79" s="1970" t="s">
        <v>2061</v>
      </c>
      <c r="B79" s="1973">
        <f>估价对象房地状况!C20</f>
        <v>0</v>
      </c>
      <c r="C79" s="1887"/>
      <c r="D79" s="1002">
        <f t="shared" si="19"/>
        <v>0</v>
      </c>
      <c r="E79" s="705"/>
      <c r="F79" s="1675"/>
      <c r="G79" s="1000"/>
      <c r="H79" s="1003" t="str">
        <f t="shared" si="20"/>
        <v>——</v>
      </c>
      <c r="I79" s="3069">
        <v>0.12</v>
      </c>
      <c r="J79" s="1001">
        <f t="shared" si="21"/>
        <v>0</v>
      </c>
      <c r="K79" s="1001">
        <f t="shared" si="22"/>
        <v>0</v>
      </c>
      <c r="L79" s="1001">
        <v>0</v>
      </c>
      <c r="M79" s="1001">
        <f t="shared" si="23"/>
        <v>0</v>
      </c>
      <c r="N79" s="1001">
        <f t="shared" si="23"/>
        <v>0</v>
      </c>
      <c r="Z79" s="1845"/>
      <c r="AA79" s="1895"/>
      <c r="AG79" s="1058"/>
      <c r="AK79" s="1895"/>
    </row>
    <row r="80" spans="1:37" ht="24.75" thickBot="1">
      <c r="A80" s="1977" t="s">
        <v>2068</v>
      </c>
      <c r="B80" s="1981"/>
      <c r="C80" s="1887"/>
      <c r="D80" s="1002">
        <f t="shared" si="19"/>
        <v>0</v>
      </c>
      <c r="E80" s="706"/>
      <c r="F80" s="1675"/>
      <c r="G80" s="1000"/>
      <c r="H80" s="1003" t="str">
        <f t="shared" si="20"/>
        <v>——</v>
      </c>
      <c r="I80" s="3070">
        <v>0.05</v>
      </c>
      <c r="J80" s="1001">
        <f t="shared" si="21"/>
        <v>0</v>
      </c>
      <c r="K80" s="1001">
        <f t="shared" si="22"/>
        <v>0</v>
      </c>
      <c r="L80" s="1001">
        <v>0</v>
      </c>
      <c r="M80" s="1001">
        <f t="shared" si="23"/>
        <v>0</v>
      </c>
      <c r="N80" s="1001">
        <f t="shared" si="23"/>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4">SUMIF($J$82:$N$82,C83,J83:N83)</f>
        <v>0</v>
      </c>
      <c r="E83" s="702">
        <f>ROUND(SUM(D83:D90),4)</f>
        <v>0</v>
      </c>
      <c r="F83" s="1675" t="str">
        <f>IF(E2="工业",SUMIF(L1:L12,G2,N1:N12),"——")</f>
        <v>——</v>
      </c>
      <c r="G83" s="1000"/>
      <c r="H83" s="1003" t="str">
        <f t="shared" ref="H83:H90" si="25">IFERROR(ROUNDDOWN($F$83*I83/2,4),"——")</f>
        <v>——</v>
      </c>
      <c r="I83" s="3069">
        <v>0.26</v>
      </c>
      <c r="J83" s="1001">
        <f t="shared" ref="J83:J90" si="26">K83+$G83</f>
        <v>0</v>
      </c>
      <c r="K83" s="1001">
        <f t="shared" ref="K83:K90" si="27">$L83+$G83</f>
        <v>0</v>
      </c>
      <c r="L83" s="1001">
        <v>0</v>
      </c>
      <c r="M83" s="1001">
        <f t="shared" ref="M83:N90" si="28">L83-$G83</f>
        <v>0</v>
      </c>
      <c r="N83" s="1001">
        <f t="shared" si="28"/>
        <v>0</v>
      </c>
      <c r="Z83" s="1845"/>
      <c r="AA83" s="1895"/>
      <c r="AG83" s="1058"/>
      <c r="AK83" s="1895"/>
    </row>
    <row r="84" spans="1:37" ht="14.25">
      <c r="A84" s="1970" t="s">
        <v>2053</v>
      </c>
      <c r="B84" s="1262">
        <f>估价对象房地状况!G16</f>
        <v>0</v>
      </c>
      <c r="C84" s="1887"/>
      <c r="D84" s="1002">
        <f t="shared" si="24"/>
        <v>0</v>
      </c>
      <c r="E84" s="705"/>
      <c r="F84" s="1675"/>
      <c r="G84" s="1000"/>
      <c r="H84" s="1003" t="str">
        <f t="shared" si="25"/>
        <v>——</v>
      </c>
      <c r="I84" s="3069">
        <v>0.3</v>
      </c>
      <c r="J84" s="1001">
        <f t="shared" si="26"/>
        <v>0</v>
      </c>
      <c r="K84" s="1001">
        <f t="shared" si="27"/>
        <v>0</v>
      </c>
      <c r="L84" s="1001">
        <v>0</v>
      </c>
      <c r="M84" s="1001">
        <f t="shared" si="28"/>
        <v>0</v>
      </c>
      <c r="N84" s="1001">
        <f t="shared" si="28"/>
        <v>0</v>
      </c>
      <c r="Z84" s="1845"/>
      <c r="AA84" s="1895"/>
      <c r="AG84" s="1058"/>
      <c r="AK84" s="1895"/>
    </row>
    <row r="85" spans="1:37" ht="36">
      <c r="A85" s="3071" t="s">
        <v>3259</v>
      </c>
      <c r="B85" s="1262">
        <f>估价对象房地状况!G17</f>
        <v>0</v>
      </c>
      <c r="C85" s="1887"/>
      <c r="D85" s="1002">
        <f t="shared" si="24"/>
        <v>0</v>
      </c>
      <c r="E85" s="705"/>
      <c r="F85" s="1675"/>
      <c r="G85" s="1000"/>
      <c r="H85" s="1003" t="str">
        <f t="shared" si="25"/>
        <v>——</v>
      </c>
      <c r="I85" s="3069">
        <v>0.1</v>
      </c>
      <c r="J85" s="1001">
        <f t="shared" si="26"/>
        <v>0</v>
      </c>
      <c r="K85" s="1001">
        <f t="shared" si="27"/>
        <v>0</v>
      </c>
      <c r="L85" s="1001">
        <v>0</v>
      </c>
      <c r="M85" s="1001">
        <f t="shared" si="28"/>
        <v>0</v>
      </c>
      <c r="N85" s="1001">
        <f t="shared" si="28"/>
        <v>0</v>
      </c>
      <c r="Z85" s="1845"/>
      <c r="AA85" s="1895"/>
      <c r="AG85" s="1058"/>
      <c r="AK85" s="1895"/>
    </row>
    <row r="86" spans="1:37" ht="14.25">
      <c r="A86" s="1970" t="s">
        <v>2067</v>
      </c>
      <c r="B86" s="1262">
        <f>估价对象房地状况!G22</f>
        <v>0</v>
      </c>
      <c r="C86" s="1887"/>
      <c r="D86" s="1002">
        <f t="shared" si="24"/>
        <v>0</v>
      </c>
      <c r="E86" s="705"/>
      <c r="F86" s="1675"/>
      <c r="G86" s="1000"/>
      <c r="H86" s="1003" t="str">
        <f t="shared" si="25"/>
        <v>——</v>
      </c>
      <c r="I86" s="3069">
        <v>0.05</v>
      </c>
      <c r="J86" s="1001">
        <f t="shared" si="26"/>
        <v>0</v>
      </c>
      <c r="K86" s="1001">
        <f t="shared" si="27"/>
        <v>0</v>
      </c>
      <c r="L86" s="1001">
        <v>0</v>
      </c>
      <c r="M86" s="1001">
        <f t="shared" si="28"/>
        <v>0</v>
      </c>
      <c r="N86" s="1001">
        <f t="shared" si="28"/>
        <v>0</v>
      </c>
      <c r="Z86" s="1845"/>
      <c r="AA86" s="1895"/>
      <c r="AG86" s="1058"/>
      <c r="AK86" s="1895"/>
    </row>
    <row r="87" spans="1:37" ht="24">
      <c r="A87" s="1970" t="s">
        <v>2059</v>
      </c>
      <c r="B87" s="1240">
        <f>估价对象房地状况!G19</f>
        <v>0</v>
      </c>
      <c r="C87" s="1887"/>
      <c r="D87" s="1002">
        <f t="shared" si="24"/>
        <v>0</v>
      </c>
      <c r="E87" s="705"/>
      <c r="F87" s="1675"/>
      <c r="G87" s="1000"/>
      <c r="H87" s="1003" t="str">
        <f t="shared" si="25"/>
        <v>——</v>
      </c>
      <c r="I87" s="3069">
        <v>0.06</v>
      </c>
      <c r="J87" s="1001">
        <f t="shared" si="26"/>
        <v>0</v>
      </c>
      <c r="K87" s="1001">
        <f t="shared" si="27"/>
        <v>0</v>
      </c>
      <c r="L87" s="1001">
        <v>0</v>
      </c>
      <c r="M87" s="1001">
        <f t="shared" si="28"/>
        <v>0</v>
      </c>
      <c r="N87" s="1001">
        <f t="shared" si="28"/>
        <v>0</v>
      </c>
    </row>
    <row r="88" spans="1:37" ht="24">
      <c r="A88" s="1970" t="s">
        <v>2060</v>
      </c>
      <c r="B88" s="1240">
        <f>估价对象房地状况!G20</f>
        <v>0</v>
      </c>
      <c r="C88" s="1887"/>
      <c r="D88" s="1002">
        <f t="shared" si="24"/>
        <v>0</v>
      </c>
      <c r="E88" s="705"/>
      <c r="F88" s="1675"/>
      <c r="G88" s="1000"/>
      <c r="H88" s="1003" t="str">
        <f t="shared" si="25"/>
        <v>——</v>
      </c>
      <c r="I88" s="3069">
        <v>0.12</v>
      </c>
      <c r="J88" s="1001">
        <f t="shared" si="26"/>
        <v>0</v>
      </c>
      <c r="K88" s="1001">
        <f t="shared" si="27"/>
        <v>0</v>
      </c>
      <c r="L88" s="1001">
        <v>0</v>
      </c>
      <c r="M88" s="1001">
        <f t="shared" si="28"/>
        <v>0</v>
      </c>
      <c r="N88" s="1001">
        <f t="shared" si="28"/>
        <v>0</v>
      </c>
    </row>
    <row r="89" spans="1:37" ht="24">
      <c r="A89" s="1970" t="s">
        <v>2057</v>
      </c>
      <c r="B89" s="1975" t="s">
        <v>2071</v>
      </c>
      <c r="C89" s="1887"/>
      <c r="D89" s="1002">
        <f t="shared" si="24"/>
        <v>0</v>
      </c>
      <c r="E89" s="705"/>
      <c r="F89" s="1675"/>
      <c r="G89" s="1000"/>
      <c r="H89" s="1003" t="str">
        <f t="shared" si="25"/>
        <v>——</v>
      </c>
      <c r="I89" s="3069">
        <v>0.06</v>
      </c>
      <c r="J89" s="1001">
        <f t="shared" si="26"/>
        <v>0</v>
      </c>
      <c r="K89" s="1001">
        <f t="shared" si="27"/>
        <v>0</v>
      </c>
      <c r="L89" s="1001">
        <v>0</v>
      </c>
      <c r="M89" s="1001">
        <f t="shared" si="28"/>
        <v>0</v>
      </c>
      <c r="N89" s="1001">
        <f t="shared" si="28"/>
        <v>0</v>
      </c>
    </row>
    <row r="90" spans="1:37" ht="15" thickBot="1">
      <c r="A90" s="1977" t="s">
        <v>2072</v>
      </c>
      <c r="B90" s="1982">
        <f>估价对象房地状况!G18</f>
        <v>0</v>
      </c>
      <c r="C90" s="1887"/>
      <c r="D90" s="1002">
        <f t="shared" si="24"/>
        <v>0</v>
      </c>
      <c r="E90" s="706"/>
      <c r="F90" s="1675"/>
      <c r="G90" s="1000"/>
      <c r="H90" s="1003" t="str">
        <f t="shared" si="25"/>
        <v>——</v>
      </c>
      <c r="I90" s="3070">
        <v>0.05</v>
      </c>
      <c r="J90" s="1001">
        <f t="shared" si="26"/>
        <v>0</v>
      </c>
      <c r="K90" s="1001">
        <f t="shared" si="27"/>
        <v>0</v>
      </c>
      <c r="L90" s="1001">
        <v>0</v>
      </c>
      <c r="M90" s="1001">
        <f t="shared" si="28"/>
        <v>0</v>
      </c>
      <c r="N90" s="1001">
        <f t="shared" si="28"/>
        <v>0</v>
      </c>
    </row>
    <row r="91" spans="1:37" ht="15">
      <c r="A91" s="3079" t="s">
        <v>2602</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9">K93+$G93</f>
        <v>0</v>
      </c>
      <c r="K93" s="1912">
        <f t="shared" ref="K93:K101" si="30">$L93+$G93</f>
        <v>0</v>
      </c>
      <c r="L93" s="1912">
        <v>0</v>
      </c>
      <c r="M93" s="1912">
        <f t="shared" ref="M93:N101" si="31">L93-$G93</f>
        <v>0</v>
      </c>
      <c r="N93" s="1912">
        <f t="shared" si="31"/>
        <v>0</v>
      </c>
    </row>
    <row r="94" spans="1:37" ht="14.25">
      <c r="A94" s="3081" t="s">
        <v>3262</v>
      </c>
      <c r="B94" s="3072">
        <f>估价对象房地状况!C18</f>
        <v>0</v>
      </c>
      <c r="C94" s="1887"/>
      <c r="D94" s="2310">
        <f t="shared" ref="D94:D101" si="32">SUMIF($J$60:$N$60,C94,J94:N94)</f>
        <v>0</v>
      </c>
      <c r="E94" s="3085"/>
      <c r="F94" s="1675"/>
      <c r="G94" s="3075"/>
      <c r="H94" s="3120" t="str">
        <f>IFERROR(ROUNDDOWN($F$93*I94/2,4),"——")</f>
        <v>——</v>
      </c>
      <c r="I94" s="3069">
        <v>0.26</v>
      </c>
      <c r="J94" s="1912">
        <f t="shared" si="29"/>
        <v>0</v>
      </c>
      <c r="K94" s="1912">
        <f t="shared" si="30"/>
        <v>0</v>
      </c>
      <c r="L94" s="1912">
        <v>0</v>
      </c>
      <c r="M94" s="1912">
        <f t="shared" si="31"/>
        <v>0</v>
      </c>
      <c r="N94" s="1912">
        <f t="shared" si="31"/>
        <v>0</v>
      </c>
    </row>
    <row r="95" spans="1:37" ht="36">
      <c r="A95" s="3071" t="s">
        <v>3258</v>
      </c>
      <c r="B95" s="3072">
        <f>估价对象房地状况!C19</f>
        <v>0</v>
      </c>
      <c r="C95" s="1887"/>
      <c r="D95" s="2310">
        <f t="shared" si="32"/>
        <v>0</v>
      </c>
      <c r="E95" s="3085"/>
      <c r="F95" s="1675"/>
      <c r="G95" s="3075"/>
      <c r="H95" s="3120" t="str">
        <f t="shared" ref="H95:H101" si="33">IFERROR(ROUNDDOWN($F$93*I95/2,4),"——")</f>
        <v>——</v>
      </c>
      <c r="I95" s="3069">
        <v>0.11</v>
      </c>
      <c r="J95" s="1912">
        <f t="shared" si="29"/>
        <v>0</v>
      </c>
      <c r="K95" s="1912">
        <f t="shared" si="30"/>
        <v>0</v>
      </c>
      <c r="L95" s="1912">
        <v>0</v>
      </c>
      <c r="M95" s="1912">
        <f t="shared" si="31"/>
        <v>0</v>
      </c>
      <c r="N95" s="1912">
        <f t="shared" si="31"/>
        <v>0</v>
      </c>
    </row>
    <row r="96" spans="1:37" ht="36.75">
      <c r="A96" s="3081" t="s">
        <v>3263</v>
      </c>
      <c r="B96" s="3087" t="s">
        <v>3274</v>
      </c>
      <c r="C96" s="1887"/>
      <c r="D96" s="2310">
        <f t="shared" si="32"/>
        <v>0</v>
      </c>
      <c r="E96" s="3085"/>
      <c r="F96" s="1675"/>
      <c r="G96" s="3075"/>
      <c r="H96" s="3120" t="str">
        <f t="shared" si="33"/>
        <v>——</v>
      </c>
      <c r="I96" s="3069">
        <v>0.05</v>
      </c>
      <c r="J96" s="1912">
        <f t="shared" si="29"/>
        <v>0</v>
      </c>
      <c r="K96" s="1912">
        <f t="shared" si="30"/>
        <v>0</v>
      </c>
      <c r="L96" s="1912">
        <v>0</v>
      </c>
      <c r="M96" s="1912">
        <f t="shared" si="31"/>
        <v>0</v>
      </c>
      <c r="N96" s="1912">
        <f t="shared" si="31"/>
        <v>0</v>
      </c>
    </row>
    <row r="97" spans="1:14" ht="24">
      <c r="A97" s="3081" t="s">
        <v>3264</v>
      </c>
      <c r="B97" s="3072">
        <f>估价对象房地状况!C24</f>
        <v>0</v>
      </c>
      <c r="C97" s="1887"/>
      <c r="D97" s="2310">
        <f t="shared" si="32"/>
        <v>0</v>
      </c>
      <c r="E97" s="3085"/>
      <c r="F97" s="1675"/>
      <c r="G97" s="3075"/>
      <c r="H97" s="3120" t="str">
        <f t="shared" si="33"/>
        <v>——</v>
      </c>
      <c r="I97" s="3069">
        <v>0.05</v>
      </c>
      <c r="J97" s="1912">
        <f t="shared" si="29"/>
        <v>0</v>
      </c>
      <c r="K97" s="1912">
        <f t="shared" si="30"/>
        <v>0</v>
      </c>
      <c r="L97" s="1912">
        <v>0</v>
      </c>
      <c r="M97" s="1912">
        <f t="shared" si="31"/>
        <v>0</v>
      </c>
      <c r="N97" s="1912">
        <f t="shared" si="31"/>
        <v>0</v>
      </c>
    </row>
    <row r="98" spans="1:14" ht="24">
      <c r="A98" s="3081" t="s">
        <v>3265</v>
      </c>
      <c r="B98" s="3088" t="s">
        <v>3275</v>
      </c>
      <c r="C98" s="1887"/>
      <c r="D98" s="2310">
        <f t="shared" si="32"/>
        <v>0</v>
      </c>
      <c r="E98" s="3085"/>
      <c r="F98" s="1675"/>
      <c r="G98" s="3075"/>
      <c r="H98" s="3120" t="str">
        <f t="shared" si="33"/>
        <v>——</v>
      </c>
      <c r="I98" s="3069">
        <v>0.06</v>
      </c>
      <c r="J98" s="1912">
        <f t="shared" si="29"/>
        <v>0</v>
      </c>
      <c r="K98" s="1912">
        <f t="shared" si="30"/>
        <v>0</v>
      </c>
      <c r="L98" s="1912">
        <v>0</v>
      </c>
      <c r="M98" s="1912">
        <f t="shared" si="31"/>
        <v>0</v>
      </c>
      <c r="N98" s="1912">
        <f t="shared" si="31"/>
        <v>0</v>
      </c>
    </row>
    <row r="99" spans="1:14" ht="24">
      <c r="A99" s="3081" t="s">
        <v>3266</v>
      </c>
      <c r="B99" s="3072">
        <f>估价对象房地状况!C21</f>
        <v>0</v>
      </c>
      <c r="C99" s="1887"/>
      <c r="D99" s="2310">
        <f t="shared" si="32"/>
        <v>0</v>
      </c>
      <c r="E99" s="3085"/>
      <c r="F99" s="1675"/>
      <c r="G99" s="3075"/>
      <c r="H99" s="3120" t="str">
        <f t="shared" si="33"/>
        <v>——</v>
      </c>
      <c r="I99" s="3069">
        <v>0.06</v>
      </c>
      <c r="J99" s="1912">
        <f t="shared" si="29"/>
        <v>0</v>
      </c>
      <c r="K99" s="1912">
        <f t="shared" si="30"/>
        <v>0</v>
      </c>
      <c r="L99" s="1912">
        <v>0</v>
      </c>
      <c r="M99" s="1912">
        <f t="shared" si="31"/>
        <v>0</v>
      </c>
      <c r="N99" s="1912">
        <f t="shared" si="31"/>
        <v>0</v>
      </c>
    </row>
    <row r="100" spans="1:14" ht="24">
      <c r="A100" s="3081" t="s">
        <v>3267</v>
      </c>
      <c r="B100" s="3072">
        <f>估价对象房地状况!C22</f>
        <v>0</v>
      </c>
      <c r="C100" s="1887"/>
      <c r="D100" s="2310">
        <f t="shared" si="32"/>
        <v>0</v>
      </c>
      <c r="E100" s="3085"/>
      <c r="F100" s="1675"/>
      <c r="G100" s="3075"/>
      <c r="H100" s="3120" t="str">
        <f t="shared" si="33"/>
        <v>——</v>
      </c>
      <c r="I100" s="3069">
        <v>0.09</v>
      </c>
      <c r="J100" s="1912">
        <f t="shared" si="29"/>
        <v>0</v>
      </c>
      <c r="K100" s="1912">
        <f t="shared" si="30"/>
        <v>0</v>
      </c>
      <c r="L100" s="1912">
        <v>0</v>
      </c>
      <c r="M100" s="1912">
        <f t="shared" si="31"/>
        <v>0</v>
      </c>
      <c r="N100" s="1912">
        <f t="shared" si="31"/>
        <v>0</v>
      </c>
    </row>
    <row r="101" spans="1:14" ht="24.75" thickBot="1">
      <c r="A101" s="3082" t="s">
        <v>3268</v>
      </c>
      <c r="B101" s="3089">
        <f>估价对象房地状况!C20</f>
        <v>0</v>
      </c>
      <c r="C101" s="1887"/>
      <c r="D101" s="2310">
        <f t="shared" si="32"/>
        <v>0</v>
      </c>
      <c r="E101" s="3086"/>
      <c r="F101" s="1675"/>
      <c r="G101" s="3075"/>
      <c r="H101" s="3120" t="str">
        <f t="shared" si="33"/>
        <v>——</v>
      </c>
      <c r="I101" s="3070">
        <v>7.0000000000000007E-2</v>
      </c>
      <c r="J101" s="1912">
        <f t="shared" si="29"/>
        <v>0</v>
      </c>
      <c r="K101" s="1912">
        <f t="shared" si="30"/>
        <v>0</v>
      </c>
      <c r="L101" s="1912">
        <v>0</v>
      </c>
      <c r="M101" s="1912">
        <f t="shared" si="31"/>
        <v>0</v>
      </c>
      <c r="N101" s="1912">
        <f t="shared" si="31"/>
        <v>0</v>
      </c>
    </row>
    <row r="103" spans="1:14">
      <c r="A103" s="3374" t="s">
        <v>3283</v>
      </c>
      <c r="B103" s="3374"/>
      <c r="C103" s="3374"/>
      <c r="D103" s="3374"/>
      <c r="E103" s="3374"/>
      <c r="F103" s="3374"/>
      <c r="G103" s="3374"/>
      <c r="H103" s="3374"/>
      <c r="I103" s="3374"/>
      <c r="J103" s="3374"/>
      <c r="K103" s="1667"/>
      <c r="L103" s="1667"/>
      <c r="M103" s="1667"/>
      <c r="N103" s="1667"/>
    </row>
    <row r="104" spans="1:14">
      <c r="A104" s="3375" t="s">
        <v>3284</v>
      </c>
      <c r="B104" s="3375" t="s">
        <v>3285</v>
      </c>
      <c r="C104" s="3091" t="s">
        <v>3286</v>
      </c>
      <c r="D104" s="3092"/>
      <c r="E104" s="3092"/>
      <c r="F104" s="3092"/>
      <c r="G104" s="3092"/>
      <c r="H104" s="3092"/>
      <c r="I104" s="3092"/>
      <c r="J104" s="3093"/>
      <c r="K104" s="3094"/>
      <c r="L104" s="3094"/>
      <c r="M104" s="3094"/>
      <c r="N104" s="3094"/>
    </row>
    <row r="105" spans="1:14">
      <c r="A105" s="3375"/>
      <c r="B105" s="3375"/>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361"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2"/>
      <c r="B111" s="3095" t="s">
        <v>3257</v>
      </c>
      <c r="C111" s="3096">
        <f>$I$3</f>
        <v>1</v>
      </c>
      <c r="D111" s="3096">
        <f t="shared" ref="D111:M111" si="34">$I$3</f>
        <v>1</v>
      </c>
      <c r="E111" s="3096">
        <f t="shared" si="34"/>
        <v>1</v>
      </c>
      <c r="F111" s="3096">
        <f t="shared" si="34"/>
        <v>1</v>
      </c>
      <c r="G111" s="3096">
        <f t="shared" si="34"/>
        <v>1</v>
      </c>
      <c r="H111" s="3096">
        <f t="shared" si="34"/>
        <v>1</v>
      </c>
      <c r="I111" s="3096">
        <f t="shared" si="34"/>
        <v>1</v>
      </c>
      <c r="J111" s="3096">
        <f t="shared" si="34"/>
        <v>1</v>
      </c>
      <c r="K111" s="3096">
        <f t="shared" si="34"/>
        <v>1</v>
      </c>
      <c r="L111" s="3096">
        <f t="shared" si="34"/>
        <v>1</v>
      </c>
      <c r="M111" s="3096">
        <f t="shared" si="34"/>
        <v>1</v>
      </c>
      <c r="N111" s="3096">
        <f>$I$3</f>
        <v>1</v>
      </c>
    </row>
    <row r="112" spans="1:14">
      <c r="A112" s="3363"/>
      <c r="B112" s="3095">
        <v>6</v>
      </c>
      <c r="C112" s="3090">
        <f>(-0.5556*(C111^2)-0.2719*C111+8944)*(10^(-4))</f>
        <v>0.89431725000000006</v>
      </c>
      <c r="D112" s="3090">
        <f>(-0.5556*(D111^2)-0.2719*D111+8944)*(10^(-4))</f>
        <v>0.89431725000000006</v>
      </c>
      <c r="E112" s="3090">
        <f>(-0.7912*(E111^2)-11.3794*E111+8482)*(10^(-4))</f>
        <v>0.84698294000000007</v>
      </c>
      <c r="F112" s="3090">
        <f t="shared" ref="F112:I112" si="35">(-0.7912*(F111^2)-11.3794*F111+8482)*(10^(-4))</f>
        <v>0.84698294000000007</v>
      </c>
      <c r="G112" s="3090">
        <f t="shared" si="35"/>
        <v>0.84698294000000007</v>
      </c>
      <c r="H112" s="3090">
        <f t="shared" si="35"/>
        <v>0.84698294000000007</v>
      </c>
      <c r="I112" s="3090">
        <f t="shared" si="35"/>
        <v>0.84698294000000007</v>
      </c>
      <c r="J112" s="3090">
        <f>(-0.989*(J111^2)-63.78*J111+7771)*(10^(-4))</f>
        <v>0.77062310000000001</v>
      </c>
      <c r="K112" s="3090">
        <f t="shared" ref="K112:N112" si="36">(-0.989*(K111^2)-63.78*K111+7771)*(10^(-4))</f>
        <v>0.77062310000000001</v>
      </c>
      <c r="L112" s="3090">
        <f t="shared" si="36"/>
        <v>0.77062310000000001</v>
      </c>
      <c r="M112" s="3090">
        <f t="shared" si="36"/>
        <v>0.77062310000000001</v>
      </c>
      <c r="N112" s="3090">
        <f t="shared" si="36"/>
        <v>0.77062310000000001</v>
      </c>
    </row>
    <row r="113" spans="1:14">
      <c r="A113" s="3364" t="s">
        <v>3300</v>
      </c>
      <c r="B113" s="3364"/>
      <c r="C113" s="3364"/>
      <c r="D113" s="3364"/>
      <c r="E113" s="3364"/>
      <c r="F113" s="3364"/>
      <c r="G113" s="3364"/>
      <c r="H113" s="3364"/>
      <c r="I113" s="3364"/>
      <c r="J113" s="336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2.2599999999999998</v>
      </c>
      <c r="C116" s="3100" t="s">
        <v>3302</v>
      </c>
      <c r="D116" s="3101">
        <f>SUMPRODUCT((A118:A122=F116)*(B117:M117=H116)*B118:M122)</f>
        <v>0.80789999999999995</v>
      </c>
      <c r="E116" s="162" t="s">
        <v>3303</v>
      </c>
      <c r="F116" s="3102" t="str">
        <f>E2</f>
        <v>商业</v>
      </c>
      <c r="G116" s="162" t="s">
        <v>3304</v>
      </c>
      <c r="H116" s="3102" t="str">
        <f>G2</f>
        <v>十二级</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0.97189999999999999</v>
      </c>
      <c r="C118" s="3090">
        <f>B118</f>
        <v>0.97189999999999999</v>
      </c>
      <c r="D118" s="3090">
        <f>ROUND(0.949-0.014*B116,4)</f>
        <v>0.91739999999999999</v>
      </c>
      <c r="E118" s="3090">
        <f>D118</f>
        <v>0.91739999999999999</v>
      </c>
      <c r="F118" s="3090">
        <f>E118</f>
        <v>0.91739999999999999</v>
      </c>
      <c r="G118" s="3090">
        <f>F118</f>
        <v>0.91739999999999999</v>
      </c>
      <c r="H118" s="3090">
        <f>G118</f>
        <v>0.91739999999999999</v>
      </c>
      <c r="I118" s="3090">
        <f>ROUND(0.8486-0.018*B116,4)</f>
        <v>0.80789999999999995</v>
      </c>
      <c r="J118" s="3090">
        <f t="shared" ref="J118:M122" si="37">I118</f>
        <v>0.80789999999999995</v>
      </c>
      <c r="K118" s="3090">
        <f t="shared" si="37"/>
        <v>0.80789999999999995</v>
      </c>
      <c r="L118" s="3090">
        <f t="shared" si="37"/>
        <v>0.80789999999999995</v>
      </c>
      <c r="M118" s="3110">
        <f t="shared" si="37"/>
        <v>0.80789999999999995</v>
      </c>
      <c r="N118" s="3098"/>
    </row>
    <row r="119" spans="1:14">
      <c r="A119" s="3058" t="s">
        <v>3318</v>
      </c>
      <c r="B119" s="3090">
        <f>ROUND(0.993-0.0112*B116,4)</f>
        <v>0.9677</v>
      </c>
      <c r="C119" s="3090">
        <f>B119</f>
        <v>0.9677</v>
      </c>
      <c r="D119" s="3090">
        <f>ROUND(0.9415-0.0142*B116,4)</f>
        <v>0.90939999999999999</v>
      </c>
      <c r="E119" s="3090">
        <f t="shared" ref="E119:H120" si="38">D119</f>
        <v>0.90939999999999999</v>
      </c>
      <c r="F119" s="3090">
        <f t="shared" si="38"/>
        <v>0.90939999999999999</v>
      </c>
      <c r="G119" s="3090">
        <f t="shared" si="38"/>
        <v>0.90939999999999999</v>
      </c>
      <c r="H119" s="3090">
        <f t="shared" si="38"/>
        <v>0.90939999999999999</v>
      </c>
      <c r="I119" s="3090">
        <f>ROUND(0.838-0.0182*B116,4)</f>
        <v>0.79690000000000005</v>
      </c>
      <c r="J119" s="3090">
        <f t="shared" si="37"/>
        <v>0.79690000000000005</v>
      </c>
      <c r="K119" s="3090">
        <f t="shared" si="37"/>
        <v>0.79690000000000005</v>
      </c>
      <c r="L119" s="3090">
        <f t="shared" si="37"/>
        <v>0.79690000000000005</v>
      </c>
      <c r="M119" s="3110">
        <f t="shared" si="37"/>
        <v>0.79690000000000005</v>
      </c>
      <c r="N119" s="3098"/>
    </row>
    <row r="120" spans="1:14">
      <c r="A120" s="3058" t="s">
        <v>3319</v>
      </c>
      <c r="B120" s="3090">
        <f>ROUND(0.9448-0.0115*B116,4)</f>
        <v>0.91879999999999995</v>
      </c>
      <c r="C120" s="3090">
        <f>B120</f>
        <v>0.91879999999999995</v>
      </c>
      <c r="D120" s="3090">
        <f>ROUND(0.937-0.0145*B116,4)</f>
        <v>0.9042</v>
      </c>
      <c r="E120" s="3090">
        <f t="shared" si="38"/>
        <v>0.9042</v>
      </c>
      <c r="F120" s="3090">
        <f t="shared" si="38"/>
        <v>0.9042</v>
      </c>
      <c r="G120" s="3090">
        <f t="shared" si="38"/>
        <v>0.9042</v>
      </c>
      <c r="H120" s="3090">
        <f t="shared" si="38"/>
        <v>0.9042</v>
      </c>
      <c r="I120" s="3090">
        <f>ROUND(0.7965-0.0185*B116,4)</f>
        <v>0.75470000000000004</v>
      </c>
      <c r="J120" s="3090">
        <f t="shared" si="37"/>
        <v>0.75470000000000004</v>
      </c>
      <c r="K120" s="3090">
        <f t="shared" si="37"/>
        <v>0.75470000000000004</v>
      </c>
      <c r="L120" s="3090">
        <f t="shared" si="37"/>
        <v>0.75470000000000004</v>
      </c>
      <c r="M120" s="3110">
        <f t="shared" si="37"/>
        <v>0.75470000000000004</v>
      </c>
      <c r="N120" s="3098"/>
    </row>
    <row r="121" spans="1:14" ht="13.5" thickBot="1">
      <c r="A121" s="3111" t="s">
        <v>3320</v>
      </c>
      <c r="B121" s="3112">
        <f>ROUND(0.7836-0.012*B116,4)</f>
        <v>0.75649999999999995</v>
      </c>
      <c r="C121" s="3112">
        <f>B121</f>
        <v>0.75649999999999995</v>
      </c>
      <c r="D121" s="3112">
        <f>ROUND(0.753-0.015*B116,4)</f>
        <v>0.71909999999999996</v>
      </c>
      <c r="E121" s="3112">
        <f>D121</f>
        <v>0.71909999999999996</v>
      </c>
      <c r="F121" s="3112">
        <f>E121</f>
        <v>0.71909999999999996</v>
      </c>
      <c r="G121" s="3112">
        <f>ROUND(0.6612-0.018*B116,4)</f>
        <v>0.62050000000000005</v>
      </c>
      <c r="H121" s="3112">
        <f>G121</f>
        <v>0.62050000000000005</v>
      </c>
      <c r="I121" s="3112">
        <f>ROUND(0.5905-0.019*B116,4)</f>
        <v>0.54759999999999998</v>
      </c>
      <c r="J121" s="3112">
        <f t="shared" si="37"/>
        <v>0.54759999999999998</v>
      </c>
      <c r="K121" s="3112">
        <f t="shared" si="37"/>
        <v>0.54759999999999998</v>
      </c>
      <c r="L121" s="3112">
        <f t="shared" si="37"/>
        <v>0.54759999999999998</v>
      </c>
      <c r="M121" s="3113">
        <f t="shared" si="37"/>
        <v>0.54759999999999998</v>
      </c>
      <c r="N121" s="3098"/>
    </row>
    <row r="122" spans="1:14">
      <c r="A122" s="3114" t="s">
        <v>2602</v>
      </c>
      <c r="B122" s="3090">
        <f>ROUND(0.9404-0.0106*B116,4)</f>
        <v>0.91639999999999999</v>
      </c>
      <c r="C122" s="3090">
        <f>B122</f>
        <v>0.91639999999999999</v>
      </c>
      <c r="D122" s="3090">
        <f>ROUND(0.8955-0.0135*B116,4)</f>
        <v>0.86499999999999999</v>
      </c>
      <c r="E122" s="3090">
        <f t="shared" ref="E122:H122" si="39">D122</f>
        <v>0.86499999999999999</v>
      </c>
      <c r="F122" s="3090">
        <f t="shared" si="39"/>
        <v>0.86499999999999999</v>
      </c>
      <c r="G122" s="3090">
        <f t="shared" si="39"/>
        <v>0.86499999999999999</v>
      </c>
      <c r="H122" s="3090">
        <f t="shared" si="39"/>
        <v>0.86499999999999999</v>
      </c>
      <c r="I122" s="3090">
        <f>ROUND(0.7632-0.0166*B116,4)</f>
        <v>0.72570000000000001</v>
      </c>
      <c r="J122" s="3090">
        <f t="shared" si="37"/>
        <v>0.72570000000000001</v>
      </c>
      <c r="K122" s="3090">
        <f t="shared" si="37"/>
        <v>0.72570000000000001</v>
      </c>
      <c r="L122" s="3090">
        <f t="shared" si="37"/>
        <v>0.72570000000000001</v>
      </c>
      <c r="M122" s="3110">
        <f t="shared" si="37"/>
        <v>0.72570000000000001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5" zoomScaleNormal="70" zoomScaleSheetLayoutView="85" workbookViewId="0">
      <selection activeCell="K20" sqref="K2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3411</v>
      </c>
      <c r="D1" s="1271" t="s">
        <v>43</v>
      </c>
      <c r="E1" s="1272" t="s">
        <v>678</v>
      </c>
      <c r="F1" s="999">
        <f ca="1">J53</f>
        <v>13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424.53960000000001</v>
      </c>
      <c r="C2" s="1289" t="s">
        <v>879</v>
      </c>
      <c r="D2" s="1375">
        <f ca="1">C40+J29+L46</f>
        <v>4245396</v>
      </c>
      <c r="E2" s="1295" t="s">
        <v>880</v>
      </c>
      <c r="F2" s="1296"/>
      <c r="G2" s="2479"/>
      <c r="H2" s="2469"/>
      <c r="I2" s="2469"/>
      <c r="J2" s="2469"/>
      <c r="K2" s="2470"/>
      <c r="L2" s="2469"/>
      <c r="M2" s="2469"/>
    </row>
    <row r="3" spans="1:37" ht="18" customHeight="1" thickBot="1">
      <c r="A3" s="1297" t="s">
        <v>881</v>
      </c>
      <c r="B3" s="1298">
        <f ca="1">IF(ISERROR(D2/F43),0,ROUND(D2/F43,0))</f>
        <v>3423</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407948</v>
      </c>
      <c r="D5" s="1273" t="s">
        <v>889</v>
      </c>
      <c r="E5" s="1008"/>
      <c r="F5" s="1009"/>
      <c r="G5" s="1292"/>
      <c r="H5" s="291">
        <v>1</v>
      </c>
      <c r="I5" s="292" t="s">
        <v>888</v>
      </c>
      <c r="J5" s="1007">
        <f ca="1">J6+J10+J12</f>
        <v>0</v>
      </c>
      <c r="K5" s="1273" t="s">
        <v>889</v>
      </c>
      <c r="L5" s="1008"/>
      <c r="M5" s="1009"/>
    </row>
    <row r="6" spans="1:37" ht="18" customHeight="1">
      <c r="A6" s="1006" t="s">
        <v>398</v>
      </c>
      <c r="B6" s="3358" t="s">
        <v>694</v>
      </c>
      <c r="C6" s="1011">
        <f ca="1">ROUND(F6*F8*F7*(1-F9),0)</f>
        <v>407439</v>
      </c>
      <c r="D6" s="147" t="s">
        <v>2106</v>
      </c>
      <c r="E6" s="294" t="s">
        <v>696</v>
      </c>
      <c r="F6" s="295">
        <f ca="1">INDIRECT("'数据-取费表'!u"&amp;$G$1)</f>
        <v>1</v>
      </c>
      <c r="G6" s="1292"/>
      <c r="H6" s="1006" t="s">
        <v>398</v>
      </c>
      <c r="I6" s="3358" t="s">
        <v>694</v>
      </c>
      <c r="J6" s="293">
        <f ca="1">ROUND(M6*M8*M7*(1-M9),0)</f>
        <v>0</v>
      </c>
      <c r="K6" s="1284" t="s">
        <v>2107</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1240.3</v>
      </c>
      <c r="G7" s="1292"/>
      <c r="H7" s="296"/>
      <c r="I7" s="3359"/>
      <c r="J7" s="298"/>
      <c r="K7" s="299"/>
      <c r="L7" s="294" t="s">
        <v>697</v>
      </c>
      <c r="M7" s="295">
        <f ca="1">F7</f>
        <v>1240.3</v>
      </c>
    </row>
    <row r="8" spans="1:37" ht="18" customHeight="1">
      <c r="A8" s="296"/>
      <c r="B8" s="3359"/>
      <c r="C8" s="298"/>
      <c r="D8" s="299"/>
      <c r="E8" s="294" t="s">
        <v>698</v>
      </c>
      <c r="F8" s="295">
        <f ca="1">INDIRECT("'数据-取费表'!ai"&amp;$G$1)</f>
        <v>365</v>
      </c>
      <c r="G8" s="1292"/>
      <c r="H8" s="296"/>
      <c r="I8" s="3359"/>
      <c r="J8" s="298"/>
      <c r="K8" s="299"/>
      <c r="L8" s="294" t="s">
        <v>698</v>
      </c>
      <c r="M8" s="295">
        <f ca="1">INDIRECT("'数据-取费表'!ai"&amp;$G$1)</f>
        <v>365</v>
      </c>
    </row>
    <row r="9" spans="1:37" ht="18" customHeight="1">
      <c r="A9" s="296"/>
      <c r="B9" s="3360"/>
      <c r="C9" s="298"/>
      <c r="D9" s="299"/>
      <c r="E9" s="294" t="s">
        <v>699</v>
      </c>
      <c r="F9" s="304">
        <f ca="1">INDIRECT("'数据-取费表'!w"&amp;$G$1)</f>
        <v>0.1</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509</v>
      </c>
      <c r="D10" s="150" t="s">
        <v>2116</v>
      </c>
      <c r="E10" s="305" t="s">
        <v>701</v>
      </c>
      <c r="F10" s="1053" t="s">
        <v>3417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5119962</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5085230</v>
      </c>
      <c r="D14" s="1257" t="s">
        <v>708</v>
      </c>
      <c r="E14" s="1255"/>
      <c r="F14" s="311"/>
      <c r="G14" s="1292"/>
      <c r="H14" s="928" t="s">
        <v>398</v>
      </c>
      <c r="I14" s="294" t="s">
        <v>709</v>
      </c>
      <c r="J14" s="21">
        <f ca="1">C29</f>
        <v>7314231</v>
      </c>
      <c r="K14" s="12"/>
      <c r="L14" s="759"/>
      <c r="M14" s="760"/>
    </row>
    <row r="15" spans="1:37" s="1304" customFormat="1" ht="18" customHeight="1" thickBot="1">
      <c r="A15" s="928" t="s">
        <v>399</v>
      </c>
      <c r="B15" s="294" t="s">
        <v>710</v>
      </c>
      <c r="C15" s="21">
        <f ca="1">ROUND(C14*F15,0)</f>
        <v>254262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15450</v>
      </c>
      <c r="K16" s="1024" t="s">
        <v>715</v>
      </c>
      <c r="L16" s="1025"/>
      <c r="M16" s="1009"/>
    </row>
    <row r="17" spans="1:37" s="1304" customFormat="1" ht="18" customHeight="1">
      <c r="A17" s="928" t="s">
        <v>681</v>
      </c>
      <c r="B17" s="294" t="s">
        <v>716</v>
      </c>
      <c r="C17" s="21">
        <f ca="1">ROUND(F17*(F43+INDIRECT("'数据-取费表'!S"&amp;$G$1)),0)</f>
        <v>248060</v>
      </c>
      <c r="D17" s="294" t="s">
        <v>717</v>
      </c>
      <c r="E17" s="294" t="s">
        <v>718</v>
      </c>
      <c r="F17" s="23">
        <f>'数据-取费表'!B35</f>
        <v>200</v>
      </c>
      <c r="G17" s="1303"/>
      <c r="H17" s="928" t="s">
        <v>398</v>
      </c>
      <c r="I17" s="294" t="s">
        <v>719</v>
      </c>
      <c r="J17" s="2140">
        <f ca="1">ROUND(IF(AND(项目基本情况!B11="自然人",项目基本情况!B10="北京市"),J6*M17/(1+'数据-取费表'!C42),J18+J19+J20),0)</f>
        <v>822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101705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5689257</v>
      </c>
      <c r="D19" s="123" t="s">
        <v>726</v>
      </c>
      <c r="E19" s="1269"/>
      <c r="F19" s="23"/>
      <c r="G19" s="1292"/>
      <c r="H19" s="928" t="s">
        <v>399</v>
      </c>
      <c r="I19" s="294" t="s">
        <v>727</v>
      </c>
      <c r="J19" s="21">
        <f ca="1">IF(K19="按租金收入计税",ROUND(J6*M19/(1+'数据-取费表'!C42),0),ROUND(C29*M19*0.7,0))</f>
        <v>0</v>
      </c>
      <c r="K19" s="1278" t="s">
        <v>3324</v>
      </c>
      <c r="L19" s="294" t="s">
        <v>712</v>
      </c>
      <c r="M19" s="314">
        <f>IF(K19="按租金收入计税",'数据-取费表'!B51,'数据-取费表'!B50)</f>
        <v>0.12</v>
      </c>
    </row>
    <row r="20" spans="1:37" s="1304" customFormat="1" ht="18" customHeight="1">
      <c r="A20" s="928" t="s">
        <v>402</v>
      </c>
      <c r="B20" s="294" t="s">
        <v>728</v>
      </c>
      <c r="C20" s="21">
        <f ca="1">ROUND(C19*F20,0)</f>
        <v>113785</v>
      </c>
      <c r="D20" s="315" t="s">
        <v>729</v>
      </c>
      <c r="E20" s="294" t="s">
        <v>712</v>
      </c>
      <c r="F20" s="314">
        <f>'数据-取费表'!B37</f>
        <v>0.02</v>
      </c>
      <c r="G20" s="1303"/>
      <c r="H20" s="928" t="s">
        <v>680</v>
      </c>
      <c r="I20" s="147" t="s">
        <v>730</v>
      </c>
      <c r="J20" s="22">
        <f ca="1">ROUND(M20*M21,0)</f>
        <v>822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548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14628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87046</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-15450</v>
      </c>
      <c r="K25" s="1032" t="s">
        <v>753</v>
      </c>
      <c r="L25" s="1033"/>
      <c r="M25" s="1034"/>
    </row>
    <row r="26" spans="1:37" ht="18" customHeight="1">
      <c r="A26" s="928" t="s">
        <v>397</v>
      </c>
      <c r="B26" s="294" t="s">
        <v>754</v>
      </c>
      <c r="C26" s="21">
        <f ca="1">ROUND((C19+C20)*F26,0)</f>
        <v>870456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7314231</v>
      </c>
      <c r="D29" s="1029"/>
      <c r="E29" s="1027"/>
      <c r="F29" s="1030"/>
      <c r="G29" s="1303"/>
      <c r="H29" s="325" t="s">
        <v>396</v>
      </c>
      <c r="I29" s="326" t="s">
        <v>768</v>
      </c>
      <c r="J29" s="327">
        <f ca="1">ROUND(J26/(1+F40)^F41,0)</f>
        <v>0</v>
      </c>
      <c r="K29" s="328" t="s">
        <v>769</v>
      </c>
      <c r="L29" s="329"/>
      <c r="M29" s="330">
        <f ca="1">INDIRECT("'数据-取费表'!k"&amp;$G$1)</f>
        <v>1240.3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92555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68728</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21342</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46564</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822</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548</v>
      </c>
      <c r="G35" s="1292"/>
      <c r="H35" s="2471"/>
      <c r="I35" s="1305"/>
      <c r="J35" s="1306"/>
      <c r="K35" s="2475"/>
      <c r="L35" s="2474"/>
      <c r="M35" s="2474"/>
    </row>
    <row r="36" spans="1:18" ht="18" customHeight="1">
      <c r="A36" s="1039" t="s">
        <v>402</v>
      </c>
      <c r="B36" s="294" t="s">
        <v>738</v>
      </c>
      <c r="C36" s="21">
        <f ca="1">ROUND(C29*F36,0)</f>
        <v>14628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5120</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4079</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315393</v>
      </c>
      <c r="D39" s="1032" t="s">
        <v>773</v>
      </c>
      <c r="E39" s="1033"/>
      <c r="F39" s="1034"/>
      <c r="G39" s="1292"/>
      <c r="H39" s="2474"/>
      <c r="I39" s="1305"/>
      <c r="J39" s="1306"/>
      <c r="K39" s="2472"/>
      <c r="L39" s="2474"/>
      <c r="M39" s="2474"/>
    </row>
    <row r="40" spans="1:18" ht="18" customHeight="1">
      <c r="A40" s="291" t="s">
        <v>395</v>
      </c>
      <c r="B40" s="292" t="s">
        <v>774</v>
      </c>
      <c r="C40" s="293">
        <f ca="1">ROUND(C39*(1-((1+F42)/(1+F40))^F41)/(F40-F42),0)</f>
        <v>3102732</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13</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2502</v>
      </c>
      <c r="D43" s="328" t="s">
        <v>777</v>
      </c>
      <c r="E43" s="329" t="s">
        <v>778</v>
      </c>
      <c r="F43" s="330">
        <f ca="1">INDIRECT("'数据-取费表'!k"&amp;$G$1)</f>
        <v>1240.3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3340</v>
      </c>
      <c r="B45" s="1307"/>
      <c r="C45" s="1376">
        <f ca="1">ROUND((C68-C40)/10000,4)</f>
        <v>-328.48320000000001</v>
      </c>
      <c r="D45" s="3131" t="s">
        <v>3341</v>
      </c>
      <c r="E45" s="1307"/>
      <c r="F45" s="1307"/>
      <c r="O45" s="1310" t="s">
        <v>808</v>
      </c>
      <c r="P45" s="1366"/>
      <c r="Q45" s="1366"/>
      <c r="R45" s="1366"/>
    </row>
    <row r="46" spans="1:18" s="1292" customFormat="1" ht="13.5" thickBot="1">
      <c r="A46" s="1311" t="s">
        <v>809</v>
      </c>
      <c r="C46" s="1312">
        <f ca="1">ROUND(C45,0)</f>
        <v>-328</v>
      </c>
      <c r="D46" s="1313" t="str">
        <f>C2</f>
        <v>万元</v>
      </c>
      <c r="I46" s="1314" t="s">
        <v>810</v>
      </c>
      <c r="J46" s="1315"/>
      <c r="K46" s="1316"/>
      <c r="L46" s="1317">
        <f ca="1">IF(M47="住宅",0,IF(L48&gt;J51,L60,J60))</f>
        <v>1142664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3102732</v>
      </c>
      <c r="R47" s="1327" t="s">
        <v>818</v>
      </c>
    </row>
    <row r="48" spans="1:18" s="1292" customFormat="1" ht="28.5" thickBot="1">
      <c r="A48" s="1047" t="s">
        <v>438</v>
      </c>
      <c r="B48" s="292" t="s">
        <v>692</v>
      </c>
      <c r="C48" s="1268">
        <f ca="1">C49+C53+C55</f>
        <v>0</v>
      </c>
      <c r="D48" s="1049"/>
      <c r="E48" s="1050"/>
      <c r="F48" s="908"/>
      <c r="G48" s="681"/>
      <c r="H48" s="682"/>
      <c r="I48" s="1328" t="s">
        <v>819</v>
      </c>
      <c r="J48" s="1329" t="s">
        <v>3419</v>
      </c>
      <c r="K48" s="1330" t="s">
        <v>820</v>
      </c>
      <c r="L48" s="1331">
        <f ca="1">INDIRECT("'数据-取费表'!f"&amp;$G$1)</f>
        <v>13</v>
      </c>
      <c r="O48" s="1325" t="s">
        <v>404</v>
      </c>
      <c r="P48" s="1326" t="s">
        <v>821</v>
      </c>
      <c r="Q48" s="1327">
        <f ca="1">J60</f>
        <v>1142664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1997</v>
      </c>
      <c r="K49" s="1330" t="s">
        <v>824</v>
      </c>
      <c r="L49" s="1333"/>
      <c r="O49" s="1334" t="s">
        <v>405</v>
      </c>
      <c r="P49" s="1326" t="s">
        <v>825</v>
      </c>
      <c r="Q49" s="1327">
        <f ca="1">C29</f>
        <v>7314231</v>
      </c>
      <c r="R49" s="1327" t="s">
        <v>818</v>
      </c>
    </row>
    <row r="50" spans="1:18" s="1292" customFormat="1" ht="13.5" thickBot="1">
      <c r="A50" s="922"/>
      <c r="B50" s="925"/>
      <c r="C50" s="926"/>
      <c r="D50" s="899"/>
      <c r="E50" s="993" t="s">
        <v>697</v>
      </c>
      <c r="F50" s="994">
        <f ca="1">F7</f>
        <v>1240.3</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22</v>
      </c>
      <c r="K51" s="1339" t="s">
        <v>830</v>
      </c>
      <c r="L51" s="1340">
        <f ca="1">ROUND(-PV(INDIRECT("'数据-取费表'!h"&amp;$G$1),J51,(C39-C13*C76),0),0)</f>
        <v>-541131</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v>5.5E-2</v>
      </c>
      <c r="O52" s="1334" t="s">
        <v>408</v>
      </c>
      <c r="P52" s="1326" t="s">
        <v>834</v>
      </c>
      <c r="Q52" s="1327">
        <f ca="1">J53</f>
        <v>13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13</v>
      </c>
      <c r="K53" s="3356" t="s">
        <v>837</v>
      </c>
      <c r="L53" s="3357"/>
      <c r="O53" s="1325" t="s">
        <v>409</v>
      </c>
      <c r="P53" s="1326" t="s">
        <v>838</v>
      </c>
      <c r="Q53" s="1327">
        <f ca="1">Q47+Q48</f>
        <v>4245396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0.19600000000000001</v>
      </c>
      <c r="K55" s="1350" t="s">
        <v>841</v>
      </c>
      <c r="L55" s="1351" t="s">
        <v>3435</v>
      </c>
      <c r="O55" s="1318" t="s">
        <v>811</v>
      </c>
      <c r="P55" s="1319" t="s">
        <v>812</v>
      </c>
      <c r="Q55" s="1320" t="s">
        <v>813</v>
      </c>
      <c r="R55" s="1320" t="s">
        <v>814</v>
      </c>
    </row>
    <row r="56" spans="1:18" s="1292" customFormat="1" ht="36" customHeight="1" thickTop="1" thickBot="1">
      <c r="A56" s="903">
        <v>2</v>
      </c>
      <c r="B56" s="904" t="s">
        <v>704</v>
      </c>
      <c r="C56" s="224">
        <f ca="1">C13</f>
        <v>5119962</v>
      </c>
      <c r="D56" s="1352"/>
      <c r="E56" s="1353"/>
      <c r="F56" s="1345"/>
      <c r="I56" s="1354" t="s">
        <v>842</v>
      </c>
      <c r="J56" s="1355" t="s">
        <v>3420</v>
      </c>
      <c r="K56" s="1328" t="s">
        <v>843</v>
      </c>
      <c r="L56" s="1331" t="str">
        <f ca="1">IF(L48&lt;J51,"——",L48-J51)</f>
        <v>——</v>
      </c>
      <c r="O56" s="1325" t="s">
        <v>403</v>
      </c>
      <c r="P56" s="1326" t="s">
        <v>817</v>
      </c>
      <c r="Q56" s="1327">
        <f ca="1">C40+J29</f>
        <v>3102732</v>
      </c>
      <c r="R56" s="1327" t="s">
        <v>818</v>
      </c>
    </row>
    <row r="57" spans="1:18" s="1292" customFormat="1" ht="24.75" thickBot="1">
      <c r="A57" s="1356"/>
      <c r="B57" s="896" t="s">
        <v>767</v>
      </c>
      <c r="C57" s="230">
        <f ca="1">C29</f>
        <v>7314231</v>
      </c>
      <c r="D57" s="1357"/>
      <c r="E57" s="1358"/>
      <c r="F57" s="1359"/>
      <c r="I57" s="1360" t="s">
        <v>844</v>
      </c>
      <c r="J57" s="1361">
        <f ca="1">IF(OR(M47="住宅",J51&lt;L48,J56="是"),"——",J51-L48)</f>
        <v>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20570</v>
      </c>
      <c r="D58" s="906" t="s">
        <v>715</v>
      </c>
      <c r="E58" s="907"/>
      <c r="F58" s="908"/>
      <c r="I58" s="1360" t="s">
        <v>848</v>
      </c>
      <c r="J58" s="1362">
        <f ca="1">IF(J55&lt;0.4,0.4,J55)</f>
        <v>0.4</v>
      </c>
      <c r="K58" s="1339" t="s">
        <v>895</v>
      </c>
      <c r="L58" s="1331">
        <f ca="1">ROUND(POWER(1+L52,L47-L48)*(POWER(1+L52,L48)-1)/(POWER(1+L52,L47)-1),4)</f>
        <v>0.56820000000000004</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822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2925692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0.78420000000000001</v>
      </c>
      <c r="M59" s="1289">
        <f ca="1">ROUND(POWER(1+L52,L47-(J51+'数据-取费表'!B24))*(POWER(1+L52,(J51+'数据-取费表'!B24))-1)/(POWER(1+L52,L47)-1),4)</f>
        <v>0.78420000000000001</v>
      </c>
      <c r="N59" s="1289">
        <f ca="1">ROUND(POWER(1+L52,L47-(J51+'数据-取费表'!B20))*(POWER(1+L52,(J51+'数据-取费表'!B20))-1)/(POWER(1+L52,L47)-1),4)</f>
        <v>0.8024</v>
      </c>
      <c r="O59" s="1334" t="s">
        <v>406</v>
      </c>
      <c r="P59" s="1326" t="s">
        <v>852</v>
      </c>
      <c r="Q59" s="1337">
        <f>L52</f>
        <v>5.5E-2</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1142664</v>
      </c>
      <c r="K60" s="1365" t="s">
        <v>854</v>
      </c>
      <c r="L60" s="1364">
        <f ca="1">IF(OR(M47="住宅",L48&lt;J51),0,ROUND(L57*(L58/L59-1),0))</f>
        <v>0</v>
      </c>
      <c r="O60" s="1334" t="s">
        <v>407</v>
      </c>
      <c r="P60" s="1326" t="s">
        <v>855</v>
      </c>
      <c r="Q60" s="1327">
        <f ca="1">L58</f>
        <v>0.56820000000000004</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f ca="1">L59</f>
        <v>0.78420000000000001</v>
      </c>
      <c r="R61" s="1327" t="s">
        <v>857</v>
      </c>
    </row>
    <row r="62" spans="1:18" s="1292" customFormat="1" ht="13.5" thickBot="1">
      <c r="A62" s="928" t="s">
        <v>784</v>
      </c>
      <c r="B62" s="895" t="s">
        <v>785</v>
      </c>
      <c r="C62" s="22">
        <f ca="1">IF(项目基本情况!B11="自然人","——",ROUND(F62*F63,0))</f>
        <v>822</v>
      </c>
      <c r="D62" s="911" t="s">
        <v>786</v>
      </c>
      <c r="E62" s="896" t="s">
        <v>787</v>
      </c>
      <c r="F62" s="317">
        <f t="shared" si="0"/>
        <v>1.5</v>
      </c>
      <c r="I62" s="1367" t="s">
        <v>858</v>
      </c>
      <c r="J62" s="610" t="s">
        <v>859</v>
      </c>
      <c r="K62" s="610" t="s">
        <v>860</v>
      </c>
      <c r="L62" s="610" t="s">
        <v>861</v>
      </c>
      <c r="M62" s="1368" t="s">
        <v>862</v>
      </c>
      <c r="O62" s="1325" t="s">
        <v>409</v>
      </c>
      <c r="P62" s="1326" t="s">
        <v>863</v>
      </c>
      <c r="Q62" s="1327">
        <f ca="1">Q56+Q57</f>
        <v>3102732</v>
      </c>
      <c r="R62" s="1327" t="s">
        <v>410</v>
      </c>
    </row>
    <row r="63" spans="1:18" s="1292" customFormat="1" ht="13.5" thickBot="1">
      <c r="A63" s="318"/>
      <c r="B63" s="902"/>
      <c r="C63" s="26"/>
      <c r="D63" s="912"/>
      <c r="E63" s="896" t="s">
        <v>788</v>
      </c>
      <c r="F63" s="295">
        <f t="shared" ca="1" si="0"/>
        <v>548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14628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5120</v>
      </c>
      <c r="D65" s="910" t="s">
        <v>743</v>
      </c>
      <c r="E65" s="896" t="s">
        <v>744</v>
      </c>
      <c r="F65" s="321">
        <f t="shared" ca="1" si="0"/>
        <v>1E-3</v>
      </c>
      <c r="I65" s="1367" t="s">
        <v>867</v>
      </c>
      <c r="J65" s="610">
        <v>40</v>
      </c>
      <c r="K65" s="610">
        <v>30</v>
      </c>
      <c r="L65" s="610">
        <v>50</v>
      </c>
      <c r="M65" s="1369">
        <v>0.02</v>
      </c>
      <c r="O65" s="1325" t="s">
        <v>403</v>
      </c>
      <c r="P65" s="1326" t="s">
        <v>868</v>
      </c>
      <c r="Q65" s="1327">
        <f ca="1">C40+J29</f>
        <v>3102732</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-20570</v>
      </c>
      <c r="D67" s="909" t="s">
        <v>753</v>
      </c>
      <c r="E67" s="914"/>
      <c r="F67" s="915"/>
      <c r="O67" s="1334" t="s">
        <v>405</v>
      </c>
      <c r="P67" s="1326" t="s">
        <v>850</v>
      </c>
      <c r="Q67" s="1370">
        <f ca="1">L51</f>
        <v>-541131</v>
      </c>
      <c r="R67" s="1327" t="s">
        <v>870</v>
      </c>
    </row>
    <row r="68" spans="1:18" s="1292" customFormat="1" ht="16.5" thickBot="1">
      <c r="A68" s="893" t="s">
        <v>395</v>
      </c>
      <c r="B68" s="894" t="s">
        <v>774</v>
      </c>
      <c r="C68" s="293">
        <f ca="1">ROUND(C67*(1-((1+F70)/(1+F68))^F69)/(F68-F70),0)</f>
        <v>-182100</v>
      </c>
      <c r="D68" s="911" t="s">
        <v>758</v>
      </c>
      <c r="E68" s="896" t="s">
        <v>759</v>
      </c>
      <c r="F68" s="304">
        <f ca="1">F40</f>
        <v>0.06</v>
      </c>
      <c r="O68" s="1334" t="s">
        <v>406</v>
      </c>
      <c r="P68" s="1371" t="s">
        <v>871</v>
      </c>
      <c r="Q68" s="1327">
        <f ca="1">ROUND(Q69-Q70*Q71,0)</f>
        <v>-43004</v>
      </c>
      <c r="R68" s="1327" t="s">
        <v>414</v>
      </c>
    </row>
    <row r="69" spans="1:18" s="1292" customFormat="1" ht="13.5" thickBot="1">
      <c r="A69" s="897"/>
      <c r="B69" s="898"/>
      <c r="C69" s="298"/>
      <c r="D69" s="916" t="s">
        <v>762</v>
      </c>
      <c r="E69" s="896" t="s">
        <v>763</v>
      </c>
      <c r="F69" s="324">
        <f ca="1">F41</f>
        <v>13</v>
      </c>
      <c r="O69" s="1334" t="s">
        <v>411</v>
      </c>
      <c r="P69" s="1371" t="s">
        <v>872</v>
      </c>
      <c r="Q69" s="1327">
        <f ca="1">C39</f>
        <v>315393</v>
      </c>
      <c r="R69" s="1327" t="s">
        <v>818</v>
      </c>
    </row>
    <row r="70" spans="1:18" s="1292" customFormat="1" ht="13.5" thickBot="1">
      <c r="A70" s="900"/>
      <c r="B70" s="901"/>
      <c r="C70" s="302"/>
      <c r="D70" s="912"/>
      <c r="E70" s="896" t="s">
        <v>766</v>
      </c>
      <c r="F70" s="991"/>
      <c r="O70" s="1334" t="s">
        <v>412</v>
      </c>
      <c r="P70" s="1371" t="s">
        <v>873</v>
      </c>
      <c r="Q70" s="1327">
        <f ca="1">C13</f>
        <v>5119962</v>
      </c>
      <c r="R70" s="1327" t="s">
        <v>818</v>
      </c>
    </row>
    <row r="71" spans="1:18" s="1292" customFormat="1" ht="13.5" thickBot="1">
      <c r="A71" s="917" t="s">
        <v>396</v>
      </c>
      <c r="B71" s="918" t="s">
        <v>776</v>
      </c>
      <c r="C71" s="327">
        <f ca="1">ROUND(C68/F71,0)</f>
        <v>-147</v>
      </c>
      <c r="D71" s="919" t="s">
        <v>777</v>
      </c>
      <c r="E71" s="920" t="s">
        <v>778</v>
      </c>
      <c r="F71" s="330">
        <f ca="1">F43</f>
        <v>1240.3</v>
      </c>
      <c r="O71" s="1334" t="s">
        <v>413</v>
      </c>
      <c r="P71" s="1371" t="s">
        <v>874</v>
      </c>
      <c r="Q71" s="1337">
        <f ca="1">C76</f>
        <v>7.0000000000000007E-2</v>
      </c>
      <c r="R71" s="1327"/>
    </row>
    <row r="72" spans="1:18" s="1292" customFormat="1" ht="13.5" thickBot="1">
      <c r="B72" s="685"/>
      <c r="C72" s="685"/>
      <c r="O72" s="1334" t="s">
        <v>407</v>
      </c>
      <c r="P72" s="1326" t="s">
        <v>852</v>
      </c>
      <c r="Q72" s="1337">
        <f>L52</f>
        <v>5.5E-2</v>
      </c>
      <c r="R72" s="1327"/>
    </row>
    <row r="73" spans="1:18" ht="16.5" thickBot="1">
      <c r="A73" s="1292"/>
      <c r="B73" s="685"/>
      <c r="C73" s="685"/>
      <c r="D73" s="1292"/>
      <c r="E73" s="1292"/>
      <c r="F73" s="1292"/>
      <c r="O73" s="1334" t="s">
        <v>408</v>
      </c>
      <c r="P73" s="1326" t="s">
        <v>855</v>
      </c>
      <c r="Q73" s="1327">
        <f ca="1">L58</f>
        <v>0.56820000000000004</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0.78420000000000001</v>
      </c>
      <c r="R74" s="1327" t="s">
        <v>857</v>
      </c>
    </row>
    <row r="75" spans="1:18" ht="13.5" thickBot="1">
      <c r="A75" s="1292"/>
      <c r="B75" s="331" t="s">
        <v>795</v>
      </c>
      <c r="C75" s="332">
        <f ca="1">ROUND(C13*C76,0)</f>
        <v>358397</v>
      </c>
      <c r="D75" s="1292"/>
      <c r="E75" s="1292"/>
      <c r="F75" s="1292"/>
      <c r="K75" s="1309"/>
      <c r="L75" s="1292"/>
      <c r="O75" s="1325" t="s">
        <v>409</v>
      </c>
      <c r="P75" s="1326" t="s">
        <v>838</v>
      </c>
      <c r="Q75" s="1327">
        <f ca="1">Q65+Q66</f>
        <v>3102732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-0.1359999999999999</v>
      </c>
    </row>
    <row r="80" spans="1:18">
      <c r="B80" s="331" t="s">
        <v>800</v>
      </c>
      <c r="C80" s="266">
        <f ca="1">ROUND(C75/C39,3)</f>
        <v>1.1359999999999999</v>
      </c>
    </row>
    <row r="81" spans="2:3">
      <c r="B81" s="262" t="s">
        <v>801</v>
      </c>
      <c r="C81" s="230"/>
    </row>
    <row r="82" spans="2:3">
      <c r="B82" s="265" t="s">
        <v>802</v>
      </c>
      <c r="C82" s="267">
        <f ca="1">1-C83</f>
        <v>-0.64999999999999991</v>
      </c>
    </row>
    <row r="83" spans="2:3">
      <c r="B83" s="265" t="s">
        <v>803</v>
      </c>
      <c r="C83" s="266">
        <f ca="1">ROUND(C13/C40,3)</f>
        <v>1.65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Normal="100" workbookViewId="0">
      <selection activeCell="H12" sqref="H1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2425</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f ca="1">IF(D2="——",C40,C40+E2)</f>
        <v>313.2396</v>
      </c>
      <c r="C2" s="2596" t="s">
        <v>2307</v>
      </c>
      <c r="D2" s="3139" t="s">
        <v>3440</v>
      </c>
      <c r="E2" s="3140">
        <f ca="1">ROUND('收益法 (元)'!L46/10000,4)</f>
        <v>114.2664</v>
      </c>
      <c r="F2" s="2598"/>
      <c r="G2" s="2599"/>
      <c r="H2" s="2600"/>
      <c r="I2" s="2601"/>
      <c r="J2" s="3386" t="s">
        <v>2308</v>
      </c>
      <c r="K2" s="3387"/>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f ca="1">ROUND(B2*10000/B4,0)</f>
        <v>2526</v>
      </c>
      <c r="C3" s="2596" t="s">
        <v>2317</v>
      </c>
      <c r="D3" s="2596"/>
      <c r="E3" s="2597"/>
      <c r="F3" s="2598"/>
      <c r="G3" s="2599"/>
      <c r="H3" s="2600"/>
      <c r="I3" s="2601"/>
      <c r="J3" s="3388" t="s">
        <v>2318</v>
      </c>
      <c r="K3" s="3389"/>
      <c r="L3" s="2608"/>
      <c r="M3" s="2608"/>
      <c r="N3" s="2608"/>
      <c r="O3" s="2608"/>
      <c r="P3" s="2608"/>
      <c r="Q3" s="2609"/>
      <c r="R3" s="2610">
        <f>SUM(L3:Q3)</f>
        <v>0</v>
      </c>
      <c r="S3" s="2593"/>
      <c r="T3" s="2593"/>
      <c r="U3" s="2593"/>
      <c r="V3" s="2601"/>
    </row>
    <row r="4" spans="1:22" s="2605" customFormat="1" ht="13.15" customHeight="1">
      <c r="A4" s="2611" t="s">
        <v>2319</v>
      </c>
      <c r="B4" s="2612">
        <f>'数据-汇总表'!F19</f>
        <v>1240.3</v>
      </c>
      <c r="C4" s="2596"/>
      <c r="D4" s="2596"/>
      <c r="E4" s="2597"/>
      <c r="F4" s="2598"/>
      <c r="G4" s="2599"/>
      <c r="H4" s="2600"/>
      <c r="I4" s="2601"/>
      <c r="J4" s="3388" t="s">
        <v>2320</v>
      </c>
      <c r="K4" s="3389"/>
      <c r="L4" s="2613"/>
      <c r="M4" s="2613"/>
      <c r="N4" s="2613"/>
      <c r="O4" s="2613"/>
      <c r="P4" s="2613"/>
      <c r="Q4" s="2614"/>
      <c r="R4" s="2615">
        <f>SUM(L4:Q4)</f>
        <v>0</v>
      </c>
      <c r="S4" s="2593"/>
      <c r="T4" s="2593"/>
      <c r="U4" s="2593"/>
      <c r="V4" s="2601"/>
    </row>
    <row r="5" spans="1:22" s="2605" customFormat="1" ht="13.15" customHeight="1" thickBot="1">
      <c r="A5" s="2616" t="s">
        <v>2321</v>
      </c>
      <c r="B5" s="2617">
        <f>'数据-汇总表'!D3</f>
        <v>548</v>
      </c>
      <c r="C5" s="2596"/>
      <c r="D5" s="2618"/>
      <c r="E5" s="2598"/>
      <c r="F5" s="2598"/>
      <c r="G5" s="2599"/>
      <c r="H5" s="2600"/>
      <c r="I5" s="2601"/>
      <c r="J5" s="2619" t="s">
        <v>2322</v>
      </c>
      <c r="K5" s="2620"/>
      <c r="L5" s="2620"/>
      <c r="M5" s="2621"/>
      <c r="N5" s="2621"/>
      <c r="O5" s="2621"/>
      <c r="P5" s="2621"/>
      <c r="Q5" s="2621"/>
      <c r="R5" s="2604">
        <f>SUM(R14,R19,R24,R25,R27,R28)</f>
        <v>444570</v>
      </c>
      <c r="S5" s="2593"/>
      <c r="T5" s="2593" t="s">
        <v>2323</v>
      </c>
      <c r="U5" s="2593" t="e">
        <f>ROUND(R5*10000/365/R3,1)</f>
        <v>#DIV/0!</v>
      </c>
      <c r="V5" s="2601"/>
    </row>
    <row r="6" spans="1:22" s="2605" customFormat="1" ht="13.15" customHeight="1" thickBot="1">
      <c r="A6" s="3394" t="s">
        <v>2324</v>
      </c>
      <c r="B6" s="3395"/>
      <c r="C6" s="3396"/>
      <c r="D6" s="2622">
        <f>R5</f>
        <v>444570</v>
      </c>
      <c r="E6" s="2623"/>
      <c r="F6" s="2624"/>
      <c r="G6" s="2625"/>
      <c r="H6" s="2600"/>
      <c r="I6" s="2601"/>
      <c r="J6" s="3380">
        <v>1</v>
      </c>
      <c r="K6" s="3381"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 ca="1">SUM(D9,D10,D11,D17,0)</f>
        <v>220085</v>
      </c>
      <c r="E7" s="2632">
        <f ca="1">E9+E10+E11+E17</f>
        <v>0.49504914861551613</v>
      </c>
      <c r="F7" s="2633"/>
      <c r="G7" s="2634"/>
      <c r="H7" s="2600"/>
      <c r="I7" s="2601"/>
      <c r="J7" s="3380"/>
      <c r="K7" s="3382"/>
      <c r="L7" s="2635" t="s">
        <v>2335</v>
      </c>
      <c r="M7" s="2636">
        <v>8</v>
      </c>
      <c r="N7" s="2612">
        <v>350</v>
      </c>
      <c r="O7" s="2637">
        <v>1</v>
      </c>
      <c r="P7" s="2637">
        <v>0.3</v>
      </c>
      <c r="Q7" s="2638">
        <v>365</v>
      </c>
      <c r="R7" s="2639">
        <f>ROUND(M7*N7*O7*P7*Q7,0)</f>
        <v>306600</v>
      </c>
      <c r="S7" s="2593"/>
      <c r="T7" s="2593" t="s">
        <v>2336</v>
      </c>
      <c r="U7" s="2593"/>
      <c r="V7" s="2601"/>
    </row>
    <row r="8" spans="1:22" s="2605" customFormat="1" ht="13.15" customHeight="1">
      <c r="A8" s="2640" t="s">
        <v>2337</v>
      </c>
      <c r="B8" s="3397" t="s">
        <v>2338</v>
      </c>
      <c r="C8" s="3398"/>
      <c r="D8" s="2641" t="s">
        <v>2339</v>
      </c>
      <c r="E8" s="2642" t="s">
        <v>2340</v>
      </c>
      <c r="F8" s="2643" t="s">
        <v>2341</v>
      </c>
      <c r="G8" s="2644"/>
      <c r="H8" s="2600"/>
      <c r="I8" s="2601"/>
      <c r="J8" s="3380"/>
      <c r="K8" s="3382"/>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97" t="s">
        <v>2344</v>
      </c>
      <c r="C9" s="3398"/>
      <c r="D9" s="2641">
        <f>ROUND(D6*E9,0)</f>
        <v>66686</v>
      </c>
      <c r="E9" s="2645">
        <v>0.15</v>
      </c>
      <c r="F9" s="2646" t="s">
        <v>2345</v>
      </c>
      <c r="G9" s="2625"/>
      <c r="H9" s="2600"/>
      <c r="I9" s="2601"/>
      <c r="J9" s="3380"/>
      <c r="K9" s="3382"/>
      <c r="L9" s="2635" t="s">
        <v>2346</v>
      </c>
      <c r="M9" s="2636"/>
      <c r="N9" s="2612"/>
      <c r="O9" s="2637"/>
      <c r="P9" s="2637"/>
      <c r="Q9" s="2638">
        <v>365</v>
      </c>
      <c r="R9" s="2639">
        <f t="shared" si="0"/>
        <v>0</v>
      </c>
      <c r="S9" s="2593"/>
      <c r="T9" s="2593"/>
      <c r="U9" s="2593"/>
      <c r="V9" s="2601"/>
    </row>
    <row r="10" spans="1:22" s="2605" customFormat="1" ht="13.15" customHeight="1">
      <c r="A10" s="2640">
        <v>2</v>
      </c>
      <c r="B10" s="3397" t="s">
        <v>2347</v>
      </c>
      <c r="C10" s="3398"/>
      <c r="D10" s="2641">
        <f>ROUND(D6*E10,0)</f>
        <v>44457</v>
      </c>
      <c r="E10" s="2645">
        <v>0.1</v>
      </c>
      <c r="F10" s="2646" t="s">
        <v>2348</v>
      </c>
      <c r="G10" s="2625"/>
      <c r="H10" s="2600"/>
      <c r="I10" s="2601"/>
      <c r="J10" s="3380"/>
      <c r="K10" s="3382"/>
      <c r="L10" s="2635" t="s">
        <v>2349</v>
      </c>
      <c r="M10" s="2636"/>
      <c r="N10" s="2612"/>
      <c r="O10" s="2637"/>
      <c r="P10" s="2637"/>
      <c r="Q10" s="2638">
        <v>365</v>
      </c>
      <c r="R10" s="2639">
        <f t="shared" si="0"/>
        <v>0</v>
      </c>
      <c r="S10" s="2593"/>
      <c r="T10" s="2593"/>
      <c r="U10" s="2593"/>
      <c r="V10" s="2601"/>
    </row>
    <row r="11" spans="1:22" s="2605" customFormat="1" ht="13.15" customHeight="1">
      <c r="A11" s="2640">
        <v>3</v>
      </c>
      <c r="B11" s="3397" t="s">
        <v>2350</v>
      </c>
      <c r="C11" s="3398"/>
      <c r="D11" s="2641">
        <f ca="1">D12+D14+D15+D16</f>
        <v>86713</v>
      </c>
      <c r="E11" s="2647">
        <f ca="1">D11/D6</f>
        <v>0.19504914861551612</v>
      </c>
      <c r="F11" s="2643"/>
      <c r="G11" s="2644"/>
      <c r="H11" s="2600"/>
      <c r="I11" s="2601"/>
      <c r="J11" s="3380"/>
      <c r="K11" s="3382"/>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90" t="s">
        <v>2353</v>
      </c>
      <c r="C12" s="3391"/>
      <c r="D12" s="2649">
        <f ca="1">ROUND(D13*1.2%*(1-30%),0)</f>
        <v>61440</v>
      </c>
      <c r="E12" s="2650">
        <v>1.2E-2</v>
      </c>
      <c r="F12" s="2643" t="s">
        <v>2354</v>
      </c>
      <c r="G12" s="2644"/>
      <c r="H12" s="2600"/>
      <c r="I12" s="2601"/>
      <c r="J12" s="3380"/>
      <c r="K12" s="3382"/>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f ca="1">'收益法 (元)'!C29</f>
        <v>7314231</v>
      </c>
      <c r="E13" s="2654"/>
      <c r="F13" s="2643"/>
      <c r="G13" s="2644"/>
      <c r="H13" s="2600"/>
      <c r="I13" s="2601"/>
      <c r="J13" s="3380"/>
      <c r="K13" s="3382"/>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90" t="s">
        <v>2359</v>
      </c>
      <c r="C14" s="3391"/>
      <c r="D14" s="2649">
        <f>ROUND(E14*B5,0)</f>
        <v>822</v>
      </c>
      <c r="E14" s="3512">
        <f>'数据-取费表'!B59</f>
        <v>1.5</v>
      </c>
      <c r="F14" s="2643" t="s">
        <v>2360</v>
      </c>
      <c r="G14" s="2644"/>
      <c r="H14" s="2600"/>
      <c r="I14" s="2601"/>
      <c r="J14" s="3380"/>
      <c r="K14" s="3383"/>
      <c r="L14" s="2655" t="s">
        <v>2361</v>
      </c>
      <c r="M14" s="2656">
        <f>SUM(M7:M13)</f>
        <v>8</v>
      </c>
      <c r="N14" s="2656">
        <f>ROUND((N7*M7+N8*M8+N9*M9+N10*M10+N11*M11+N12*M12+N13*M13)/M14,0)</f>
        <v>350</v>
      </c>
      <c r="O14" s="2657"/>
      <c r="P14" s="2657"/>
      <c r="Q14" s="2658"/>
      <c r="R14" s="2604">
        <f>SUM(R7:R13)</f>
        <v>306600</v>
      </c>
      <c r="S14" s="2593"/>
      <c r="T14" s="2593"/>
      <c r="U14" s="2593"/>
      <c r="V14" s="2601"/>
    </row>
    <row r="15" spans="1:22" s="2605" customFormat="1" ht="13.15" customHeight="1">
      <c r="A15" s="2648" t="s">
        <v>2362</v>
      </c>
      <c r="B15" s="3390" t="s">
        <v>2363</v>
      </c>
      <c r="C15" s="3391"/>
      <c r="D15" s="2649">
        <f>ROUND(D6*E15,0)</f>
        <v>24451</v>
      </c>
      <c r="E15" s="2650">
        <v>5.5E-2</v>
      </c>
      <c r="F15" s="2643" t="s">
        <v>2364</v>
      </c>
      <c r="G15" s="2625"/>
      <c r="H15" s="2600"/>
      <c r="I15" s="2601"/>
      <c r="J15" s="3380">
        <v>2</v>
      </c>
      <c r="K15" s="3381"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90" t="s">
        <v>2372</v>
      </c>
      <c r="C16" s="3391"/>
      <c r="D16" s="2660">
        <f>D6*E16</f>
        <v>0</v>
      </c>
      <c r="E16" s="2661"/>
      <c r="F16" s="2646" t="s">
        <v>2373</v>
      </c>
      <c r="G16" s="2625"/>
      <c r="H16" s="2600"/>
      <c r="I16" s="2601"/>
      <c r="J16" s="3380"/>
      <c r="K16" s="3382"/>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92" t="s">
        <v>2375</v>
      </c>
      <c r="C17" s="3393"/>
      <c r="D17" s="2663">
        <f>ROUND(D6*E17,0)</f>
        <v>22229</v>
      </c>
      <c r="E17" s="2664">
        <v>0.05</v>
      </c>
      <c r="F17" s="2665" t="s">
        <v>2376</v>
      </c>
      <c r="G17" s="2625"/>
      <c r="H17" s="2600"/>
      <c r="I17" s="2601"/>
      <c r="J17" s="3380"/>
      <c r="K17" s="3382"/>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22229</v>
      </c>
      <c r="E18" s="2667">
        <v>0.05</v>
      </c>
      <c r="F18" s="2668" t="s">
        <v>2379</v>
      </c>
      <c r="G18" s="2625"/>
      <c r="H18" s="2600"/>
      <c r="I18" s="2601"/>
      <c r="J18" s="3380"/>
      <c r="K18" s="3382"/>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80"/>
      <c r="K19" s="3383"/>
      <c r="L19" s="2655" t="s">
        <v>2361</v>
      </c>
      <c r="M19" s="2656"/>
      <c r="N19" s="2656">
        <f>SUM(N16:N18)</f>
        <v>0</v>
      </c>
      <c r="O19" s="2657"/>
      <c r="P19" s="2670" t="s">
        <v>3434</v>
      </c>
      <c r="Q19" s="2637">
        <v>0.4</v>
      </c>
      <c r="R19" s="2671">
        <f>ROUND(IF(P19="按比例",R14*Q19,SUM(R16:R18)),0)</f>
        <v>122640</v>
      </c>
      <c r="S19" s="2593"/>
      <c r="T19" s="2593"/>
      <c r="U19" s="2593"/>
      <c r="V19" s="2601"/>
    </row>
    <row r="20" spans="1:22" s="2605" customFormat="1" ht="13.15" customHeight="1">
      <c r="A20" s="2628"/>
      <c r="B20" s="2629"/>
      <c r="C20" s="2629"/>
      <c r="D20" s="2629"/>
      <c r="E20" s="2629"/>
      <c r="F20" s="2672"/>
      <c r="G20" s="2644"/>
      <c r="H20" s="2600"/>
      <c r="I20" s="2601"/>
      <c r="J20" s="3380">
        <v>3</v>
      </c>
      <c r="K20" s="3381"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80"/>
      <c r="K21" s="3382"/>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80"/>
      <c r="K22" s="3382"/>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444570</v>
      </c>
      <c r="D23" s="2684">
        <f>C23*(1+D24)</f>
        <v>444570</v>
      </c>
      <c r="E23" s="2685">
        <f>D23*(1+E24)</f>
        <v>444570</v>
      </c>
      <c r="F23" s="2686"/>
      <c r="G23" s="2687"/>
      <c r="H23" s="2600"/>
      <c r="I23" s="2601"/>
      <c r="J23" s="3380"/>
      <c r="K23" s="3382"/>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80"/>
      <c r="K24" s="3383"/>
      <c r="L24" s="2655" t="s">
        <v>2361</v>
      </c>
      <c r="M24" s="2656">
        <f>SUM(M21:M23)</f>
        <v>0</v>
      </c>
      <c r="N24" s="2656"/>
      <c r="O24" s="2657"/>
      <c r="P24" s="2670" t="s">
        <v>3434</v>
      </c>
      <c r="Q24" s="2637">
        <v>0.05</v>
      </c>
      <c r="R24" s="2671">
        <f>ROUND(IF(P24="按比例",R14*Q24,SUM(R21:R23)),0)</f>
        <v>15330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 ca="1">D7</f>
        <v>220085</v>
      </c>
      <c r="D26" s="2684">
        <f>D23*D27</f>
        <v>0</v>
      </c>
      <c r="E26" s="2685">
        <f>E23*E27</f>
        <v>0</v>
      </c>
      <c r="F26" s="2686"/>
      <c r="G26" s="2687"/>
      <c r="H26" s="2600"/>
      <c r="I26" s="2601"/>
      <c r="J26" s="3384">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f ca="1">E7</f>
        <v>0.49504914861551613</v>
      </c>
      <c r="D27" s="2691"/>
      <c r="E27" s="2692"/>
      <c r="F27" s="2693"/>
      <c r="G27" s="2687"/>
      <c r="H27" s="2707"/>
      <c r="I27" s="2699"/>
      <c r="J27" s="338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22228.5</v>
      </c>
      <c r="D29" s="2684">
        <f>D23*C30</f>
        <v>22228.5</v>
      </c>
      <c r="E29" s="2685">
        <f>E23*C30</f>
        <v>22228.5</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0.05</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 ca="1">C23-C26-C29</f>
        <v>202256.5</v>
      </c>
      <c r="D32" s="2684">
        <f>D23-D26-D29</f>
        <v>422341.5</v>
      </c>
      <c r="E32" s="2685">
        <f>E23-E26-E29</f>
        <v>422341.5</v>
      </c>
      <c r="F32" s="2686"/>
      <c r="G32" s="2593"/>
      <c r="H32" s="2600"/>
      <c r="I32" s="2601"/>
      <c r="J32" s="3386" t="s">
        <v>2308</v>
      </c>
      <c r="K32" s="3387"/>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88" t="s">
        <v>2318</v>
      </c>
      <c r="K33" s="3389"/>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v>0.06</v>
      </c>
      <c r="D34" s="2727">
        <f>C34</f>
        <v>0.06</v>
      </c>
      <c r="E34" s="2728">
        <f>D34</f>
        <v>0.06</v>
      </c>
      <c r="F34" s="2686"/>
      <c r="G34" s="2593"/>
      <c r="H34" s="2707"/>
      <c r="I34" s="2699"/>
      <c r="J34" s="3388" t="s">
        <v>2320</v>
      </c>
      <c r="K34" s="338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v>0.02</v>
      </c>
      <c r="D35" s="2731">
        <v>0</v>
      </c>
      <c r="E35" s="2732">
        <v>0</v>
      </c>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f ca="1">'收益法 (元)'!F41</f>
        <v>13</v>
      </c>
      <c r="D36" s="2737">
        <v>0</v>
      </c>
      <c r="E36" s="2738">
        <v>0</v>
      </c>
      <c r="F36" s="2739">
        <f ca="1">C36+D36+E36</f>
        <v>13</v>
      </c>
      <c r="G36" s="2593"/>
      <c r="H36" s="2600"/>
      <c r="I36" s="2601"/>
      <c r="J36" s="3380">
        <v>1</v>
      </c>
      <c r="K36" s="3381"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80"/>
      <c r="K37" s="3382"/>
      <c r="L37" s="2635"/>
      <c r="M37" s="2636"/>
      <c r="N37" s="2612"/>
      <c r="O37" s="2637"/>
      <c r="P37" s="2637"/>
      <c r="Q37" s="2638"/>
      <c r="R37" s="2639"/>
      <c r="S37" s="2593"/>
      <c r="T37" s="2593" t="s">
        <v>2336</v>
      </c>
      <c r="U37" s="2593"/>
      <c r="V37" s="2601"/>
    </row>
    <row r="38" spans="1:23" s="2605" customFormat="1" ht="13.15" customHeight="1">
      <c r="A38" s="2681">
        <v>8</v>
      </c>
      <c r="B38" s="2682"/>
      <c r="C38" s="2641">
        <f ca="1">ROUND(C32*(1-((1+C35)/(1+C34))^C36)/(C34-C35),0)</f>
        <v>1989732</v>
      </c>
      <c r="D38" s="2641">
        <f>IF(D23=0,0,ROUND(D32*(1-((1+D35)/(1+D34))^D36)/(D34-D35),0))</f>
        <v>0</v>
      </c>
      <c r="E38" s="2641">
        <f>IF(E23=0,0,ROUND(E32*(1-((1+E35)/(1+E34))^E36)/(E34-E35),0))</f>
        <v>0</v>
      </c>
      <c r="F38" s="2686"/>
      <c r="G38" s="2593"/>
      <c r="H38" s="2600"/>
      <c r="I38" s="2601"/>
      <c r="J38" s="3380"/>
      <c r="K38" s="3382"/>
      <c r="L38" s="2635"/>
      <c r="M38" s="2636"/>
      <c r="N38" s="2612"/>
      <c r="O38" s="2637"/>
      <c r="P38" s="2637"/>
      <c r="Q38" s="2638"/>
      <c r="R38" s="2639"/>
      <c r="S38" s="2593"/>
      <c r="T38" s="2593" t="s">
        <v>2343</v>
      </c>
      <c r="U38" s="2593"/>
      <c r="V38" s="2601"/>
    </row>
    <row r="39" spans="1:23" s="2605" customFormat="1" ht="13.15" customHeight="1">
      <c r="A39" s="2681">
        <v>9</v>
      </c>
      <c r="B39" s="2682" t="s">
        <v>2421</v>
      </c>
      <c r="C39" s="2649">
        <f ca="1">C38</f>
        <v>1989732</v>
      </c>
      <c r="D39" s="2682">
        <f ca="1">D38/(1+D34)^C36</f>
        <v>0</v>
      </c>
      <c r="E39" s="2682">
        <f ca="1">E38/(1+E34)^(C36+D36)</f>
        <v>0</v>
      </c>
      <c r="F39" s="2686"/>
      <c r="G39" s="2601"/>
      <c r="H39" s="2600"/>
      <c r="I39" s="2601"/>
      <c r="J39" s="3380"/>
      <c r="K39" s="3382"/>
      <c r="L39" s="2635"/>
      <c r="M39" s="2636"/>
      <c r="N39" s="2612"/>
      <c r="O39" s="2637"/>
      <c r="P39" s="2637"/>
      <c r="Q39" s="2638"/>
      <c r="R39" s="2639"/>
      <c r="S39" s="2593"/>
      <c r="T39" s="2593"/>
      <c r="U39" s="2593"/>
      <c r="V39" s="2601"/>
    </row>
    <row r="40" spans="1:23" s="2605" customFormat="1" ht="13.15" customHeight="1">
      <c r="A40" s="2740">
        <v>10</v>
      </c>
      <c r="B40" s="2682" t="s">
        <v>2422</v>
      </c>
      <c r="C40" s="2741">
        <f ca="1">ROUND((C39+D39+E39)/10000,4)</f>
        <v>198.97319999999999</v>
      </c>
      <c r="D40" s="2742"/>
      <c r="E40" s="2742"/>
      <c r="F40" s="2743"/>
      <c r="G40" s="2593"/>
      <c r="H40" s="2600"/>
      <c r="I40" s="2601"/>
      <c r="J40" s="3380"/>
      <c r="K40" s="3383"/>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f ca="1">ROUND(C40*10000/B4,0)</f>
        <v>1604</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4">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8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424.53960000000001</v>
      </c>
      <c r="C2" s="1729" t="s">
        <v>1651</v>
      </c>
      <c r="D2" s="1730" t="s">
        <v>1652</v>
      </c>
      <c r="E2" s="2393">
        <f>SUM(E6:E13)</f>
        <v>1240.3</v>
      </c>
      <c r="F2" s="2480"/>
      <c r="G2" s="459"/>
      <c r="H2" s="459"/>
      <c r="I2" s="459"/>
      <c r="J2" s="459"/>
      <c r="K2" s="459"/>
      <c r="L2" s="459"/>
      <c r="M2" s="459"/>
      <c r="N2" s="459"/>
      <c r="O2" s="459"/>
      <c r="P2" s="459"/>
      <c r="Q2" s="459"/>
      <c r="R2" s="459"/>
      <c r="S2" s="459"/>
    </row>
    <row r="3" spans="1:22" ht="15.75">
      <c r="A3" s="1728" t="s">
        <v>686</v>
      </c>
      <c r="B3" s="2387">
        <f ca="1">ROUND(B2*10000/E2,0)</f>
        <v>3423</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9" t="s">
        <v>1654</v>
      </c>
      <c r="C5" s="3400"/>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424.53960000000001</v>
      </c>
      <c r="C6" s="1729" t="s">
        <v>1651</v>
      </c>
      <c r="D6" s="2480"/>
      <c r="E6" s="2392">
        <f>IF(OR(A6=0,F6="否"),0,'数据-取费表'!K6+'数据-取费表'!S6)</f>
        <v>1240.3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1240.3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9" t="s">
        <v>1667</v>
      </c>
      <c r="D4" s="3420"/>
      <c r="E4" s="3421" t="s">
        <v>1668</v>
      </c>
      <c r="F4" s="3422"/>
      <c r="G4" s="3419" t="s">
        <v>1669</v>
      </c>
      <c r="H4" s="3420"/>
      <c r="I4" s="3419" t="s">
        <v>1670</v>
      </c>
      <c r="J4" s="3420"/>
      <c r="K4" s="1744" t="s">
        <v>1671</v>
      </c>
      <c r="L4" s="2487"/>
      <c r="M4" s="2488"/>
      <c r="N4" s="2488"/>
      <c r="O4" s="2488"/>
      <c r="P4" s="3423" t="s">
        <v>1672</v>
      </c>
      <c r="Q4" s="3424"/>
      <c r="R4" s="3429" t="s">
        <v>1668</v>
      </c>
      <c r="S4" s="3430"/>
      <c r="T4" s="3429" t="s">
        <v>1669</v>
      </c>
      <c r="U4" s="3430"/>
      <c r="V4" s="3405" t="s">
        <v>1670</v>
      </c>
      <c r="W4" s="3405"/>
      <c r="X4" s="1265"/>
      <c r="Y4" s="3429" t="s">
        <v>1672</v>
      </c>
      <c r="Z4" s="3430"/>
      <c r="AA4" s="3416" t="s">
        <v>1668</v>
      </c>
      <c r="AB4" s="3416" t="s">
        <v>1669</v>
      </c>
      <c r="AC4" s="3416" t="s">
        <v>1670</v>
      </c>
    </row>
    <row r="5" spans="1:29" ht="15">
      <c r="A5" s="348"/>
      <c r="B5" s="349"/>
      <c r="C5" s="3437" t="s">
        <v>1673</v>
      </c>
      <c r="D5" s="3438"/>
      <c r="E5" s="3444" t="s">
        <v>1674</v>
      </c>
      <c r="F5" s="3445"/>
      <c r="G5" s="3437" t="s">
        <v>1675</v>
      </c>
      <c r="H5" s="3438"/>
      <c r="I5" s="3437" t="s">
        <v>1676</v>
      </c>
      <c r="J5" s="3438"/>
      <c r="K5" s="1745"/>
      <c r="L5" s="2487"/>
      <c r="M5" s="2488"/>
      <c r="N5" s="2488"/>
      <c r="O5" s="2488"/>
      <c r="P5" s="3425"/>
      <c r="Q5" s="3426"/>
      <c r="R5" s="3431"/>
      <c r="S5" s="3432"/>
      <c r="T5" s="3431"/>
      <c r="U5" s="3432"/>
      <c r="V5" s="3405"/>
      <c r="W5" s="3405"/>
      <c r="X5" s="1265"/>
      <c r="Y5" s="3431"/>
      <c r="Z5" s="3432"/>
      <c r="AA5" s="3417"/>
      <c r="AB5" s="3417"/>
      <c r="AC5" s="3417"/>
    </row>
    <row r="6" spans="1:29" ht="15.75" thickBot="1">
      <c r="A6" s="350"/>
      <c r="B6" s="351"/>
      <c r="C6" s="3435" t="s">
        <v>1677</v>
      </c>
      <c r="D6" s="3436"/>
      <c r="E6" s="3442" t="s">
        <v>1677</v>
      </c>
      <c r="F6" s="3443"/>
      <c r="G6" s="3435" t="s">
        <v>1677</v>
      </c>
      <c r="H6" s="3436"/>
      <c r="I6" s="3435" t="s">
        <v>1677</v>
      </c>
      <c r="J6" s="3436"/>
      <c r="K6" s="1745" t="s">
        <v>1678</v>
      </c>
      <c r="L6" s="2487"/>
      <c r="M6" s="2488"/>
      <c r="N6" s="2488"/>
      <c r="O6" s="2488"/>
      <c r="P6" s="3427"/>
      <c r="Q6" s="3428"/>
      <c r="R6" s="3431"/>
      <c r="S6" s="3432"/>
      <c r="T6" s="3433"/>
      <c r="U6" s="3434"/>
      <c r="V6" s="3405"/>
      <c r="W6" s="3405"/>
      <c r="X6" s="1265"/>
      <c r="Y6" s="3433"/>
      <c r="Z6" s="3434"/>
      <c r="AA6" s="3418"/>
      <c r="AB6" s="3418"/>
      <c r="AC6" s="3418"/>
    </row>
    <row r="7" spans="1:29" s="102" customFormat="1" ht="15.75" thickBot="1">
      <c r="A7" s="352" t="s">
        <v>1679</v>
      </c>
      <c r="B7" s="353"/>
      <c r="C7" s="354">
        <f>'数据-取费表'!B2</f>
        <v>45898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9" t="s">
        <v>1680</v>
      </c>
      <c r="Q7" s="3441"/>
      <c r="R7" s="664" t="s">
        <v>20</v>
      </c>
      <c r="S7" s="665">
        <f t="shared" ref="S7:S15" si="0">F7</f>
        <v>0</v>
      </c>
      <c r="T7" s="664" t="s">
        <v>20</v>
      </c>
      <c r="U7" s="665">
        <f t="shared" ref="U7:U15" si="1">H7</f>
        <v>0</v>
      </c>
      <c r="V7" s="664" t="s">
        <v>20</v>
      </c>
      <c r="W7" s="665">
        <f t="shared" ref="W7:W15" si="2">J7</f>
        <v>0</v>
      </c>
      <c r="X7" s="666"/>
      <c r="Y7" s="3439" t="s">
        <v>1680</v>
      </c>
      <c r="Z7" s="344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9" t="s">
        <v>1683</v>
      </c>
      <c r="Q8" s="3440"/>
      <c r="R8" s="664" t="s">
        <v>20</v>
      </c>
      <c r="S8" s="665">
        <f t="shared" si="0"/>
        <v>100</v>
      </c>
      <c r="T8" s="664" t="s">
        <v>20</v>
      </c>
      <c r="U8" s="665">
        <f t="shared" si="1"/>
        <v>100</v>
      </c>
      <c r="V8" s="664" t="s">
        <v>20</v>
      </c>
      <c r="W8" s="665">
        <f t="shared" si="2"/>
        <v>100</v>
      </c>
      <c r="X8" s="666"/>
      <c r="Y8" s="3439" t="s">
        <v>1683</v>
      </c>
      <c r="Z8" s="344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5"/>
      <c r="Q11" s="530" t="str">
        <f t="shared" si="6"/>
        <v>容积率</v>
      </c>
      <c r="R11" s="664" t="s">
        <v>18</v>
      </c>
      <c r="S11" s="665" t="e">
        <f t="shared" si="0"/>
        <v>#N/A</v>
      </c>
      <c r="T11" s="664" t="s">
        <v>18</v>
      </c>
      <c r="U11" s="665" t="e">
        <f t="shared" si="1"/>
        <v>#N/A</v>
      </c>
      <c r="V11" s="664" t="s">
        <v>18</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5"/>
      <c r="Q12" s="530">
        <f t="shared" si="6"/>
        <v>111</v>
      </c>
      <c r="R12" s="664" t="s">
        <v>18</v>
      </c>
      <c r="S12" s="665">
        <f t="shared" si="0"/>
        <v>100</v>
      </c>
      <c r="T12" s="664" t="s">
        <v>18</v>
      </c>
      <c r="U12" s="665">
        <f t="shared" si="1"/>
        <v>100</v>
      </c>
      <c r="V12" s="664" t="s">
        <v>18</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5"/>
      <c r="Q13" s="530">
        <f t="shared" si="6"/>
        <v>111</v>
      </c>
      <c r="R13" s="664" t="s">
        <v>18</v>
      </c>
      <c r="S13" s="665">
        <f t="shared" si="0"/>
        <v>100</v>
      </c>
      <c r="T13" s="664" t="s">
        <v>18</v>
      </c>
      <c r="U13" s="665">
        <f t="shared" si="1"/>
        <v>100</v>
      </c>
      <c r="V13" s="664" t="s">
        <v>18</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5"/>
      <c r="Q14" s="530">
        <f t="shared" si="6"/>
        <v>111</v>
      </c>
      <c r="R14" s="664" t="s">
        <v>18</v>
      </c>
      <c r="S14" s="665">
        <f t="shared" si="0"/>
        <v>100</v>
      </c>
      <c r="T14" s="664" t="s">
        <v>18</v>
      </c>
      <c r="U14" s="665">
        <f t="shared" si="1"/>
        <v>100</v>
      </c>
      <c r="V14" s="664" t="s">
        <v>18</v>
      </c>
      <c r="W14" s="665">
        <f t="shared" si="2"/>
        <v>100</v>
      </c>
      <c r="X14" s="666"/>
      <c r="Y14" s="326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3" t="s">
        <v>1691</v>
      </c>
      <c r="Q15" s="1263" t="str">
        <f t="shared" si="6"/>
        <v>居住社区成熟度</v>
      </c>
      <c r="R15" s="667" t="s">
        <v>18</v>
      </c>
      <c r="S15" s="668">
        <f t="shared" si="0"/>
        <v>100</v>
      </c>
      <c r="T15" s="667" t="s">
        <v>18</v>
      </c>
      <c r="U15" s="668">
        <f t="shared" si="1"/>
        <v>100</v>
      </c>
      <c r="V15" s="667" t="s">
        <v>18</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4"/>
      <c r="Q16" s="1263"/>
      <c r="R16" s="667"/>
      <c r="S16" s="668"/>
      <c r="T16" s="667"/>
      <c r="U16" s="668"/>
      <c r="V16" s="667"/>
      <c r="W16" s="668"/>
      <c r="X16" s="1265"/>
      <c r="Y16" s="3407"/>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4"/>
      <c r="Q17" s="1263" t="str">
        <f>B17</f>
        <v>交通便捷度</v>
      </c>
      <c r="R17" s="667" t="s">
        <v>18</v>
      </c>
      <c r="S17" s="668">
        <f>F17</f>
        <v>100</v>
      </c>
      <c r="T17" s="667" t="s">
        <v>18</v>
      </c>
      <c r="U17" s="668">
        <f>H17</f>
        <v>100</v>
      </c>
      <c r="V17" s="667" t="s">
        <v>18</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4"/>
      <c r="Q18" s="1263"/>
      <c r="R18" s="667"/>
      <c r="S18" s="668"/>
      <c r="T18" s="667"/>
      <c r="U18" s="668"/>
      <c r="V18" s="667"/>
      <c r="W18" s="668"/>
      <c r="X18" s="1265"/>
      <c r="Y18" s="3407"/>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4"/>
      <c r="Q19" s="1263" t="str">
        <f>B19</f>
        <v>公共配套设施</v>
      </c>
      <c r="R19" s="667" t="s">
        <v>18</v>
      </c>
      <c r="S19" s="668">
        <f>F19</f>
        <v>100</v>
      </c>
      <c r="T19" s="667" t="s">
        <v>18</v>
      </c>
      <c r="U19" s="668">
        <f>H19</f>
        <v>100</v>
      </c>
      <c r="V19" s="667" t="s">
        <v>18</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4"/>
      <c r="Q20" s="1263"/>
      <c r="R20" s="667"/>
      <c r="S20" s="668"/>
      <c r="T20" s="667"/>
      <c r="U20" s="668"/>
      <c r="V20" s="667"/>
      <c r="W20" s="668"/>
      <c r="X20" s="1265"/>
      <c r="Y20" s="3407"/>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4"/>
      <c r="Q22" s="1263"/>
      <c r="R22" s="667"/>
      <c r="S22" s="668"/>
      <c r="T22" s="667"/>
      <c r="U22" s="668"/>
      <c r="V22" s="667"/>
      <c r="W22" s="668"/>
      <c r="X22" s="1265"/>
      <c r="Y22" s="3407"/>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4"/>
      <c r="Q23" s="1263" t="str">
        <f>B23</f>
        <v>自然及人文环境</v>
      </c>
      <c r="R23" s="667" t="s">
        <v>18</v>
      </c>
      <c r="S23" s="668">
        <f>F23</f>
        <v>100</v>
      </c>
      <c r="T23" s="667" t="s">
        <v>18</v>
      </c>
      <c r="U23" s="668">
        <f>H23</f>
        <v>100</v>
      </c>
      <c r="V23" s="667" t="s">
        <v>18</v>
      </c>
      <c r="W23" s="668">
        <f>J23</f>
        <v>100</v>
      </c>
      <c r="X23" s="1265"/>
      <c r="Y23" s="340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4"/>
      <c r="Q24" s="1263"/>
      <c r="R24" s="667"/>
      <c r="S24" s="668"/>
      <c r="T24" s="667"/>
      <c r="U24" s="668"/>
      <c r="V24" s="667"/>
      <c r="W24" s="668"/>
      <c r="X24" s="1265"/>
      <c r="Y24" s="340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4"/>
      <c r="Q26" s="1263" t="str">
        <f t="shared" si="11"/>
        <v>朝向</v>
      </c>
      <c r="R26" s="667" t="s">
        <v>18</v>
      </c>
      <c r="S26" s="668">
        <f t="shared" si="12"/>
        <v>100</v>
      </c>
      <c r="T26" s="667" t="s">
        <v>18</v>
      </c>
      <c r="U26" s="668">
        <f t="shared" si="13"/>
        <v>100</v>
      </c>
      <c r="V26" s="667" t="s">
        <v>18</v>
      </c>
      <c r="W26" s="668">
        <f t="shared" si="14"/>
        <v>100</v>
      </c>
      <c r="X26" s="1265"/>
      <c r="Y26" s="340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4"/>
      <c r="Q27" s="530">
        <f t="shared" si="11"/>
        <v>111</v>
      </c>
      <c r="R27" s="664" t="s">
        <v>18</v>
      </c>
      <c r="S27" s="665">
        <f t="shared" si="12"/>
        <v>100</v>
      </c>
      <c r="T27" s="664" t="s">
        <v>18</v>
      </c>
      <c r="U27" s="665">
        <f t="shared" si="13"/>
        <v>100</v>
      </c>
      <c r="V27" s="664" t="s">
        <v>18</v>
      </c>
      <c r="W27" s="665">
        <f t="shared" si="14"/>
        <v>100</v>
      </c>
      <c r="X27" s="666"/>
      <c r="Y27" s="340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4"/>
      <c r="Q28" s="1263">
        <f t="shared" si="11"/>
        <v>111</v>
      </c>
      <c r="R28" s="667" t="s">
        <v>18</v>
      </c>
      <c r="S28" s="668">
        <f t="shared" si="12"/>
        <v>100</v>
      </c>
      <c r="T28" s="667" t="s">
        <v>18</v>
      </c>
      <c r="U28" s="668">
        <f t="shared" si="13"/>
        <v>100</v>
      </c>
      <c r="V28" s="667" t="s">
        <v>18</v>
      </c>
      <c r="W28" s="668">
        <f t="shared" si="14"/>
        <v>100</v>
      </c>
      <c r="X28" s="1265"/>
      <c r="Y28" s="340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4"/>
      <c r="Q29" s="1263">
        <f t="shared" si="11"/>
        <v>111</v>
      </c>
      <c r="R29" s="667" t="s">
        <v>18</v>
      </c>
      <c r="S29" s="668">
        <f t="shared" si="12"/>
        <v>100</v>
      </c>
      <c r="T29" s="667" t="s">
        <v>18</v>
      </c>
      <c r="U29" s="668">
        <f t="shared" si="13"/>
        <v>100</v>
      </c>
      <c r="V29" s="667" t="s">
        <v>18</v>
      </c>
      <c r="W29" s="668">
        <f t="shared" si="14"/>
        <v>100</v>
      </c>
      <c r="X29" s="1265"/>
      <c r="Y29" s="340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4"/>
      <c r="Q30" s="1263">
        <f t="shared" si="11"/>
        <v>111</v>
      </c>
      <c r="R30" s="667" t="s">
        <v>18</v>
      </c>
      <c r="S30" s="668">
        <f t="shared" si="12"/>
        <v>100</v>
      </c>
      <c r="T30" s="667" t="s">
        <v>18</v>
      </c>
      <c r="U30" s="668">
        <f t="shared" si="13"/>
        <v>100</v>
      </c>
      <c r="V30" s="667" t="s">
        <v>18</v>
      </c>
      <c r="W30" s="668">
        <f t="shared" si="14"/>
        <v>100</v>
      </c>
      <c r="X30" s="1265"/>
      <c r="Y30" s="340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4"/>
      <c r="Q31" s="1263">
        <f t="shared" si="11"/>
        <v>111</v>
      </c>
      <c r="R31" s="667" t="s">
        <v>18</v>
      </c>
      <c r="S31" s="668">
        <f t="shared" si="12"/>
        <v>100</v>
      </c>
      <c r="T31" s="667" t="s">
        <v>18</v>
      </c>
      <c r="U31" s="668">
        <f t="shared" si="13"/>
        <v>100</v>
      </c>
      <c r="V31" s="667" t="s">
        <v>18</v>
      </c>
      <c r="W31" s="668">
        <f t="shared" si="14"/>
        <v>100</v>
      </c>
      <c r="X31" s="1265"/>
      <c r="Y31" s="340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8" t="s">
        <v>1696</v>
      </c>
      <c r="Q32" s="1263" t="str">
        <f t="shared" si="11"/>
        <v>建筑类型</v>
      </c>
      <c r="R32" s="667" t="s">
        <v>18</v>
      </c>
      <c r="S32" s="668">
        <f t="shared" si="12"/>
        <v>100</v>
      </c>
      <c r="T32" s="667" t="s">
        <v>18</v>
      </c>
      <c r="U32" s="668">
        <f t="shared" si="13"/>
        <v>100</v>
      </c>
      <c r="V32" s="667" t="s">
        <v>18</v>
      </c>
      <c r="W32" s="668">
        <f t="shared" si="14"/>
        <v>100</v>
      </c>
      <c r="X32" s="1265"/>
      <c r="Y32" s="341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9"/>
      <c r="Q33" s="531" t="str">
        <f t="shared" si="11"/>
        <v>项目建筑规模</v>
      </c>
      <c r="R33" s="669" t="s">
        <v>18</v>
      </c>
      <c r="S33" s="670" t="e">
        <f t="shared" si="12"/>
        <v>#N/A</v>
      </c>
      <c r="T33" s="669" t="s">
        <v>18</v>
      </c>
      <c r="U33" s="670" t="e">
        <f t="shared" si="13"/>
        <v>#N/A</v>
      </c>
      <c r="V33" s="669" t="s">
        <v>18</v>
      </c>
      <c r="W33" s="670" t="e">
        <f t="shared" si="14"/>
        <v>#N/A</v>
      </c>
      <c r="X33" s="671"/>
      <c r="Y33" s="341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9"/>
      <c r="Q34" s="1263" t="str">
        <f t="shared" si="11"/>
        <v>建筑结构</v>
      </c>
      <c r="R34" s="667" t="s">
        <v>18</v>
      </c>
      <c r="S34" s="668">
        <f t="shared" si="12"/>
        <v>100</v>
      </c>
      <c r="T34" s="667" t="s">
        <v>18</v>
      </c>
      <c r="U34" s="668">
        <f t="shared" si="13"/>
        <v>100</v>
      </c>
      <c r="V34" s="667" t="s">
        <v>18</v>
      </c>
      <c r="W34" s="668">
        <f t="shared" si="14"/>
        <v>100</v>
      </c>
      <c r="X34" s="1265"/>
      <c r="Y34" s="341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9"/>
      <c r="Q35" s="1263" t="str">
        <f t="shared" si="11"/>
        <v>建筑品质</v>
      </c>
      <c r="R35" s="667" t="s">
        <v>18</v>
      </c>
      <c r="S35" s="668">
        <f t="shared" si="12"/>
        <v>100</v>
      </c>
      <c r="T35" s="667" t="s">
        <v>18</v>
      </c>
      <c r="U35" s="668">
        <f t="shared" si="13"/>
        <v>100</v>
      </c>
      <c r="V35" s="667" t="s">
        <v>18</v>
      </c>
      <c r="W35" s="668">
        <f t="shared" si="14"/>
        <v>100</v>
      </c>
      <c r="X35" s="1265"/>
      <c r="Y35" s="341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9"/>
      <c r="Q36" s="1263" t="str">
        <f t="shared" si="11"/>
        <v>公共部分装修</v>
      </c>
      <c r="R36" s="667" t="s">
        <v>18</v>
      </c>
      <c r="S36" s="668">
        <f t="shared" si="12"/>
        <v>100</v>
      </c>
      <c r="T36" s="667" t="s">
        <v>18</v>
      </c>
      <c r="U36" s="668">
        <f t="shared" si="13"/>
        <v>100</v>
      </c>
      <c r="V36" s="667" t="s">
        <v>18</v>
      </c>
      <c r="W36" s="668">
        <f t="shared" si="14"/>
        <v>100</v>
      </c>
      <c r="X36" s="1265"/>
      <c r="Y36" s="341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9"/>
      <c r="Q37" s="530" t="str">
        <f t="shared" si="11"/>
        <v>成新度</v>
      </c>
      <c r="R37" s="664" t="s">
        <v>18</v>
      </c>
      <c r="S37" s="665" t="e">
        <f t="shared" si="12"/>
        <v>#N/A</v>
      </c>
      <c r="T37" s="664" t="s">
        <v>18</v>
      </c>
      <c r="U37" s="665" t="e">
        <f t="shared" si="13"/>
        <v>#N/A</v>
      </c>
      <c r="V37" s="664" t="s">
        <v>18</v>
      </c>
      <c r="W37" s="665" t="e">
        <f t="shared" si="14"/>
        <v>#N/A</v>
      </c>
      <c r="X37" s="666"/>
      <c r="Y37" s="341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9" t="s">
        <v>1696</v>
      </c>
      <c r="Q38" s="1263" t="str">
        <f t="shared" si="11"/>
        <v>物业管理</v>
      </c>
      <c r="R38" s="667" t="s">
        <v>18</v>
      </c>
      <c r="S38" s="668">
        <f t="shared" si="12"/>
        <v>100</v>
      </c>
      <c r="T38" s="667" t="s">
        <v>18</v>
      </c>
      <c r="U38" s="668">
        <f t="shared" si="13"/>
        <v>100</v>
      </c>
      <c r="V38" s="667" t="s">
        <v>18</v>
      </c>
      <c r="W38" s="668">
        <f t="shared" si="14"/>
        <v>100</v>
      </c>
      <c r="X38" s="1265"/>
      <c r="Y38" s="341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9"/>
      <c r="Q39" s="1263" t="str">
        <f t="shared" si="11"/>
        <v>市政基础设施</v>
      </c>
      <c r="R39" s="667" t="s">
        <v>18</v>
      </c>
      <c r="S39" s="668">
        <f t="shared" si="12"/>
        <v>100</v>
      </c>
      <c r="T39" s="667" t="s">
        <v>18</v>
      </c>
      <c r="U39" s="668">
        <f t="shared" si="13"/>
        <v>100</v>
      </c>
      <c r="V39" s="667" t="s">
        <v>18</v>
      </c>
      <c r="W39" s="668">
        <f t="shared" si="14"/>
        <v>100</v>
      </c>
      <c r="X39" s="1265"/>
      <c r="Y39" s="341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9"/>
      <c r="Q40" s="1263" t="str">
        <f t="shared" si="11"/>
        <v>房型</v>
      </c>
      <c r="R40" s="667" t="s">
        <v>18</v>
      </c>
      <c r="S40" s="668">
        <f t="shared" si="12"/>
        <v>100</v>
      </c>
      <c r="T40" s="667" t="s">
        <v>18</v>
      </c>
      <c r="U40" s="668">
        <f t="shared" si="13"/>
        <v>100</v>
      </c>
      <c r="V40" s="667" t="s">
        <v>18</v>
      </c>
      <c r="W40" s="668">
        <f t="shared" si="14"/>
        <v>100</v>
      </c>
      <c r="X40" s="1265"/>
      <c r="Y40" s="341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9"/>
      <c r="Q41" s="531" t="str">
        <f t="shared" si="11"/>
        <v>单套/主力户型建筑面积</v>
      </c>
      <c r="R41" s="669" t="s">
        <v>18</v>
      </c>
      <c r="S41" s="670">
        <f t="shared" si="12"/>
        <v>100</v>
      </c>
      <c r="T41" s="669" t="s">
        <v>18</v>
      </c>
      <c r="U41" s="670">
        <f t="shared" si="13"/>
        <v>100</v>
      </c>
      <c r="V41" s="669" t="s">
        <v>18</v>
      </c>
      <c r="W41" s="670">
        <f t="shared" si="14"/>
        <v>100</v>
      </c>
      <c r="X41" s="671"/>
      <c r="Y41" s="341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9"/>
      <c r="Q42" s="1263" t="str">
        <f t="shared" si="11"/>
        <v>内部装修</v>
      </c>
      <c r="R42" s="667" t="s">
        <v>18</v>
      </c>
      <c r="S42" s="668">
        <f t="shared" si="12"/>
        <v>100</v>
      </c>
      <c r="T42" s="667" t="s">
        <v>18</v>
      </c>
      <c r="U42" s="668">
        <f t="shared" si="13"/>
        <v>100</v>
      </c>
      <c r="V42" s="667" t="s">
        <v>18</v>
      </c>
      <c r="W42" s="668">
        <f t="shared" si="14"/>
        <v>100</v>
      </c>
      <c r="X42" s="1265"/>
      <c r="Y42" s="341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9"/>
      <c r="Q43" s="1263" t="str">
        <f t="shared" si="11"/>
        <v>内部装修维护情况</v>
      </c>
      <c r="R43" s="667" t="s">
        <v>18</v>
      </c>
      <c r="S43" s="668">
        <f t="shared" si="12"/>
        <v>100</v>
      </c>
      <c r="T43" s="667" t="s">
        <v>18</v>
      </c>
      <c r="U43" s="668">
        <f t="shared" si="13"/>
        <v>100</v>
      </c>
      <c r="V43" s="667" t="s">
        <v>18</v>
      </c>
      <c r="W43" s="668">
        <f t="shared" si="14"/>
        <v>100</v>
      </c>
      <c r="X43" s="1265"/>
      <c r="Y43" s="341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9"/>
      <c r="Q44" s="530">
        <f t="shared" si="11"/>
        <v>111</v>
      </c>
      <c r="R44" s="664" t="s">
        <v>18</v>
      </c>
      <c r="S44" s="665">
        <f t="shared" si="12"/>
        <v>100</v>
      </c>
      <c r="T44" s="664" t="s">
        <v>18</v>
      </c>
      <c r="U44" s="665">
        <f t="shared" si="13"/>
        <v>100</v>
      </c>
      <c r="V44" s="664" t="s">
        <v>18</v>
      </c>
      <c r="W44" s="665">
        <f t="shared" si="14"/>
        <v>100</v>
      </c>
      <c r="X44" s="666"/>
      <c r="Y44" s="341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9"/>
      <c r="Q45" s="1263">
        <f t="shared" si="11"/>
        <v>111</v>
      </c>
      <c r="R45" s="667" t="s">
        <v>18</v>
      </c>
      <c r="S45" s="668">
        <f t="shared" si="12"/>
        <v>100</v>
      </c>
      <c r="T45" s="667" t="s">
        <v>18</v>
      </c>
      <c r="U45" s="668">
        <f t="shared" si="13"/>
        <v>100</v>
      </c>
      <c r="V45" s="667" t="s">
        <v>18</v>
      </c>
      <c r="W45" s="668">
        <f t="shared" si="14"/>
        <v>100</v>
      </c>
      <c r="X45" s="1265"/>
      <c r="Y45" s="341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0"/>
      <c r="Q46" s="1263">
        <f t="shared" si="11"/>
        <v>111</v>
      </c>
      <c r="R46" s="667" t="s">
        <v>17</v>
      </c>
      <c r="S46" s="668">
        <f t="shared" si="12"/>
        <v>100</v>
      </c>
      <c r="T46" s="667" t="s">
        <v>17</v>
      </c>
      <c r="U46" s="668">
        <f t="shared" si="13"/>
        <v>100</v>
      </c>
      <c r="V46" s="667" t="s">
        <v>17</v>
      </c>
      <c r="W46" s="668">
        <f t="shared" si="14"/>
        <v>100</v>
      </c>
      <c r="X46" s="1265"/>
      <c r="Y46" s="341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4" t="str">
        <f>A47</f>
        <v>成交单价（元/平方米）</v>
      </c>
      <c r="Q47" s="3404"/>
      <c r="R47" s="3405">
        <f>E47</f>
        <v>0</v>
      </c>
      <c r="S47" s="3405"/>
      <c r="T47" s="3405">
        <f>G47</f>
        <v>0</v>
      </c>
      <c r="U47" s="3405"/>
      <c r="V47" s="3405">
        <f>I47</f>
        <v>0</v>
      </c>
      <c r="W47" s="340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1240.3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23" t="s">
        <v>1775</v>
      </c>
      <c r="Q4" s="3424"/>
      <c r="R4" s="3429" t="s">
        <v>1771</v>
      </c>
      <c r="S4" s="3430"/>
      <c r="T4" s="3429" t="s">
        <v>1772</v>
      </c>
      <c r="U4" s="3430"/>
      <c r="V4" s="3405" t="s">
        <v>1773</v>
      </c>
      <c r="W4" s="3405"/>
      <c r="X4" s="1265"/>
      <c r="Y4" s="3429" t="s">
        <v>1775</v>
      </c>
      <c r="Z4" s="3430"/>
      <c r="AA4" s="3416" t="s">
        <v>1771</v>
      </c>
      <c r="AB4" s="3405" t="s">
        <v>1772</v>
      </c>
      <c r="AC4" s="3416" t="s">
        <v>1773</v>
      </c>
    </row>
    <row r="5" spans="1:29" ht="15">
      <c r="A5" s="348"/>
      <c r="B5" s="349"/>
      <c r="C5" s="3437" t="s">
        <v>1673</v>
      </c>
      <c r="D5" s="3438"/>
      <c r="E5" s="3444" t="s">
        <v>1674</v>
      </c>
      <c r="F5" s="3445"/>
      <c r="G5" s="3437" t="s">
        <v>1675</v>
      </c>
      <c r="H5" s="3438"/>
      <c r="I5" s="3437" t="s">
        <v>1676</v>
      </c>
      <c r="J5" s="3438"/>
      <c r="K5" s="537"/>
      <c r="L5" s="2487"/>
      <c r="M5" s="2488"/>
      <c r="N5" s="2488"/>
      <c r="O5" s="2488"/>
      <c r="P5" s="3425"/>
      <c r="Q5" s="3426"/>
      <c r="R5" s="3431"/>
      <c r="S5" s="3432"/>
      <c r="T5" s="3431"/>
      <c r="U5" s="3432"/>
      <c r="V5" s="3405"/>
      <c r="W5" s="3405"/>
      <c r="X5" s="1265"/>
      <c r="Y5" s="3431"/>
      <c r="Z5" s="3432"/>
      <c r="AA5" s="3417"/>
      <c r="AB5" s="3405"/>
      <c r="AC5" s="3417"/>
    </row>
    <row r="6" spans="1:29" ht="15.75" thickBot="1">
      <c r="A6" s="350"/>
      <c r="B6" s="351"/>
      <c r="C6" s="3435" t="s">
        <v>1677</v>
      </c>
      <c r="D6" s="3436"/>
      <c r="E6" s="3442" t="s">
        <v>1677</v>
      </c>
      <c r="F6" s="3443"/>
      <c r="G6" s="3435" t="s">
        <v>1677</v>
      </c>
      <c r="H6" s="3436"/>
      <c r="I6" s="3435" t="s">
        <v>1677</v>
      </c>
      <c r="J6" s="3436"/>
      <c r="K6" s="537" t="s">
        <v>1678</v>
      </c>
      <c r="L6" s="2487"/>
      <c r="M6" s="2488"/>
      <c r="N6" s="2488"/>
      <c r="O6" s="2488"/>
      <c r="P6" s="3427"/>
      <c r="Q6" s="3428"/>
      <c r="R6" s="3431"/>
      <c r="S6" s="3432"/>
      <c r="T6" s="3433"/>
      <c r="U6" s="3434"/>
      <c r="V6" s="3405"/>
      <c r="W6" s="3405"/>
      <c r="X6" s="1265"/>
      <c r="Y6" s="3433"/>
      <c r="Z6" s="3434"/>
      <c r="AA6" s="3418"/>
      <c r="AB6" s="3405"/>
      <c r="AC6" s="3418"/>
    </row>
    <row r="7" spans="1:29" s="102" customFormat="1" ht="15.75" thickBot="1">
      <c r="A7" s="352" t="s">
        <v>1679</v>
      </c>
      <c r="B7" s="353"/>
      <c r="C7" s="354">
        <f>'数据-取费表'!B2</f>
        <v>45898</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9" t="s">
        <v>1680</v>
      </c>
      <c r="Q7" s="3441"/>
      <c r="R7" s="664" t="s">
        <v>14</v>
      </c>
      <c r="S7" s="665">
        <f t="shared" ref="S7:S15" si="0">F7</f>
        <v>0</v>
      </c>
      <c r="T7" s="664" t="s">
        <v>14</v>
      </c>
      <c r="U7" s="665">
        <f t="shared" ref="U7:U15" si="1">H7</f>
        <v>0</v>
      </c>
      <c r="V7" s="664" t="s">
        <v>14</v>
      </c>
      <c r="W7" s="665">
        <f t="shared" ref="W7:W15" si="2">J7</f>
        <v>0</v>
      </c>
      <c r="X7" s="666"/>
      <c r="Y7" s="3439" t="s">
        <v>1680</v>
      </c>
      <c r="Z7" s="344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9" t="s">
        <v>1683</v>
      </c>
      <c r="Q8" s="3440"/>
      <c r="R8" s="664" t="s">
        <v>14</v>
      </c>
      <c r="S8" s="665">
        <f t="shared" si="0"/>
        <v>100</v>
      </c>
      <c r="T8" s="664" t="s">
        <v>14</v>
      </c>
      <c r="U8" s="665">
        <f t="shared" si="1"/>
        <v>100</v>
      </c>
      <c r="V8" s="664" t="s">
        <v>14</v>
      </c>
      <c r="W8" s="665">
        <f t="shared" si="2"/>
        <v>100</v>
      </c>
      <c r="X8" s="666"/>
      <c r="Y8" s="3439" t="s">
        <v>1683</v>
      </c>
      <c r="Z8" s="344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5"/>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5"/>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3" t="s">
        <v>1691</v>
      </c>
      <c r="Q15" s="1263" t="str">
        <f t="shared" si="6"/>
        <v>商业繁华度</v>
      </c>
      <c r="R15" s="667" t="s">
        <v>14</v>
      </c>
      <c r="S15" s="668">
        <f t="shared" si="0"/>
        <v>100</v>
      </c>
      <c r="T15" s="667" t="s">
        <v>14</v>
      </c>
      <c r="U15" s="668">
        <f t="shared" si="1"/>
        <v>100</v>
      </c>
      <c r="V15" s="667" t="s">
        <v>14</v>
      </c>
      <c r="W15" s="668">
        <f t="shared" si="2"/>
        <v>100</v>
      </c>
      <c r="X15" s="1265"/>
      <c r="Y15" s="340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4"/>
      <c r="Q16" s="1263"/>
      <c r="R16" s="667"/>
      <c r="S16" s="668"/>
      <c r="T16" s="667"/>
      <c r="U16" s="668"/>
      <c r="V16" s="667"/>
      <c r="W16" s="668"/>
      <c r="X16" s="1265"/>
      <c r="Y16" s="3407"/>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4"/>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4"/>
      <c r="Q18" s="1263"/>
      <c r="R18" s="667"/>
      <c r="S18" s="668"/>
      <c r="T18" s="667"/>
      <c r="U18" s="668"/>
      <c r="V18" s="667"/>
      <c r="W18" s="668"/>
      <c r="X18" s="1265"/>
      <c r="Y18" s="3407"/>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4"/>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4"/>
      <c r="Q20" s="1263"/>
      <c r="R20" s="667"/>
      <c r="S20" s="668"/>
      <c r="T20" s="667"/>
      <c r="U20" s="668"/>
      <c r="V20" s="667"/>
      <c r="W20" s="668"/>
      <c r="X20" s="1265"/>
      <c r="Y20" s="3407"/>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4"/>
      <c r="Q22" s="1263"/>
      <c r="R22" s="667"/>
      <c r="S22" s="668"/>
      <c r="T22" s="667"/>
      <c r="U22" s="668"/>
      <c r="V22" s="667"/>
      <c r="W22" s="668"/>
      <c r="X22" s="1265"/>
      <c r="Y22" s="3407"/>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4"/>
      <c r="Q23" s="1263" t="str">
        <f>B23</f>
        <v>自然及人文环境</v>
      </c>
      <c r="R23" s="667" t="s">
        <v>14</v>
      </c>
      <c r="S23" s="668">
        <f>F23</f>
        <v>100</v>
      </c>
      <c r="T23" s="667" t="s">
        <v>14</v>
      </c>
      <c r="U23" s="668">
        <f>H23</f>
        <v>100</v>
      </c>
      <c r="V23" s="667" t="s">
        <v>14</v>
      </c>
      <c r="W23" s="668">
        <f>J23</f>
        <v>100</v>
      </c>
      <c r="X23" s="1265"/>
      <c r="Y23" s="340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4"/>
      <c r="Q24" s="1263"/>
      <c r="R24" s="667"/>
      <c r="S24" s="668"/>
      <c r="T24" s="667"/>
      <c r="U24" s="668"/>
      <c r="V24" s="667"/>
      <c r="W24" s="668"/>
      <c r="X24" s="1265"/>
      <c r="Y24" s="340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4"/>
      <c r="Q25" s="1263" t="str">
        <f t="shared" ref="Q25:Q46" si="11">B25</f>
        <v>临街状况</v>
      </c>
      <c r="R25" s="667" t="s">
        <v>14</v>
      </c>
      <c r="S25" s="668">
        <f>F25</f>
        <v>100</v>
      </c>
      <c r="T25" s="667" t="s">
        <v>14</v>
      </c>
      <c r="U25" s="668">
        <f>H25</f>
        <v>100</v>
      </c>
      <c r="V25" s="667" t="s">
        <v>14</v>
      </c>
      <c r="W25" s="668">
        <f>J25</f>
        <v>100</v>
      </c>
      <c r="X25" s="1265"/>
      <c r="Y25" s="340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4"/>
      <c r="Q26" s="1263" t="str">
        <f t="shared" si="11"/>
        <v>平面位置/可视性</v>
      </c>
      <c r="R26" s="667" t="s">
        <v>14</v>
      </c>
      <c r="S26" s="668">
        <f>F26</f>
        <v>100</v>
      </c>
      <c r="T26" s="667" t="s">
        <v>14</v>
      </c>
      <c r="U26" s="668">
        <f>H26</f>
        <v>100</v>
      </c>
      <c r="V26" s="667" t="s">
        <v>14</v>
      </c>
      <c r="W26" s="668">
        <f>J26</f>
        <v>100</v>
      </c>
      <c r="X26" s="1265"/>
      <c r="Y26" s="340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4"/>
      <c r="Q27" s="530" t="str">
        <f t="shared" si="11"/>
        <v>人流量</v>
      </c>
      <c r="R27" s="664" t="s">
        <v>14</v>
      </c>
      <c r="S27" s="665">
        <f>F27</f>
        <v>100</v>
      </c>
      <c r="T27" s="664" t="s">
        <v>14</v>
      </c>
      <c r="U27" s="665">
        <f>H27</f>
        <v>100</v>
      </c>
      <c r="V27" s="664" t="s">
        <v>14</v>
      </c>
      <c r="W27" s="665">
        <f>J27</f>
        <v>100</v>
      </c>
      <c r="X27" s="666"/>
      <c r="Y27" s="340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4"/>
      <c r="Q29" s="1263">
        <f t="shared" si="11"/>
        <v>111</v>
      </c>
      <c r="R29" s="667" t="s">
        <v>14</v>
      </c>
      <c r="S29" s="668">
        <f t="shared" si="12"/>
        <v>100</v>
      </c>
      <c r="T29" s="667" t="s">
        <v>14</v>
      </c>
      <c r="U29" s="668">
        <f t="shared" si="13"/>
        <v>100</v>
      </c>
      <c r="V29" s="667" t="s">
        <v>14</v>
      </c>
      <c r="W29" s="668">
        <f t="shared" si="14"/>
        <v>100</v>
      </c>
      <c r="X29" s="1265"/>
      <c r="Y29" s="340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4"/>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4"/>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8" t="s">
        <v>1696</v>
      </c>
      <c r="Q32" s="1263" t="str">
        <f t="shared" si="11"/>
        <v>商业类型</v>
      </c>
      <c r="R32" s="667" t="s">
        <v>14</v>
      </c>
      <c r="S32" s="668">
        <f t="shared" si="12"/>
        <v>100</v>
      </c>
      <c r="T32" s="667" t="s">
        <v>14</v>
      </c>
      <c r="U32" s="668">
        <f t="shared" si="13"/>
        <v>100</v>
      </c>
      <c r="V32" s="667" t="s">
        <v>14</v>
      </c>
      <c r="W32" s="668">
        <f t="shared" si="14"/>
        <v>100</v>
      </c>
      <c r="X32" s="1265"/>
      <c r="Y32" s="341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9"/>
      <c r="Q33" s="531" t="str">
        <f t="shared" si="11"/>
        <v>项目建筑规模</v>
      </c>
      <c r="R33" s="669" t="s">
        <v>14</v>
      </c>
      <c r="S33" s="670" t="e">
        <f t="shared" si="12"/>
        <v>#N/A</v>
      </c>
      <c r="T33" s="669" t="s">
        <v>14</v>
      </c>
      <c r="U33" s="670" t="e">
        <f t="shared" si="13"/>
        <v>#N/A</v>
      </c>
      <c r="V33" s="669" t="s">
        <v>14</v>
      </c>
      <c r="W33" s="670" t="e">
        <f t="shared" si="14"/>
        <v>#N/A</v>
      </c>
      <c r="X33" s="671"/>
      <c r="Y33" s="341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9"/>
      <c r="Q34" s="1263" t="str">
        <f t="shared" si="11"/>
        <v>建筑结构</v>
      </c>
      <c r="R34" s="667" t="s">
        <v>14</v>
      </c>
      <c r="S34" s="668">
        <f t="shared" si="12"/>
        <v>100</v>
      </c>
      <c r="T34" s="667" t="s">
        <v>14</v>
      </c>
      <c r="U34" s="668">
        <f t="shared" si="13"/>
        <v>100</v>
      </c>
      <c r="V34" s="667" t="s">
        <v>14</v>
      </c>
      <c r="W34" s="668">
        <f t="shared" si="14"/>
        <v>100</v>
      </c>
      <c r="X34" s="1265"/>
      <c r="Y34" s="341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9"/>
      <c r="Q35" s="1263" t="str">
        <f t="shared" si="11"/>
        <v>公共部分装修</v>
      </c>
      <c r="R35" s="667" t="s">
        <v>14</v>
      </c>
      <c r="S35" s="668">
        <f t="shared" si="12"/>
        <v>100</v>
      </c>
      <c r="T35" s="667" t="s">
        <v>14</v>
      </c>
      <c r="U35" s="668">
        <f t="shared" si="13"/>
        <v>100</v>
      </c>
      <c r="V35" s="667" t="s">
        <v>14</v>
      </c>
      <c r="W35" s="668">
        <f t="shared" si="14"/>
        <v>100</v>
      </c>
      <c r="X35" s="1265"/>
      <c r="Y35" s="341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9"/>
      <c r="Q36" s="1263" t="str">
        <f t="shared" si="11"/>
        <v>成新度</v>
      </c>
      <c r="R36" s="667" t="s">
        <v>14</v>
      </c>
      <c r="S36" s="668" t="e">
        <f t="shared" si="12"/>
        <v>#N/A</v>
      </c>
      <c r="T36" s="667" t="s">
        <v>14</v>
      </c>
      <c r="U36" s="668" t="e">
        <f t="shared" si="13"/>
        <v>#N/A</v>
      </c>
      <c r="V36" s="667" t="s">
        <v>14</v>
      </c>
      <c r="W36" s="668" t="e">
        <f t="shared" si="14"/>
        <v>#N/A</v>
      </c>
      <c r="X36" s="1265"/>
      <c r="Y36" s="341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9"/>
      <c r="Q37" s="530" t="str">
        <f t="shared" si="11"/>
        <v>市政基础设施</v>
      </c>
      <c r="R37" s="664" t="s">
        <v>14</v>
      </c>
      <c r="S37" s="665">
        <f t="shared" si="12"/>
        <v>100</v>
      </c>
      <c r="T37" s="664" t="s">
        <v>14</v>
      </c>
      <c r="U37" s="665">
        <f t="shared" si="13"/>
        <v>100</v>
      </c>
      <c r="V37" s="664" t="s">
        <v>14</v>
      </c>
      <c r="W37" s="665">
        <f t="shared" si="14"/>
        <v>100</v>
      </c>
      <c r="X37" s="666"/>
      <c r="Y37" s="341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9" t="s">
        <v>1696</v>
      </c>
      <c r="Q38" s="1263" t="str">
        <f t="shared" si="11"/>
        <v>业态</v>
      </c>
      <c r="R38" s="667" t="s">
        <v>14</v>
      </c>
      <c r="S38" s="668">
        <f t="shared" si="12"/>
        <v>100</v>
      </c>
      <c r="T38" s="667" t="s">
        <v>14</v>
      </c>
      <c r="U38" s="668">
        <f t="shared" si="13"/>
        <v>100</v>
      </c>
      <c r="V38" s="667" t="s">
        <v>14</v>
      </c>
      <c r="W38" s="668">
        <f t="shared" si="14"/>
        <v>100</v>
      </c>
      <c r="X38" s="1265"/>
      <c r="Y38" s="341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9"/>
      <c r="Q39" s="1263" t="str">
        <f t="shared" si="11"/>
        <v>层高</v>
      </c>
      <c r="R39" s="667" t="s">
        <v>14</v>
      </c>
      <c r="S39" s="668">
        <f t="shared" si="12"/>
        <v>100</v>
      </c>
      <c r="T39" s="667" t="s">
        <v>14</v>
      </c>
      <c r="U39" s="668">
        <f t="shared" si="13"/>
        <v>100</v>
      </c>
      <c r="V39" s="667" t="s">
        <v>14</v>
      </c>
      <c r="W39" s="668">
        <f t="shared" si="14"/>
        <v>100</v>
      </c>
      <c r="X39" s="1265"/>
      <c r="Y39" s="341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9"/>
      <c r="Q40" s="1263" t="str">
        <f t="shared" si="11"/>
        <v>单套建筑面积</v>
      </c>
      <c r="R40" s="667" t="s">
        <v>14</v>
      </c>
      <c r="S40" s="668">
        <f t="shared" si="12"/>
        <v>100</v>
      </c>
      <c r="T40" s="667" t="s">
        <v>14</v>
      </c>
      <c r="U40" s="668">
        <f t="shared" si="13"/>
        <v>100</v>
      </c>
      <c r="V40" s="667" t="s">
        <v>14</v>
      </c>
      <c r="W40" s="668">
        <f t="shared" si="14"/>
        <v>100</v>
      </c>
      <c r="X40" s="1265"/>
      <c r="Y40" s="341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9"/>
      <c r="Q41" s="531" t="str">
        <f t="shared" si="11"/>
        <v>进深比</v>
      </c>
      <c r="R41" s="669" t="s">
        <v>14</v>
      </c>
      <c r="S41" s="670">
        <f t="shared" si="12"/>
        <v>100</v>
      </c>
      <c r="T41" s="669" t="s">
        <v>14</v>
      </c>
      <c r="U41" s="670">
        <f t="shared" si="13"/>
        <v>100</v>
      </c>
      <c r="V41" s="669" t="s">
        <v>14</v>
      </c>
      <c r="W41" s="670">
        <f t="shared" si="14"/>
        <v>100</v>
      </c>
      <c r="X41" s="671"/>
      <c r="Y41" s="341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9"/>
      <c r="Q42" s="1263" t="str">
        <f t="shared" si="11"/>
        <v>内部装修</v>
      </c>
      <c r="R42" s="667" t="s">
        <v>14</v>
      </c>
      <c r="S42" s="668">
        <f t="shared" si="12"/>
        <v>100</v>
      </c>
      <c r="T42" s="667" t="s">
        <v>14</v>
      </c>
      <c r="U42" s="668">
        <f t="shared" si="13"/>
        <v>100</v>
      </c>
      <c r="V42" s="667" t="s">
        <v>14</v>
      </c>
      <c r="W42" s="668">
        <f t="shared" si="14"/>
        <v>100</v>
      </c>
      <c r="X42" s="1265"/>
      <c r="Y42" s="341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9"/>
      <c r="Q43" s="1263" t="str">
        <f t="shared" si="11"/>
        <v>内部装修维护情况</v>
      </c>
      <c r="R43" s="667" t="s">
        <v>14</v>
      </c>
      <c r="S43" s="668">
        <f t="shared" si="12"/>
        <v>100</v>
      </c>
      <c r="T43" s="667" t="s">
        <v>14</v>
      </c>
      <c r="U43" s="668">
        <f t="shared" si="13"/>
        <v>100</v>
      </c>
      <c r="V43" s="667" t="s">
        <v>14</v>
      </c>
      <c r="W43" s="668">
        <f t="shared" si="14"/>
        <v>100</v>
      </c>
      <c r="X43" s="1265"/>
      <c r="Y43" s="341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9"/>
      <c r="Q44" s="530">
        <f t="shared" si="11"/>
        <v>111</v>
      </c>
      <c r="R44" s="664" t="s">
        <v>14</v>
      </c>
      <c r="S44" s="665">
        <f t="shared" si="12"/>
        <v>100</v>
      </c>
      <c r="T44" s="664" t="s">
        <v>14</v>
      </c>
      <c r="U44" s="665">
        <f t="shared" si="13"/>
        <v>100</v>
      </c>
      <c r="V44" s="664" t="s">
        <v>14</v>
      </c>
      <c r="W44" s="665">
        <f t="shared" si="14"/>
        <v>100</v>
      </c>
      <c r="X44" s="666"/>
      <c r="Y44" s="341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9"/>
      <c r="Q45" s="1263">
        <f t="shared" si="11"/>
        <v>111</v>
      </c>
      <c r="R45" s="667" t="s">
        <v>14</v>
      </c>
      <c r="S45" s="668">
        <f t="shared" si="12"/>
        <v>100</v>
      </c>
      <c r="T45" s="667" t="s">
        <v>14</v>
      </c>
      <c r="U45" s="668">
        <f t="shared" si="13"/>
        <v>100</v>
      </c>
      <c r="V45" s="667" t="s">
        <v>14</v>
      </c>
      <c r="W45" s="668">
        <f t="shared" si="14"/>
        <v>100</v>
      </c>
      <c r="X45" s="1265"/>
      <c r="Y45" s="341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4" t="str">
        <f>A47</f>
        <v>成交单价（元/平方米）</v>
      </c>
      <c r="Q47" s="3404"/>
      <c r="R47" s="3405">
        <f>E47</f>
        <v>0</v>
      </c>
      <c r="S47" s="3405"/>
      <c r="T47" s="3405">
        <f>G47</f>
        <v>0</v>
      </c>
      <c r="U47" s="3405"/>
      <c r="V47" s="3405">
        <f>I47</f>
        <v>0</v>
      </c>
      <c r="W47" s="3405"/>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估价对象为北京市房地产，为所有。根据《国有土地使用证》[]，估价对象（分摊）出让国有建设用地使用权面积为548平方米，建筑面积为1240.3平方米。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估价对象为北京市房地产,为开发建设的，该项目尚在开发建设中。根据《国有土地使用证》[]，估价对象（分摊）出让国有建设用地使用权面积为548平方米，规划建筑面积为1240.3平方米。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2025年8月29日（评估专业人员实地查勘之日）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1240.3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52" t="s">
        <v>1775</v>
      </c>
      <c r="Q4" s="3453"/>
      <c r="R4" s="3456" t="s">
        <v>1771</v>
      </c>
      <c r="S4" s="3457"/>
      <c r="T4" s="3456" t="s">
        <v>1772</v>
      </c>
      <c r="U4" s="3457"/>
      <c r="V4" s="3458" t="s">
        <v>1773</v>
      </c>
      <c r="W4" s="3458"/>
      <c r="X4" s="1809"/>
      <c r="Y4" s="3456" t="s">
        <v>1775</v>
      </c>
      <c r="Z4" s="3457"/>
      <c r="AA4" s="3460" t="s">
        <v>1771</v>
      </c>
      <c r="AB4" s="3460" t="s">
        <v>1772</v>
      </c>
      <c r="AC4" s="3449" t="s">
        <v>1773</v>
      </c>
    </row>
    <row r="5" spans="1:29" ht="15">
      <c r="A5" s="348"/>
      <c r="B5" s="349"/>
      <c r="C5" s="3437" t="s">
        <v>1673</v>
      </c>
      <c r="D5" s="3438"/>
      <c r="E5" s="3444" t="s">
        <v>1674</v>
      </c>
      <c r="F5" s="3445"/>
      <c r="G5" s="3437" t="s">
        <v>1675</v>
      </c>
      <c r="H5" s="3438"/>
      <c r="I5" s="3437" t="s">
        <v>1676</v>
      </c>
      <c r="J5" s="3438"/>
      <c r="K5" s="537"/>
      <c r="L5" s="2487"/>
      <c r="M5" s="2488"/>
      <c r="N5" s="2488"/>
      <c r="O5" s="2488"/>
      <c r="P5" s="3454"/>
      <c r="Q5" s="3426"/>
      <c r="R5" s="3431"/>
      <c r="S5" s="3432"/>
      <c r="T5" s="3431"/>
      <c r="U5" s="3432"/>
      <c r="V5" s="3405"/>
      <c r="W5" s="3405"/>
      <c r="X5" s="1265"/>
      <c r="Y5" s="3431"/>
      <c r="Z5" s="3432"/>
      <c r="AA5" s="3417"/>
      <c r="AB5" s="3417"/>
      <c r="AC5" s="3450"/>
    </row>
    <row r="6" spans="1:29" ht="15.75" thickBot="1">
      <c r="A6" s="350"/>
      <c r="B6" s="351"/>
      <c r="C6" s="3435" t="s">
        <v>1677</v>
      </c>
      <c r="D6" s="3436"/>
      <c r="E6" s="3442" t="s">
        <v>1677</v>
      </c>
      <c r="F6" s="3443"/>
      <c r="G6" s="3435" t="s">
        <v>1677</v>
      </c>
      <c r="H6" s="3436"/>
      <c r="I6" s="3435" t="s">
        <v>1677</v>
      </c>
      <c r="J6" s="3436"/>
      <c r="K6" s="537" t="s">
        <v>1678</v>
      </c>
      <c r="L6" s="2487"/>
      <c r="M6" s="2488"/>
      <c r="N6" s="2488"/>
      <c r="O6" s="2488"/>
      <c r="P6" s="3455"/>
      <c r="Q6" s="3428"/>
      <c r="R6" s="3431"/>
      <c r="S6" s="3432"/>
      <c r="T6" s="3433"/>
      <c r="U6" s="3434"/>
      <c r="V6" s="3405"/>
      <c r="W6" s="3405"/>
      <c r="X6" s="1265"/>
      <c r="Y6" s="3433"/>
      <c r="Z6" s="3434"/>
      <c r="AA6" s="3418"/>
      <c r="AB6" s="3418"/>
      <c r="AC6" s="3451"/>
    </row>
    <row r="7" spans="1:29" s="102" customFormat="1" ht="15.75" thickBot="1">
      <c r="A7" s="352" t="s">
        <v>1679</v>
      </c>
      <c r="B7" s="353"/>
      <c r="C7" s="354">
        <f>'数据-取费表'!B2</f>
        <v>45898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9" t="s">
        <v>1680</v>
      </c>
      <c r="Q7" s="3441"/>
      <c r="R7" s="664" t="s">
        <v>14</v>
      </c>
      <c r="S7" s="665">
        <f t="shared" ref="S7:S15" si="0">F7</f>
        <v>0</v>
      </c>
      <c r="T7" s="664" t="s">
        <v>14</v>
      </c>
      <c r="U7" s="665">
        <f t="shared" ref="U7:U15" si="1">H7</f>
        <v>0</v>
      </c>
      <c r="V7" s="664" t="s">
        <v>14</v>
      </c>
      <c r="W7" s="665">
        <f t="shared" ref="W7:W15" si="2">J7</f>
        <v>0</v>
      </c>
      <c r="X7" s="666"/>
      <c r="Y7" s="3439" t="s">
        <v>1680</v>
      </c>
      <c r="Z7" s="344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9" t="s">
        <v>1683</v>
      </c>
      <c r="Q8" s="3440"/>
      <c r="R8" s="664" t="s">
        <v>14</v>
      </c>
      <c r="S8" s="665">
        <f t="shared" si="0"/>
        <v>100</v>
      </c>
      <c r="T8" s="664" t="s">
        <v>14</v>
      </c>
      <c r="U8" s="665">
        <f t="shared" si="1"/>
        <v>100</v>
      </c>
      <c r="V8" s="664" t="s">
        <v>14</v>
      </c>
      <c r="W8" s="665">
        <f t="shared" si="2"/>
        <v>100</v>
      </c>
      <c r="X8" s="666"/>
      <c r="Y8" s="3439" t="s">
        <v>1683</v>
      </c>
      <c r="Z8" s="344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1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1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5"/>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5"/>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3" t="s">
        <v>1691</v>
      </c>
      <c r="Q15" s="1263" t="str">
        <f t="shared" si="6"/>
        <v>办公集聚程度</v>
      </c>
      <c r="R15" s="667" t="s">
        <v>14</v>
      </c>
      <c r="S15" s="668">
        <f t="shared" si="0"/>
        <v>100</v>
      </c>
      <c r="T15" s="667" t="s">
        <v>14</v>
      </c>
      <c r="U15" s="668">
        <f t="shared" si="1"/>
        <v>100</v>
      </c>
      <c r="V15" s="667" t="s">
        <v>14</v>
      </c>
      <c r="W15" s="668">
        <f t="shared" si="2"/>
        <v>100</v>
      </c>
      <c r="X15" s="1265"/>
      <c r="Y15" s="340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4"/>
      <c r="Q16" s="1263"/>
      <c r="R16" s="667"/>
      <c r="S16" s="668"/>
      <c r="T16" s="667"/>
      <c r="U16" s="668"/>
      <c r="V16" s="667"/>
      <c r="W16" s="668"/>
      <c r="X16" s="1265"/>
      <c r="Y16" s="3407"/>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4"/>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4"/>
      <c r="Q18" s="1263"/>
      <c r="R18" s="667"/>
      <c r="S18" s="668"/>
      <c r="T18" s="667"/>
      <c r="U18" s="668"/>
      <c r="V18" s="667"/>
      <c r="W18" s="668"/>
      <c r="X18" s="1265"/>
      <c r="Y18" s="3407"/>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4"/>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4"/>
      <c r="Q20" s="1263"/>
      <c r="R20" s="667"/>
      <c r="S20" s="668"/>
      <c r="T20" s="667"/>
      <c r="U20" s="668"/>
      <c r="V20" s="667"/>
      <c r="W20" s="668"/>
      <c r="X20" s="1265"/>
      <c r="Y20" s="3407"/>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4"/>
      <c r="Q22" s="1263"/>
      <c r="R22" s="667"/>
      <c r="S22" s="668"/>
      <c r="T22" s="667"/>
      <c r="U22" s="668"/>
      <c r="V22" s="667"/>
      <c r="W22" s="668"/>
      <c r="X22" s="1265"/>
      <c r="Y22" s="3407"/>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4"/>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4"/>
      <c r="Q24" s="1263"/>
      <c r="R24" s="667"/>
      <c r="S24" s="668"/>
      <c r="T24" s="667"/>
      <c r="U24" s="668"/>
      <c r="V24" s="667"/>
      <c r="W24" s="668"/>
      <c r="X24" s="1265"/>
      <c r="Y24" s="340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4"/>
      <c r="Q25" s="1263" t="str">
        <f>B25</f>
        <v>毗邻道路的类型与等级</v>
      </c>
      <c r="R25" s="667" t="s">
        <v>14</v>
      </c>
      <c r="S25" s="668">
        <f>F25</f>
        <v>100</v>
      </c>
      <c r="T25" s="667" t="s">
        <v>14</v>
      </c>
      <c r="U25" s="668">
        <f>H25</f>
        <v>100</v>
      </c>
      <c r="V25" s="667" t="s">
        <v>14</v>
      </c>
      <c r="W25" s="668">
        <f>J25</f>
        <v>100</v>
      </c>
      <c r="X25" s="1265"/>
      <c r="Y25" s="340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4"/>
      <c r="Q26" s="1263"/>
      <c r="R26" s="667"/>
      <c r="S26" s="668"/>
      <c r="T26" s="667"/>
      <c r="U26" s="668"/>
      <c r="V26" s="667"/>
      <c r="W26" s="668"/>
      <c r="X26" s="1265"/>
      <c r="Y26" s="340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4"/>
      <c r="Q27" s="1263" t="str">
        <f t="shared" ref="Q27:Q47" si="11">B27</f>
        <v>楼层</v>
      </c>
      <c r="R27" s="667" t="s">
        <v>14</v>
      </c>
      <c r="S27" s="668">
        <f>F27</f>
        <v>100</v>
      </c>
      <c r="T27" s="667" t="s">
        <v>14</v>
      </c>
      <c r="U27" s="668">
        <f>H27</f>
        <v>100</v>
      </c>
      <c r="V27" s="667" t="s">
        <v>14</v>
      </c>
      <c r="W27" s="668">
        <f>J27</f>
        <v>100</v>
      </c>
      <c r="X27" s="1265"/>
      <c r="Y27" s="340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4"/>
      <c r="Q28" s="530" t="str">
        <f t="shared" si="11"/>
        <v>朝向</v>
      </c>
      <c r="R28" s="664" t="s">
        <v>14</v>
      </c>
      <c r="S28" s="665">
        <f>F28</f>
        <v>100</v>
      </c>
      <c r="T28" s="664" t="s">
        <v>14</v>
      </c>
      <c r="U28" s="665">
        <f>H28</f>
        <v>100</v>
      </c>
      <c r="V28" s="664" t="s">
        <v>14</v>
      </c>
      <c r="W28" s="665">
        <f>J28</f>
        <v>100</v>
      </c>
      <c r="X28" s="666"/>
      <c r="Y28" s="340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4"/>
      <c r="Q29" s="1263">
        <f t="shared" si="11"/>
        <v>111</v>
      </c>
      <c r="R29" s="667" t="s">
        <v>14</v>
      </c>
      <c r="S29" s="668">
        <f t="shared" ref="S29:S47" si="12">F29</f>
        <v>100</v>
      </c>
      <c r="T29" s="667" t="s">
        <v>14</v>
      </c>
      <c r="U29" s="668">
        <f t="shared" ref="U29:U47" si="13">H29</f>
        <v>100</v>
      </c>
      <c r="V29" s="667" t="s">
        <v>14</v>
      </c>
      <c r="W29" s="668">
        <f t="shared" ref="W29:W47" si="14">J29</f>
        <v>100</v>
      </c>
      <c r="X29" s="1265"/>
      <c r="Y29" s="340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4"/>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4"/>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4"/>
      <c r="Q32" s="1263">
        <f t="shared" si="11"/>
        <v>111</v>
      </c>
      <c r="R32" s="667" t="s">
        <v>14</v>
      </c>
      <c r="S32" s="668">
        <f t="shared" si="12"/>
        <v>100</v>
      </c>
      <c r="T32" s="667" t="s">
        <v>14</v>
      </c>
      <c r="U32" s="668">
        <f t="shared" si="13"/>
        <v>100</v>
      </c>
      <c r="V32" s="667" t="s">
        <v>14</v>
      </c>
      <c r="W32" s="668">
        <f t="shared" si="14"/>
        <v>100</v>
      </c>
      <c r="X32" s="1265"/>
      <c r="Y32" s="340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8" t="s">
        <v>1696</v>
      </c>
      <c r="Q33" s="1263" t="str">
        <f t="shared" si="11"/>
        <v>建筑类型</v>
      </c>
      <c r="R33" s="667" t="s">
        <v>14</v>
      </c>
      <c r="S33" s="668">
        <f t="shared" si="12"/>
        <v>100</v>
      </c>
      <c r="T33" s="667" t="s">
        <v>14</v>
      </c>
      <c r="U33" s="668">
        <f t="shared" si="13"/>
        <v>100</v>
      </c>
      <c r="V33" s="667" t="s">
        <v>14</v>
      </c>
      <c r="W33" s="668">
        <f t="shared" si="14"/>
        <v>100</v>
      </c>
      <c r="X33" s="1265"/>
      <c r="Y33" s="341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9"/>
      <c r="Q34" s="531" t="str">
        <f t="shared" si="11"/>
        <v>项目建筑规模</v>
      </c>
      <c r="R34" s="669" t="s">
        <v>14</v>
      </c>
      <c r="S34" s="670" t="e">
        <f t="shared" si="12"/>
        <v>#N/A</v>
      </c>
      <c r="T34" s="669" t="s">
        <v>14</v>
      </c>
      <c r="U34" s="670" t="e">
        <f t="shared" si="13"/>
        <v>#N/A</v>
      </c>
      <c r="V34" s="669" t="s">
        <v>14</v>
      </c>
      <c r="W34" s="670" t="e">
        <f t="shared" si="14"/>
        <v>#N/A</v>
      </c>
      <c r="X34" s="671"/>
      <c r="Y34" s="341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9"/>
      <c r="Q35" s="1263" t="str">
        <f t="shared" si="11"/>
        <v>建筑结构</v>
      </c>
      <c r="R35" s="667" t="s">
        <v>14</v>
      </c>
      <c r="S35" s="668">
        <f t="shared" si="12"/>
        <v>100</v>
      </c>
      <c r="T35" s="667" t="s">
        <v>14</v>
      </c>
      <c r="U35" s="668">
        <f t="shared" si="13"/>
        <v>100</v>
      </c>
      <c r="V35" s="667" t="s">
        <v>14</v>
      </c>
      <c r="W35" s="668">
        <f t="shared" si="14"/>
        <v>100</v>
      </c>
      <c r="X35" s="1265"/>
      <c r="Y35" s="341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9"/>
      <c r="Q36" s="1263" t="str">
        <f t="shared" si="11"/>
        <v>公共部分装修</v>
      </c>
      <c r="R36" s="667" t="s">
        <v>14</v>
      </c>
      <c r="S36" s="668">
        <f t="shared" si="12"/>
        <v>100</v>
      </c>
      <c r="T36" s="667" t="s">
        <v>14</v>
      </c>
      <c r="U36" s="668">
        <f t="shared" si="13"/>
        <v>100</v>
      </c>
      <c r="V36" s="667" t="s">
        <v>14</v>
      </c>
      <c r="W36" s="668">
        <f t="shared" si="14"/>
        <v>100</v>
      </c>
      <c r="X36" s="1265"/>
      <c r="Y36" s="341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9"/>
      <c r="Q37" s="1263" t="str">
        <f t="shared" si="11"/>
        <v>成新度</v>
      </c>
      <c r="R37" s="667" t="s">
        <v>14</v>
      </c>
      <c r="S37" s="668" t="e">
        <f t="shared" si="12"/>
        <v>#N/A</v>
      </c>
      <c r="T37" s="667" t="s">
        <v>14</v>
      </c>
      <c r="U37" s="668" t="e">
        <f t="shared" si="13"/>
        <v>#N/A</v>
      </c>
      <c r="V37" s="667" t="s">
        <v>14</v>
      </c>
      <c r="W37" s="668" t="e">
        <f t="shared" si="14"/>
        <v>#N/A</v>
      </c>
      <c r="X37" s="1265"/>
      <c r="Y37" s="341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9"/>
      <c r="Q38" s="530" t="str">
        <f t="shared" si="11"/>
        <v>写字楼等级</v>
      </c>
      <c r="R38" s="664" t="s">
        <v>14</v>
      </c>
      <c r="S38" s="665">
        <f t="shared" si="12"/>
        <v>100</v>
      </c>
      <c r="T38" s="664" t="s">
        <v>14</v>
      </c>
      <c r="U38" s="665">
        <f t="shared" si="13"/>
        <v>100</v>
      </c>
      <c r="V38" s="664" t="s">
        <v>14</v>
      </c>
      <c r="W38" s="665">
        <f t="shared" si="14"/>
        <v>100</v>
      </c>
      <c r="X38" s="666"/>
      <c r="Y38" s="341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9" t="s">
        <v>1696</v>
      </c>
      <c r="Q39" s="1263" t="str">
        <f t="shared" si="11"/>
        <v>物业管理</v>
      </c>
      <c r="R39" s="667" t="s">
        <v>14</v>
      </c>
      <c r="S39" s="668">
        <f t="shared" si="12"/>
        <v>100</v>
      </c>
      <c r="T39" s="667" t="s">
        <v>14</v>
      </c>
      <c r="U39" s="668">
        <f t="shared" si="13"/>
        <v>100</v>
      </c>
      <c r="V39" s="667" t="s">
        <v>14</v>
      </c>
      <c r="W39" s="668">
        <f t="shared" si="14"/>
        <v>100</v>
      </c>
      <c r="X39" s="1265"/>
      <c r="Y39" s="341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9"/>
      <c r="Q40" s="1263" t="str">
        <f t="shared" si="11"/>
        <v>市政基础设施</v>
      </c>
      <c r="R40" s="667" t="s">
        <v>14</v>
      </c>
      <c r="S40" s="668">
        <f t="shared" si="12"/>
        <v>100</v>
      </c>
      <c r="T40" s="667" t="s">
        <v>14</v>
      </c>
      <c r="U40" s="668">
        <f t="shared" si="13"/>
        <v>100</v>
      </c>
      <c r="V40" s="667" t="s">
        <v>14</v>
      </c>
      <c r="W40" s="668">
        <f t="shared" si="14"/>
        <v>100</v>
      </c>
      <c r="X40" s="1265"/>
      <c r="Y40" s="341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9"/>
      <c r="Q41" s="1263" t="str">
        <f t="shared" si="11"/>
        <v>层高</v>
      </c>
      <c r="R41" s="667" t="s">
        <v>14</v>
      </c>
      <c r="S41" s="668">
        <f t="shared" si="12"/>
        <v>100</v>
      </c>
      <c r="T41" s="667" t="s">
        <v>14</v>
      </c>
      <c r="U41" s="668">
        <f t="shared" si="13"/>
        <v>100</v>
      </c>
      <c r="V41" s="667" t="s">
        <v>14</v>
      </c>
      <c r="W41" s="668">
        <f t="shared" si="14"/>
        <v>100</v>
      </c>
      <c r="X41" s="1265"/>
      <c r="Y41" s="341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9"/>
      <c r="Q42" s="531" t="str">
        <f t="shared" si="11"/>
        <v>单套建筑面积</v>
      </c>
      <c r="R42" s="669" t="s">
        <v>14</v>
      </c>
      <c r="S42" s="670">
        <f t="shared" si="12"/>
        <v>100</v>
      </c>
      <c r="T42" s="669" t="s">
        <v>14</v>
      </c>
      <c r="U42" s="670">
        <f t="shared" si="13"/>
        <v>100</v>
      </c>
      <c r="V42" s="669" t="s">
        <v>14</v>
      </c>
      <c r="W42" s="670">
        <f t="shared" si="14"/>
        <v>100</v>
      </c>
      <c r="X42" s="671"/>
      <c r="Y42" s="341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9"/>
      <c r="Q43" s="1263" t="str">
        <f t="shared" si="11"/>
        <v>内部装修</v>
      </c>
      <c r="R43" s="667" t="s">
        <v>14</v>
      </c>
      <c r="S43" s="668">
        <f t="shared" si="12"/>
        <v>100</v>
      </c>
      <c r="T43" s="667" t="s">
        <v>14</v>
      </c>
      <c r="U43" s="668">
        <f t="shared" si="13"/>
        <v>100</v>
      </c>
      <c r="V43" s="667" t="s">
        <v>14</v>
      </c>
      <c r="W43" s="668">
        <f t="shared" si="14"/>
        <v>100</v>
      </c>
      <c r="X43" s="1265"/>
      <c r="Y43" s="341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9"/>
      <c r="Q44" s="1263" t="str">
        <f t="shared" si="11"/>
        <v>内部装修维护情况</v>
      </c>
      <c r="R44" s="667" t="s">
        <v>14</v>
      </c>
      <c r="S44" s="668">
        <f t="shared" si="12"/>
        <v>100</v>
      </c>
      <c r="T44" s="667" t="s">
        <v>14</v>
      </c>
      <c r="U44" s="668">
        <f t="shared" si="13"/>
        <v>100</v>
      </c>
      <c r="V44" s="667" t="s">
        <v>14</v>
      </c>
      <c r="W44" s="668">
        <f t="shared" si="14"/>
        <v>100</v>
      </c>
      <c r="X44" s="1265"/>
      <c r="Y44" s="341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9"/>
      <c r="Q45" s="530">
        <f t="shared" si="11"/>
        <v>111</v>
      </c>
      <c r="R45" s="664" t="s">
        <v>14</v>
      </c>
      <c r="S45" s="665">
        <f t="shared" si="12"/>
        <v>100</v>
      </c>
      <c r="T45" s="664" t="s">
        <v>14</v>
      </c>
      <c r="U45" s="665">
        <f t="shared" si="13"/>
        <v>100</v>
      </c>
      <c r="V45" s="664" t="s">
        <v>14</v>
      </c>
      <c r="W45" s="665">
        <f t="shared" si="14"/>
        <v>100</v>
      </c>
      <c r="X45" s="666"/>
      <c r="Y45" s="341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0"/>
      <c r="Q47" s="1263">
        <f t="shared" si="11"/>
        <v>111</v>
      </c>
      <c r="R47" s="667" t="s">
        <v>14</v>
      </c>
      <c r="S47" s="668">
        <f t="shared" si="12"/>
        <v>100</v>
      </c>
      <c r="T47" s="667" t="s">
        <v>14</v>
      </c>
      <c r="U47" s="668">
        <f t="shared" si="13"/>
        <v>100</v>
      </c>
      <c r="V47" s="667" t="s">
        <v>14</v>
      </c>
      <c r="W47" s="668">
        <f t="shared" si="14"/>
        <v>100</v>
      </c>
      <c r="X47" s="1265"/>
      <c r="Y47" s="341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15" t="str">
        <f>A48</f>
        <v>成交单价（元/平方米）</v>
      </c>
      <c r="Q48" s="3404"/>
      <c r="R48" s="3405">
        <f>E48</f>
        <v>0</v>
      </c>
      <c r="S48" s="3405"/>
      <c r="T48" s="3405">
        <f>G48</f>
        <v>0</v>
      </c>
      <c r="U48" s="3405"/>
      <c r="V48" s="3405">
        <f>I48</f>
        <v>0</v>
      </c>
      <c r="W48" s="340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15" t="str">
        <f>A49</f>
        <v>比较价值（元/平方米）</v>
      </c>
      <c r="Q49" s="3404"/>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1240.3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860"/>
      <c r="M4" s="861"/>
      <c r="N4" s="861"/>
      <c r="O4" s="861"/>
      <c r="P4" s="3423" t="s">
        <v>1775</v>
      </c>
      <c r="Q4" s="3424"/>
      <c r="R4" s="3429" t="s">
        <v>1771</v>
      </c>
      <c r="S4" s="3430"/>
      <c r="T4" s="3429" t="s">
        <v>1772</v>
      </c>
      <c r="U4" s="3430"/>
      <c r="V4" s="3405" t="s">
        <v>1773</v>
      </c>
      <c r="W4" s="3405"/>
      <c r="X4" s="1265"/>
      <c r="Y4" s="3429" t="s">
        <v>1775</v>
      </c>
      <c r="Z4" s="3430"/>
      <c r="AA4" s="3416" t="s">
        <v>1771</v>
      </c>
      <c r="AB4" s="3417" t="s">
        <v>1772</v>
      </c>
      <c r="AC4" s="3416" t="s">
        <v>1773</v>
      </c>
    </row>
    <row r="5" spans="1:29" ht="15">
      <c r="A5" s="348"/>
      <c r="B5" s="349"/>
      <c r="C5" s="3437" t="s">
        <v>1673</v>
      </c>
      <c r="D5" s="3438"/>
      <c r="E5" s="3444" t="s">
        <v>1674</v>
      </c>
      <c r="F5" s="3445"/>
      <c r="G5" s="3437" t="s">
        <v>1675</v>
      </c>
      <c r="H5" s="3438"/>
      <c r="I5" s="3437" t="s">
        <v>1676</v>
      </c>
      <c r="J5" s="3438"/>
      <c r="K5" s="537"/>
      <c r="L5" s="860"/>
      <c r="M5" s="861"/>
      <c r="N5" s="861"/>
      <c r="O5" s="861"/>
      <c r="P5" s="3425"/>
      <c r="Q5" s="3426"/>
      <c r="R5" s="3431"/>
      <c r="S5" s="3432"/>
      <c r="T5" s="3431"/>
      <c r="U5" s="3432"/>
      <c r="V5" s="3405"/>
      <c r="W5" s="3405"/>
      <c r="X5" s="1265"/>
      <c r="Y5" s="3431"/>
      <c r="Z5" s="3432"/>
      <c r="AA5" s="3417"/>
      <c r="AB5" s="3417"/>
      <c r="AC5" s="3417"/>
    </row>
    <row r="6" spans="1:29" ht="15.75" thickBot="1">
      <c r="A6" s="350"/>
      <c r="B6" s="351"/>
      <c r="C6" s="3435" t="s">
        <v>1677</v>
      </c>
      <c r="D6" s="3436"/>
      <c r="E6" s="3442" t="s">
        <v>1677</v>
      </c>
      <c r="F6" s="3443"/>
      <c r="G6" s="3435" t="s">
        <v>1677</v>
      </c>
      <c r="H6" s="3436"/>
      <c r="I6" s="3435" t="s">
        <v>1677</v>
      </c>
      <c r="J6" s="3436"/>
      <c r="K6" s="537" t="s">
        <v>1678</v>
      </c>
      <c r="L6" s="860"/>
      <c r="M6" s="861"/>
      <c r="N6" s="861"/>
      <c r="O6" s="861"/>
      <c r="P6" s="3427"/>
      <c r="Q6" s="3428"/>
      <c r="R6" s="3431"/>
      <c r="S6" s="3432"/>
      <c r="T6" s="3433"/>
      <c r="U6" s="3434"/>
      <c r="V6" s="3405"/>
      <c r="W6" s="3405"/>
      <c r="X6" s="1265"/>
      <c r="Y6" s="3433"/>
      <c r="Z6" s="3434"/>
      <c r="AA6" s="3418"/>
      <c r="AB6" s="3418"/>
      <c r="AC6" s="3418"/>
    </row>
    <row r="7" spans="1:29" s="102" customFormat="1" ht="15.75" thickBot="1">
      <c r="A7" s="352" t="s">
        <v>1679</v>
      </c>
      <c r="B7" s="353"/>
      <c r="C7" s="354">
        <f>'数据-取费表'!B2</f>
        <v>45898</v>
      </c>
      <c r="D7" s="355">
        <v>100</v>
      </c>
      <c r="E7" s="356"/>
      <c r="F7" s="357">
        <f>SUMIF(52:52,YEAR(E7)&amp;"-"&amp;MONTH(E7),53:53)</f>
        <v>0</v>
      </c>
      <c r="G7" s="356"/>
      <c r="H7" s="355">
        <f>SUMIF(52:52,YEAR(G7)&amp;"-"&amp;MONTH(G7),53:53)</f>
        <v>0</v>
      </c>
      <c r="I7" s="356"/>
      <c r="J7" s="355">
        <f>SUMIF(52:52,YEAR(I7)&amp;"-"&amp;MONTH(I7),53:53)</f>
        <v>0</v>
      </c>
      <c r="K7" s="38"/>
      <c r="L7" s="862"/>
      <c r="M7" s="863"/>
      <c r="N7" s="863"/>
      <c r="O7" s="863"/>
      <c r="P7" s="3439" t="s">
        <v>1680</v>
      </c>
      <c r="Q7" s="3441"/>
      <c r="R7" s="664" t="s">
        <v>14</v>
      </c>
      <c r="S7" s="665">
        <f t="shared" ref="S7:S15" si="0">F7</f>
        <v>0</v>
      </c>
      <c r="T7" s="664" t="s">
        <v>14</v>
      </c>
      <c r="U7" s="665">
        <f t="shared" ref="U7:U15" si="1">H7</f>
        <v>0</v>
      </c>
      <c r="V7" s="664" t="s">
        <v>14</v>
      </c>
      <c r="W7" s="665">
        <f t="shared" ref="W7:W15" si="2">J7</f>
        <v>0</v>
      </c>
      <c r="X7" s="666"/>
      <c r="Y7" s="3439" t="s">
        <v>1680</v>
      </c>
      <c r="Z7" s="344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9" t="s">
        <v>1683</v>
      </c>
      <c r="Q8" s="3440"/>
      <c r="R8" s="664" t="s">
        <v>14</v>
      </c>
      <c r="S8" s="665">
        <f t="shared" si="0"/>
        <v>100</v>
      </c>
      <c r="T8" s="664" t="s">
        <v>14</v>
      </c>
      <c r="U8" s="665">
        <f t="shared" si="1"/>
        <v>100</v>
      </c>
      <c r="V8" s="664" t="s">
        <v>14</v>
      </c>
      <c r="W8" s="665">
        <f t="shared" si="2"/>
        <v>100</v>
      </c>
      <c r="X8" s="666"/>
      <c r="Y8" s="3439" t="s">
        <v>1683</v>
      </c>
      <c r="Z8" s="344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4"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4"/>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4"/>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4"/>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4"/>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4"/>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7"/>
      <c r="Q16" s="1263"/>
      <c r="R16" s="667"/>
      <c r="S16" s="668"/>
      <c r="T16" s="667"/>
      <c r="U16" s="668"/>
      <c r="V16" s="667"/>
      <c r="W16" s="668"/>
      <c r="X16" s="1265"/>
      <c r="Y16" s="3407"/>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7"/>
      <c r="Q18" s="1263"/>
      <c r="R18" s="667"/>
      <c r="S18" s="668"/>
      <c r="T18" s="667"/>
      <c r="U18" s="668"/>
      <c r="V18" s="667"/>
      <c r="W18" s="668"/>
      <c r="X18" s="1265"/>
      <c r="Y18" s="3407"/>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7"/>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7"/>
      <c r="Q20" s="1263"/>
      <c r="R20" s="667"/>
      <c r="S20" s="668"/>
      <c r="T20" s="667"/>
      <c r="U20" s="668"/>
      <c r="V20" s="667"/>
      <c r="W20" s="668"/>
      <c r="X20" s="1265"/>
      <c r="Y20" s="3407"/>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7"/>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7"/>
      <c r="Q22" s="1263"/>
      <c r="R22" s="667"/>
      <c r="S22" s="668"/>
      <c r="T22" s="667"/>
      <c r="U22" s="668"/>
      <c r="V22" s="667"/>
      <c r="W22" s="668"/>
      <c r="X22" s="1265"/>
      <c r="Y22" s="3407"/>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7"/>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7"/>
      <c r="Q24" s="1263"/>
      <c r="R24" s="667"/>
      <c r="S24" s="668"/>
      <c r="T24" s="667"/>
      <c r="U24" s="668"/>
      <c r="V24" s="667"/>
      <c r="W24" s="668"/>
      <c r="X24" s="1265"/>
      <c r="Y24" s="340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7"/>
      <c r="Q25" s="1263">
        <f>B25</f>
        <v>111</v>
      </c>
      <c r="R25" s="667" t="s">
        <v>14</v>
      </c>
      <c r="S25" s="668">
        <f>F25</f>
        <v>100</v>
      </c>
      <c r="T25" s="667" t="s">
        <v>14</v>
      </c>
      <c r="U25" s="668">
        <f>H25</f>
        <v>100</v>
      </c>
      <c r="V25" s="667" t="s">
        <v>14</v>
      </c>
      <c r="W25" s="668">
        <f>J25</f>
        <v>100</v>
      </c>
      <c r="X25" s="1265"/>
      <c r="Y25" s="340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7"/>
      <c r="Q26" s="1263">
        <f t="shared" ref="Q26:Q40" si="11">B26</f>
        <v>111</v>
      </c>
      <c r="R26" s="667" t="s">
        <v>14</v>
      </c>
      <c r="S26" s="668">
        <f>F26</f>
        <v>100</v>
      </c>
      <c r="T26" s="667" t="s">
        <v>14</v>
      </c>
      <c r="U26" s="668">
        <f>H26</f>
        <v>100</v>
      </c>
      <c r="V26" s="667" t="s">
        <v>14</v>
      </c>
      <c r="W26" s="668">
        <f>J26</f>
        <v>100</v>
      </c>
      <c r="X26" s="1265"/>
      <c r="Y26" s="340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7"/>
      <c r="Q27" s="530">
        <f t="shared" si="11"/>
        <v>111</v>
      </c>
      <c r="R27" s="664" t="s">
        <v>14</v>
      </c>
      <c r="S27" s="665">
        <f>F27</f>
        <v>100</v>
      </c>
      <c r="T27" s="664" t="s">
        <v>14</v>
      </c>
      <c r="U27" s="665">
        <f>H27</f>
        <v>100</v>
      </c>
      <c r="V27" s="664" t="s">
        <v>14</v>
      </c>
      <c r="W27" s="665">
        <f>J27</f>
        <v>100</v>
      </c>
      <c r="X27" s="666"/>
      <c r="Y27" s="340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7"/>
      <c r="Q28" s="1263">
        <f t="shared" si="11"/>
        <v>111</v>
      </c>
      <c r="R28" s="667" t="s">
        <v>14</v>
      </c>
      <c r="S28" s="668">
        <f t="shared" ref="S28:S40" si="12">F28</f>
        <v>100</v>
      </c>
      <c r="T28" s="667" t="s">
        <v>14</v>
      </c>
      <c r="U28" s="668">
        <f t="shared" ref="U28:U40" si="13">H28</f>
        <v>100</v>
      </c>
      <c r="V28" s="667" t="s">
        <v>14</v>
      </c>
      <c r="W28" s="668">
        <f t="shared" ref="W28:W40" si="14">J28</f>
        <v>100</v>
      </c>
      <c r="X28" s="1265"/>
      <c r="Y28" s="340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1" t="s">
        <v>1696</v>
      </c>
      <c r="Q29" s="1263" t="str">
        <f t="shared" si="11"/>
        <v>建筑类型</v>
      </c>
      <c r="R29" s="667" t="s">
        <v>14</v>
      </c>
      <c r="S29" s="668">
        <f t="shared" si="12"/>
        <v>100</v>
      </c>
      <c r="T29" s="667" t="s">
        <v>14</v>
      </c>
      <c r="U29" s="668">
        <f t="shared" si="13"/>
        <v>100</v>
      </c>
      <c r="V29" s="667" t="s">
        <v>14</v>
      </c>
      <c r="W29" s="668">
        <f t="shared" si="14"/>
        <v>100</v>
      </c>
      <c r="X29" s="1265"/>
      <c r="Y29" s="341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1"/>
      <c r="Q30" s="531" t="str">
        <f t="shared" si="11"/>
        <v>项目建筑规模</v>
      </c>
      <c r="R30" s="669" t="s">
        <v>14</v>
      </c>
      <c r="S30" s="670" t="e">
        <f t="shared" si="12"/>
        <v>#N/A</v>
      </c>
      <c r="T30" s="669" t="s">
        <v>14</v>
      </c>
      <c r="U30" s="670" t="e">
        <f t="shared" si="13"/>
        <v>#N/A</v>
      </c>
      <c r="V30" s="669" t="s">
        <v>14</v>
      </c>
      <c r="W30" s="670" t="e">
        <f t="shared" si="14"/>
        <v>#N/A</v>
      </c>
      <c r="X30" s="671"/>
      <c r="Y30" s="341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1"/>
      <c r="Q31" s="1263" t="str">
        <f t="shared" si="11"/>
        <v>建筑结构</v>
      </c>
      <c r="R31" s="667" t="s">
        <v>14</v>
      </c>
      <c r="S31" s="668">
        <f t="shared" si="12"/>
        <v>100</v>
      </c>
      <c r="T31" s="667" t="s">
        <v>14</v>
      </c>
      <c r="U31" s="668">
        <f t="shared" si="13"/>
        <v>100</v>
      </c>
      <c r="V31" s="667" t="s">
        <v>14</v>
      </c>
      <c r="W31" s="668">
        <f t="shared" si="14"/>
        <v>100</v>
      </c>
      <c r="X31" s="1265"/>
      <c r="Y31" s="341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1"/>
      <c r="Q32" s="1263" t="str">
        <f t="shared" si="11"/>
        <v>公共部分装修</v>
      </c>
      <c r="R32" s="667" t="s">
        <v>14</v>
      </c>
      <c r="S32" s="668">
        <f t="shared" si="12"/>
        <v>100</v>
      </c>
      <c r="T32" s="667" t="s">
        <v>14</v>
      </c>
      <c r="U32" s="668">
        <f t="shared" si="13"/>
        <v>100</v>
      </c>
      <c r="V32" s="667" t="s">
        <v>14</v>
      </c>
      <c r="W32" s="668">
        <f t="shared" si="14"/>
        <v>100</v>
      </c>
      <c r="X32" s="1265"/>
      <c r="Y32" s="341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1"/>
      <c r="Q33" s="1263" t="str">
        <f t="shared" si="11"/>
        <v>成新度</v>
      </c>
      <c r="R33" s="667" t="s">
        <v>14</v>
      </c>
      <c r="S33" s="668" t="e">
        <f t="shared" si="12"/>
        <v>#N/A</v>
      </c>
      <c r="T33" s="667" t="s">
        <v>14</v>
      </c>
      <c r="U33" s="668" t="e">
        <f t="shared" si="13"/>
        <v>#N/A</v>
      </c>
      <c r="V33" s="667" t="s">
        <v>14</v>
      </c>
      <c r="W33" s="668" t="e">
        <f t="shared" si="14"/>
        <v>#N/A</v>
      </c>
      <c r="X33" s="1265"/>
      <c r="Y33" s="341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1"/>
      <c r="Q34" s="530" t="str">
        <f t="shared" si="11"/>
        <v>物业管理</v>
      </c>
      <c r="R34" s="664" t="s">
        <v>14</v>
      </c>
      <c r="S34" s="665">
        <f t="shared" si="12"/>
        <v>100</v>
      </c>
      <c r="T34" s="664" t="s">
        <v>14</v>
      </c>
      <c r="U34" s="665">
        <f t="shared" si="13"/>
        <v>100</v>
      </c>
      <c r="V34" s="664" t="s">
        <v>14</v>
      </c>
      <c r="W34" s="665">
        <f t="shared" si="14"/>
        <v>100</v>
      </c>
      <c r="X34" s="666"/>
      <c r="Y34" s="341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1" t="s">
        <v>1696</v>
      </c>
      <c r="Q35" s="1263" t="str">
        <f t="shared" si="11"/>
        <v>市政基础设施</v>
      </c>
      <c r="R35" s="667" t="s">
        <v>14</v>
      </c>
      <c r="S35" s="668">
        <f t="shared" si="12"/>
        <v>100</v>
      </c>
      <c r="T35" s="667" t="s">
        <v>14</v>
      </c>
      <c r="U35" s="668">
        <f t="shared" si="13"/>
        <v>100</v>
      </c>
      <c r="V35" s="667" t="s">
        <v>14</v>
      </c>
      <c r="W35" s="668">
        <f t="shared" si="14"/>
        <v>100</v>
      </c>
      <c r="X35" s="1265"/>
      <c r="Y35" s="341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1"/>
      <c r="Q36" s="1263" t="str">
        <f t="shared" si="11"/>
        <v>内部装修</v>
      </c>
      <c r="R36" s="667" t="s">
        <v>14</v>
      </c>
      <c r="S36" s="668">
        <f t="shared" si="12"/>
        <v>100</v>
      </c>
      <c r="T36" s="667" t="s">
        <v>14</v>
      </c>
      <c r="U36" s="668">
        <f t="shared" si="13"/>
        <v>100</v>
      </c>
      <c r="V36" s="667" t="s">
        <v>14</v>
      </c>
      <c r="W36" s="668">
        <f t="shared" si="14"/>
        <v>100</v>
      </c>
      <c r="X36" s="1265"/>
      <c r="Y36" s="341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1"/>
      <c r="Q37" s="1263" t="str">
        <f t="shared" si="11"/>
        <v>内部装修状况</v>
      </c>
      <c r="R37" s="667" t="s">
        <v>14</v>
      </c>
      <c r="S37" s="668">
        <f t="shared" si="12"/>
        <v>100</v>
      </c>
      <c r="T37" s="667" t="s">
        <v>14</v>
      </c>
      <c r="U37" s="668">
        <f t="shared" si="13"/>
        <v>100</v>
      </c>
      <c r="V37" s="667" t="s">
        <v>14</v>
      </c>
      <c r="W37" s="668">
        <f t="shared" si="14"/>
        <v>100</v>
      </c>
      <c r="X37" s="1265"/>
      <c r="Y37" s="341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1"/>
      <c r="Q38" s="531">
        <f t="shared" si="11"/>
        <v>111</v>
      </c>
      <c r="R38" s="669" t="s">
        <v>14</v>
      </c>
      <c r="S38" s="670">
        <f t="shared" si="12"/>
        <v>100</v>
      </c>
      <c r="T38" s="669" t="s">
        <v>14</v>
      </c>
      <c r="U38" s="670">
        <f t="shared" si="13"/>
        <v>100</v>
      </c>
      <c r="V38" s="669" t="s">
        <v>14</v>
      </c>
      <c r="W38" s="670">
        <f t="shared" si="14"/>
        <v>100</v>
      </c>
      <c r="X38" s="671"/>
      <c r="Y38" s="341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1"/>
      <c r="Q39" s="1263">
        <f t="shared" si="11"/>
        <v>111</v>
      </c>
      <c r="R39" s="667" t="s">
        <v>14</v>
      </c>
      <c r="S39" s="668">
        <f t="shared" si="12"/>
        <v>100</v>
      </c>
      <c r="T39" s="667" t="s">
        <v>14</v>
      </c>
      <c r="U39" s="668">
        <f t="shared" si="13"/>
        <v>100</v>
      </c>
      <c r="V39" s="667" t="s">
        <v>14</v>
      </c>
      <c r="W39" s="668">
        <f t="shared" si="14"/>
        <v>100</v>
      </c>
      <c r="X39" s="1265"/>
      <c r="Y39" s="341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2"/>
      <c r="Q40" s="1263">
        <f t="shared" si="11"/>
        <v>111</v>
      </c>
      <c r="R40" s="667" t="s">
        <v>14</v>
      </c>
      <c r="S40" s="668">
        <f t="shared" si="12"/>
        <v>100</v>
      </c>
      <c r="T40" s="667" t="s">
        <v>14</v>
      </c>
      <c r="U40" s="668">
        <f t="shared" si="13"/>
        <v>100</v>
      </c>
      <c r="V40" s="667" t="s">
        <v>14</v>
      </c>
      <c r="W40" s="668">
        <f t="shared" si="14"/>
        <v>100</v>
      </c>
      <c r="X40" s="1265"/>
      <c r="Y40" s="341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4" t="str">
        <f>A41</f>
        <v>成交单价（元/平方米）</v>
      </c>
      <c r="Q41" s="3404"/>
      <c r="R41" s="3405">
        <f>E41</f>
        <v>0</v>
      </c>
      <c r="S41" s="3405"/>
      <c r="T41" s="3405">
        <f>G41</f>
        <v>0</v>
      </c>
      <c r="U41" s="3405"/>
      <c r="V41" s="3405">
        <f>I41</f>
        <v>0</v>
      </c>
      <c r="W41" s="340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4" t="str">
        <f>A42</f>
        <v>比较价值（元/平方米）</v>
      </c>
      <c r="Q42" s="340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23" t="s">
        <v>1775</v>
      </c>
      <c r="Q4" s="3424"/>
      <c r="R4" s="3429" t="s">
        <v>1771</v>
      </c>
      <c r="S4" s="3430"/>
      <c r="T4" s="3429" t="s">
        <v>1772</v>
      </c>
      <c r="U4" s="3430"/>
      <c r="V4" s="3405" t="s">
        <v>1773</v>
      </c>
      <c r="W4" s="3405"/>
      <c r="X4" s="1265"/>
      <c r="Y4" s="3429" t="s">
        <v>1775</v>
      </c>
      <c r="Z4" s="3430"/>
      <c r="AA4" s="3416" t="s">
        <v>1771</v>
      </c>
      <c r="AB4" s="3417" t="s">
        <v>1772</v>
      </c>
      <c r="AC4" s="3416" t="s">
        <v>1773</v>
      </c>
    </row>
    <row r="5" spans="1:29" ht="15">
      <c r="A5" s="348"/>
      <c r="B5" s="349"/>
      <c r="C5" s="3437" t="s">
        <v>1673</v>
      </c>
      <c r="D5" s="3438"/>
      <c r="E5" s="3444" t="s">
        <v>1674</v>
      </c>
      <c r="F5" s="3445"/>
      <c r="G5" s="3437" t="s">
        <v>1675</v>
      </c>
      <c r="H5" s="3438"/>
      <c r="I5" s="3437" t="s">
        <v>1676</v>
      </c>
      <c r="J5" s="3438"/>
      <c r="K5" s="537"/>
      <c r="L5" s="2487"/>
      <c r="M5" s="2488"/>
      <c r="N5" s="2488"/>
      <c r="O5" s="2488"/>
      <c r="P5" s="3425"/>
      <c r="Q5" s="3426"/>
      <c r="R5" s="3431"/>
      <c r="S5" s="3432"/>
      <c r="T5" s="3431"/>
      <c r="U5" s="3432"/>
      <c r="V5" s="3405"/>
      <c r="W5" s="3405"/>
      <c r="X5" s="1265"/>
      <c r="Y5" s="3431"/>
      <c r="Z5" s="3432"/>
      <c r="AA5" s="3417"/>
      <c r="AB5" s="3417"/>
      <c r="AC5" s="3417"/>
    </row>
    <row r="6" spans="1:29" ht="15.75" thickBot="1">
      <c r="A6" s="350"/>
      <c r="B6" s="351"/>
      <c r="C6" s="3435" t="s">
        <v>1677</v>
      </c>
      <c r="D6" s="3436"/>
      <c r="E6" s="3442" t="s">
        <v>1677</v>
      </c>
      <c r="F6" s="3443"/>
      <c r="G6" s="3435" t="s">
        <v>1677</v>
      </c>
      <c r="H6" s="3436"/>
      <c r="I6" s="3435" t="s">
        <v>1677</v>
      </c>
      <c r="J6" s="3436"/>
      <c r="K6" s="537" t="s">
        <v>1678</v>
      </c>
      <c r="L6" s="2487"/>
      <c r="M6" s="2488"/>
      <c r="N6" s="2488"/>
      <c r="O6" s="2488"/>
      <c r="P6" s="3427"/>
      <c r="Q6" s="3428"/>
      <c r="R6" s="3431"/>
      <c r="S6" s="3432"/>
      <c r="T6" s="3433"/>
      <c r="U6" s="3434"/>
      <c r="V6" s="3405"/>
      <c r="W6" s="3405"/>
      <c r="X6" s="1265"/>
      <c r="Y6" s="3433"/>
      <c r="Z6" s="3434"/>
      <c r="AA6" s="3418"/>
      <c r="AB6" s="3418"/>
      <c r="AC6" s="3418"/>
    </row>
    <row r="7" spans="1:29" s="102" customFormat="1" ht="15.75" thickBot="1">
      <c r="A7" s="352" t="s">
        <v>1679</v>
      </c>
      <c r="B7" s="353"/>
      <c r="C7" s="354">
        <f>'数据-取费表'!B2</f>
        <v>45898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9" t="s">
        <v>1680</v>
      </c>
      <c r="Q7" s="3441"/>
      <c r="R7" s="664" t="s">
        <v>14</v>
      </c>
      <c r="S7" s="665">
        <f t="shared" ref="S7:S14" si="0">F7</f>
        <v>0</v>
      </c>
      <c r="T7" s="664" t="s">
        <v>14</v>
      </c>
      <c r="U7" s="665">
        <f t="shared" ref="U7:U14" si="1">H7</f>
        <v>0</v>
      </c>
      <c r="V7" s="664" t="s">
        <v>14</v>
      </c>
      <c r="W7" s="665">
        <f t="shared" ref="W7:W14" si="2">J7</f>
        <v>0</v>
      </c>
      <c r="X7" s="666"/>
      <c r="Y7" s="3439" t="s">
        <v>1680</v>
      </c>
      <c r="Z7" s="344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9" t="s">
        <v>1683</v>
      </c>
      <c r="Q8" s="3440"/>
      <c r="R8" s="664" t="s">
        <v>14</v>
      </c>
      <c r="S8" s="665">
        <f t="shared" si="0"/>
        <v>100</v>
      </c>
      <c r="T8" s="664" t="s">
        <v>14</v>
      </c>
      <c r="U8" s="665">
        <f t="shared" si="1"/>
        <v>100</v>
      </c>
      <c r="V8" s="664" t="s">
        <v>14</v>
      </c>
      <c r="W8" s="665">
        <f t="shared" si="2"/>
        <v>100</v>
      </c>
      <c r="X8" s="666"/>
      <c r="Y8" s="3439" t="s">
        <v>1683</v>
      </c>
      <c r="Z8" s="344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4"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4"/>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4"/>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4"/>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4"/>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7"/>
      <c r="Q15" s="1263"/>
      <c r="R15" s="667"/>
      <c r="S15" s="668"/>
      <c r="T15" s="667"/>
      <c r="U15" s="668"/>
      <c r="V15" s="667"/>
      <c r="W15" s="668"/>
      <c r="X15" s="1265"/>
      <c r="Y15" s="3407"/>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7"/>
      <c r="Q17" s="1263"/>
      <c r="R17" s="667"/>
      <c r="S17" s="668"/>
      <c r="T17" s="667"/>
      <c r="U17" s="668"/>
      <c r="V17" s="667"/>
      <c r="W17" s="668"/>
      <c r="X17" s="1265"/>
      <c r="Y17" s="3407"/>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7"/>
      <c r="Q19" s="1263"/>
      <c r="R19" s="667"/>
      <c r="S19" s="668"/>
      <c r="T19" s="667"/>
      <c r="U19" s="668"/>
      <c r="V19" s="667"/>
      <c r="W19" s="668"/>
      <c r="X19" s="1265"/>
      <c r="Y19" s="3407"/>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7"/>
      <c r="Q21" s="1263"/>
      <c r="R21" s="667"/>
      <c r="S21" s="668"/>
      <c r="T21" s="667"/>
      <c r="U21" s="668"/>
      <c r="V21" s="667"/>
      <c r="W21" s="668"/>
      <c r="X21" s="1265"/>
      <c r="Y21" s="340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7"/>
      <c r="Q24" s="1263">
        <f t="shared" ref="Q24:Q36"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1"/>
      <c r="Q27" s="531" t="str">
        <f t="shared" si="11"/>
        <v>项目停车位配比</v>
      </c>
      <c r="R27" s="669" t="s">
        <v>14</v>
      </c>
      <c r="S27" s="670">
        <f t="shared" si="12"/>
        <v>100</v>
      </c>
      <c r="T27" s="669" t="s">
        <v>14</v>
      </c>
      <c r="U27" s="670">
        <f t="shared" si="13"/>
        <v>100</v>
      </c>
      <c r="V27" s="669" t="s">
        <v>14</v>
      </c>
      <c r="W27" s="670">
        <f t="shared" si="14"/>
        <v>100</v>
      </c>
      <c r="X27" s="671"/>
      <c r="Y27" s="341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1"/>
      <c r="Q28" s="1263" t="str">
        <f t="shared" si="11"/>
        <v>公共部分装修</v>
      </c>
      <c r="R28" s="667" t="s">
        <v>14</v>
      </c>
      <c r="S28" s="668">
        <f t="shared" si="12"/>
        <v>100</v>
      </c>
      <c r="T28" s="667" t="s">
        <v>14</v>
      </c>
      <c r="U28" s="668">
        <f t="shared" si="13"/>
        <v>100</v>
      </c>
      <c r="V28" s="667" t="s">
        <v>14</v>
      </c>
      <c r="W28" s="668">
        <f t="shared" si="14"/>
        <v>100</v>
      </c>
      <c r="X28" s="1265"/>
      <c r="Y28" s="341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1"/>
      <c r="Q29" s="1263" t="str">
        <f t="shared" si="11"/>
        <v>成新率</v>
      </c>
      <c r="R29" s="667" t="s">
        <v>14</v>
      </c>
      <c r="S29" s="668" t="e">
        <f t="shared" si="12"/>
        <v>#N/A</v>
      </c>
      <c r="T29" s="667" t="s">
        <v>14</v>
      </c>
      <c r="U29" s="668" t="e">
        <f t="shared" si="13"/>
        <v>#N/A</v>
      </c>
      <c r="V29" s="667" t="s">
        <v>14</v>
      </c>
      <c r="W29" s="668" t="e">
        <f t="shared" si="14"/>
        <v>#N/A</v>
      </c>
      <c r="X29" s="1265"/>
      <c r="Y29" s="341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1"/>
      <c r="Q30" s="1263" t="str">
        <f t="shared" si="11"/>
        <v>物业等级</v>
      </c>
      <c r="R30" s="667" t="s">
        <v>14</v>
      </c>
      <c r="S30" s="668">
        <f t="shared" si="12"/>
        <v>100</v>
      </c>
      <c r="T30" s="667" t="s">
        <v>14</v>
      </c>
      <c r="U30" s="668">
        <f t="shared" si="13"/>
        <v>100</v>
      </c>
      <c r="V30" s="667" t="s">
        <v>14</v>
      </c>
      <c r="W30" s="668">
        <f t="shared" si="14"/>
        <v>100</v>
      </c>
      <c r="X30" s="1265"/>
      <c r="Y30" s="341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1"/>
      <c r="Q31" s="530" t="str">
        <f t="shared" si="11"/>
        <v>停车位面积</v>
      </c>
      <c r="R31" s="664" t="s">
        <v>14</v>
      </c>
      <c r="S31" s="665" t="e">
        <f t="shared" si="12"/>
        <v>#N/A</v>
      </c>
      <c r="T31" s="664" t="s">
        <v>14</v>
      </c>
      <c r="U31" s="665" t="e">
        <f t="shared" si="13"/>
        <v>#N/A</v>
      </c>
      <c r="V31" s="664" t="s">
        <v>14</v>
      </c>
      <c r="W31" s="665" t="e">
        <f t="shared" si="14"/>
        <v>#N/A</v>
      </c>
      <c r="X31" s="666"/>
      <c r="Y31" s="341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1" t="s">
        <v>1696</v>
      </c>
      <c r="Q32" s="1263" t="str">
        <f t="shared" si="11"/>
        <v>车位类型</v>
      </c>
      <c r="R32" s="667" t="s">
        <v>14</v>
      </c>
      <c r="S32" s="668">
        <f t="shared" si="12"/>
        <v>100</v>
      </c>
      <c r="T32" s="667" t="s">
        <v>14</v>
      </c>
      <c r="U32" s="668">
        <f t="shared" si="13"/>
        <v>100</v>
      </c>
      <c r="V32" s="667" t="s">
        <v>14</v>
      </c>
      <c r="W32" s="668">
        <f t="shared" si="14"/>
        <v>100</v>
      </c>
      <c r="X32" s="1265"/>
      <c r="Y32" s="341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1"/>
      <c r="Q33" s="1263" t="str">
        <f t="shared" si="11"/>
        <v>是否直接入户</v>
      </c>
      <c r="R33" s="667" t="s">
        <v>14</v>
      </c>
      <c r="S33" s="668">
        <f t="shared" si="12"/>
        <v>100</v>
      </c>
      <c r="T33" s="667" t="s">
        <v>14</v>
      </c>
      <c r="U33" s="668">
        <f t="shared" si="13"/>
        <v>100</v>
      </c>
      <c r="V33" s="667" t="s">
        <v>14</v>
      </c>
      <c r="W33" s="668">
        <f t="shared" si="14"/>
        <v>100</v>
      </c>
      <c r="X33" s="1265"/>
      <c r="Y33" s="341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1"/>
      <c r="Q35" s="531">
        <f t="shared" si="11"/>
        <v>111</v>
      </c>
      <c r="R35" s="669" t="s">
        <v>14</v>
      </c>
      <c r="S35" s="670">
        <f t="shared" si="12"/>
        <v>100</v>
      </c>
      <c r="T35" s="669" t="s">
        <v>14</v>
      </c>
      <c r="U35" s="670">
        <f t="shared" si="13"/>
        <v>100</v>
      </c>
      <c r="V35" s="669" t="s">
        <v>14</v>
      </c>
      <c r="W35" s="670">
        <f t="shared" si="14"/>
        <v>100</v>
      </c>
      <c r="X35" s="671"/>
      <c r="Y35" s="341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1"/>
      <c r="Q36" s="1263">
        <f t="shared" si="11"/>
        <v>111</v>
      </c>
      <c r="R36" s="667" t="s">
        <v>14</v>
      </c>
      <c r="S36" s="668">
        <f t="shared" si="12"/>
        <v>100</v>
      </c>
      <c r="T36" s="667" t="s">
        <v>14</v>
      </c>
      <c r="U36" s="668">
        <f t="shared" si="13"/>
        <v>100</v>
      </c>
      <c r="V36" s="667" t="s">
        <v>14</v>
      </c>
      <c r="W36" s="668">
        <f t="shared" si="14"/>
        <v>100</v>
      </c>
      <c r="X36" s="1265"/>
      <c r="Y36" s="3411"/>
      <c r="Z36" s="1264">
        <f t="shared" si="15"/>
        <v>111</v>
      </c>
      <c r="AA36" s="1264">
        <f t="shared" si="3"/>
        <v>1</v>
      </c>
      <c r="AB36" s="1264">
        <f t="shared" si="4"/>
        <v>1</v>
      </c>
      <c r="AC36" s="1264">
        <f t="shared" si="5"/>
        <v>1</v>
      </c>
    </row>
    <row r="37" spans="1:29" ht="15">
      <c r="A37" s="416" t="s">
        <v>1844</v>
      </c>
      <c r="B37" s="1821" t="s">
        <v>3342</v>
      </c>
      <c r="C37" s="1081" t="s">
        <v>0</v>
      </c>
      <c r="D37" s="418"/>
      <c r="E37" s="419"/>
      <c r="F37" s="420"/>
      <c r="G37" s="421"/>
      <c r="H37" s="422"/>
      <c r="I37" s="419"/>
      <c r="J37" s="422"/>
      <c r="K37" s="545"/>
      <c r="L37" s="2495"/>
      <c r="M37" s="2488"/>
      <c r="N37" s="2488"/>
      <c r="O37" s="2488"/>
      <c r="P37" s="3404" t="str">
        <f>A37</f>
        <v>成交单价</v>
      </c>
      <c r="Q37" s="3404"/>
      <c r="R37" s="3405">
        <f>E37</f>
        <v>0</v>
      </c>
      <c r="S37" s="3405"/>
      <c r="T37" s="3405">
        <f>G37</f>
        <v>0</v>
      </c>
      <c r="U37" s="3405"/>
      <c r="V37" s="3405">
        <f>I37</f>
        <v>0</v>
      </c>
      <c r="W37" s="340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4" t="str">
        <f>A38</f>
        <v>比较价值（元/平方米）</v>
      </c>
      <c r="Q38" s="340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1" t="str">
        <f>A39</f>
        <v>估价对象XX用房的比较价值（楼面单价，元/平方米）</v>
      </c>
      <c r="Q39" s="3402"/>
      <c r="R39" s="3462" t="e">
        <f>IF(F1="售价",ROUND(IF(D38="简单平均",AVERAGE(R38:W38),R38*F38+T38*H38+V38*J38),0),ROUND(IF(D38="简单平均",AVERAGE(R38:V38),R38*F38+T38*H38+V38*J38),1))</f>
        <v>#DIV/0!</v>
      </c>
      <c r="S39" s="3462"/>
      <c r="T39" s="3462"/>
      <c r="U39" s="3462"/>
      <c r="V39" s="3462"/>
      <c r="W39" s="346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23" t="s">
        <v>1775</v>
      </c>
      <c r="Q4" s="3424"/>
      <c r="R4" s="3429" t="s">
        <v>1771</v>
      </c>
      <c r="S4" s="3430"/>
      <c r="T4" s="3429" t="s">
        <v>1772</v>
      </c>
      <c r="U4" s="3430"/>
      <c r="V4" s="3405" t="s">
        <v>1773</v>
      </c>
      <c r="W4" s="3405"/>
      <c r="X4" s="1265"/>
      <c r="Y4" s="3429" t="s">
        <v>1775</v>
      </c>
      <c r="Z4" s="3430"/>
      <c r="AA4" s="3416" t="s">
        <v>1771</v>
      </c>
      <c r="AB4" s="3417" t="s">
        <v>1772</v>
      </c>
      <c r="AC4" s="3416" t="s">
        <v>1773</v>
      </c>
    </row>
    <row r="5" spans="1:29" ht="15">
      <c r="A5" s="348"/>
      <c r="B5" s="349"/>
      <c r="C5" s="3437" t="s">
        <v>1673</v>
      </c>
      <c r="D5" s="3438"/>
      <c r="E5" s="3444" t="s">
        <v>1674</v>
      </c>
      <c r="F5" s="3445"/>
      <c r="G5" s="3437" t="s">
        <v>1675</v>
      </c>
      <c r="H5" s="3438"/>
      <c r="I5" s="3437" t="s">
        <v>1676</v>
      </c>
      <c r="J5" s="3438"/>
      <c r="K5" s="537"/>
      <c r="L5" s="2487"/>
      <c r="M5" s="2488"/>
      <c r="N5" s="2488"/>
      <c r="O5" s="2488"/>
      <c r="P5" s="3425"/>
      <c r="Q5" s="3426"/>
      <c r="R5" s="3431"/>
      <c r="S5" s="3432"/>
      <c r="T5" s="3431"/>
      <c r="U5" s="3432"/>
      <c r="V5" s="3405"/>
      <c r="W5" s="3405"/>
      <c r="X5" s="1265"/>
      <c r="Y5" s="3431"/>
      <c r="Z5" s="3432"/>
      <c r="AA5" s="3417"/>
      <c r="AB5" s="3417"/>
      <c r="AC5" s="3417"/>
    </row>
    <row r="6" spans="1:29" ht="15.75" thickBot="1">
      <c r="A6" s="350"/>
      <c r="B6" s="351"/>
      <c r="C6" s="3435" t="s">
        <v>1677</v>
      </c>
      <c r="D6" s="3436"/>
      <c r="E6" s="3442" t="s">
        <v>1677</v>
      </c>
      <c r="F6" s="3443"/>
      <c r="G6" s="3435" t="s">
        <v>1677</v>
      </c>
      <c r="H6" s="3436"/>
      <c r="I6" s="3435" t="s">
        <v>1677</v>
      </c>
      <c r="J6" s="3436"/>
      <c r="K6" s="537" t="s">
        <v>1678</v>
      </c>
      <c r="L6" s="2487"/>
      <c r="M6" s="2488"/>
      <c r="N6" s="2488"/>
      <c r="O6" s="2488"/>
      <c r="P6" s="3427"/>
      <c r="Q6" s="3428"/>
      <c r="R6" s="3431"/>
      <c r="S6" s="3432"/>
      <c r="T6" s="3433"/>
      <c r="U6" s="3434"/>
      <c r="V6" s="3405"/>
      <c r="W6" s="3405"/>
      <c r="X6" s="1265"/>
      <c r="Y6" s="3433"/>
      <c r="Z6" s="3434"/>
      <c r="AA6" s="3418"/>
      <c r="AB6" s="3418"/>
      <c r="AC6" s="3418"/>
    </row>
    <row r="7" spans="1:29" s="102" customFormat="1" ht="15.75" thickBot="1">
      <c r="A7" s="352" t="s">
        <v>1679</v>
      </c>
      <c r="B7" s="353"/>
      <c r="C7" s="354">
        <f>'数据-取费表'!B2</f>
        <v>45898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9" t="s">
        <v>1680</v>
      </c>
      <c r="Q7" s="3441"/>
      <c r="R7" s="664" t="s">
        <v>14</v>
      </c>
      <c r="S7" s="665">
        <f t="shared" ref="S7:S14" si="0">F7</f>
        <v>0</v>
      </c>
      <c r="T7" s="664" t="s">
        <v>14</v>
      </c>
      <c r="U7" s="665">
        <f t="shared" ref="U7:U14" si="1">H7</f>
        <v>0</v>
      </c>
      <c r="V7" s="664" t="s">
        <v>14</v>
      </c>
      <c r="W7" s="665">
        <f t="shared" ref="W7:W14" si="2">J7</f>
        <v>0</v>
      </c>
      <c r="X7" s="666"/>
      <c r="Y7" s="3439" t="s">
        <v>1680</v>
      </c>
      <c r="Z7" s="344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9" t="s">
        <v>1683</v>
      </c>
      <c r="Q8" s="3440"/>
      <c r="R8" s="664" t="s">
        <v>14</v>
      </c>
      <c r="S8" s="665">
        <f t="shared" si="0"/>
        <v>100</v>
      </c>
      <c r="T8" s="664" t="s">
        <v>14</v>
      </c>
      <c r="U8" s="665">
        <f t="shared" si="1"/>
        <v>100</v>
      </c>
      <c r="V8" s="664" t="s">
        <v>14</v>
      </c>
      <c r="W8" s="665">
        <f t="shared" si="2"/>
        <v>100</v>
      </c>
      <c r="X8" s="666"/>
      <c r="Y8" s="3439" t="s">
        <v>1683</v>
      </c>
      <c r="Z8" s="344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4"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4"/>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4"/>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4"/>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4"/>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7"/>
      <c r="Q15" s="1263"/>
      <c r="R15" s="667"/>
      <c r="S15" s="668"/>
      <c r="T15" s="667"/>
      <c r="U15" s="668"/>
      <c r="V15" s="667"/>
      <c r="W15" s="668"/>
      <c r="X15" s="1265"/>
      <c r="Y15" s="3407"/>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7"/>
      <c r="Q17" s="1263"/>
      <c r="R17" s="667"/>
      <c r="S17" s="668"/>
      <c r="T17" s="667"/>
      <c r="U17" s="668"/>
      <c r="V17" s="667"/>
      <c r="W17" s="668"/>
      <c r="X17" s="1265"/>
      <c r="Y17" s="3407"/>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7"/>
      <c r="Q19" s="1263"/>
      <c r="R19" s="667"/>
      <c r="S19" s="668"/>
      <c r="T19" s="667"/>
      <c r="U19" s="668"/>
      <c r="V19" s="667"/>
      <c r="W19" s="668"/>
      <c r="X19" s="1265"/>
      <c r="Y19" s="3407"/>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7"/>
      <c r="Q21" s="1263"/>
      <c r="R21" s="667"/>
      <c r="S21" s="668"/>
      <c r="T21" s="667"/>
      <c r="U21" s="668"/>
      <c r="V21" s="667"/>
      <c r="W21" s="668"/>
      <c r="X21" s="1265"/>
      <c r="Y21" s="340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7"/>
      <c r="Q24" s="1263">
        <f t="shared" ref="Q24:Q34"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1"/>
      <c r="Q27" s="531" t="str">
        <f t="shared" si="11"/>
        <v>成新率</v>
      </c>
      <c r="R27" s="669" t="s">
        <v>14</v>
      </c>
      <c r="S27" s="670" t="e">
        <f t="shared" si="12"/>
        <v>#N/A</v>
      </c>
      <c r="T27" s="669" t="s">
        <v>14</v>
      </c>
      <c r="U27" s="670" t="e">
        <f t="shared" si="13"/>
        <v>#N/A</v>
      </c>
      <c r="V27" s="669" t="s">
        <v>14</v>
      </c>
      <c r="W27" s="670" t="e">
        <f t="shared" si="14"/>
        <v>#N/A</v>
      </c>
      <c r="X27" s="671"/>
      <c r="Y27" s="341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1"/>
      <c r="Q28" s="1263" t="str">
        <f t="shared" si="11"/>
        <v>物业等级</v>
      </c>
      <c r="R28" s="667" t="s">
        <v>14</v>
      </c>
      <c r="S28" s="668">
        <f t="shared" si="12"/>
        <v>100</v>
      </c>
      <c r="T28" s="667" t="s">
        <v>14</v>
      </c>
      <c r="U28" s="668">
        <f t="shared" si="13"/>
        <v>100</v>
      </c>
      <c r="V28" s="667" t="s">
        <v>14</v>
      </c>
      <c r="W28" s="668">
        <f t="shared" si="14"/>
        <v>100</v>
      </c>
      <c r="X28" s="1265"/>
      <c r="Y28" s="341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1"/>
      <c r="Q29" s="1263" t="str">
        <f t="shared" si="11"/>
        <v>有无电梯</v>
      </c>
      <c r="R29" s="667" t="s">
        <v>14</v>
      </c>
      <c r="S29" s="668">
        <f t="shared" si="12"/>
        <v>100</v>
      </c>
      <c r="T29" s="667" t="s">
        <v>14</v>
      </c>
      <c r="U29" s="668">
        <f t="shared" si="13"/>
        <v>100</v>
      </c>
      <c r="V29" s="667" t="s">
        <v>14</v>
      </c>
      <c r="W29" s="668">
        <f t="shared" si="14"/>
        <v>100</v>
      </c>
      <c r="X29" s="1265"/>
      <c r="Y29" s="341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1"/>
      <c r="Q30" s="1263" t="str">
        <f t="shared" si="11"/>
        <v>建筑面积</v>
      </c>
      <c r="R30" s="667" t="s">
        <v>14</v>
      </c>
      <c r="S30" s="668" t="e">
        <f t="shared" si="12"/>
        <v>#N/A</v>
      </c>
      <c r="T30" s="667" t="s">
        <v>14</v>
      </c>
      <c r="U30" s="668" t="e">
        <f t="shared" si="13"/>
        <v>#N/A</v>
      </c>
      <c r="V30" s="667" t="s">
        <v>14</v>
      </c>
      <c r="W30" s="668" t="e">
        <f t="shared" si="14"/>
        <v>#N/A</v>
      </c>
      <c r="X30" s="1265"/>
      <c r="Y30" s="341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1"/>
      <c r="Q31" s="530" t="str">
        <f t="shared" si="11"/>
        <v>是否封闭</v>
      </c>
      <c r="R31" s="664" t="s">
        <v>14</v>
      </c>
      <c r="S31" s="665">
        <f t="shared" si="12"/>
        <v>100</v>
      </c>
      <c r="T31" s="664" t="s">
        <v>14</v>
      </c>
      <c r="U31" s="665">
        <f t="shared" si="13"/>
        <v>100</v>
      </c>
      <c r="V31" s="664" t="s">
        <v>14</v>
      </c>
      <c r="W31" s="665">
        <f t="shared" si="14"/>
        <v>100</v>
      </c>
      <c r="X31" s="666"/>
      <c r="Y31" s="341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1" t="s">
        <v>1696</v>
      </c>
      <c r="Q32" s="1263">
        <f t="shared" si="11"/>
        <v>111</v>
      </c>
      <c r="R32" s="667" t="s">
        <v>14</v>
      </c>
      <c r="S32" s="668">
        <f t="shared" si="12"/>
        <v>100</v>
      </c>
      <c r="T32" s="667" t="s">
        <v>14</v>
      </c>
      <c r="U32" s="668">
        <f t="shared" si="13"/>
        <v>100</v>
      </c>
      <c r="V32" s="667" t="s">
        <v>14</v>
      </c>
      <c r="W32" s="668">
        <f t="shared" si="14"/>
        <v>100</v>
      </c>
      <c r="X32" s="1265"/>
      <c r="Y32" s="341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1"/>
      <c r="Q33" s="1263">
        <f t="shared" si="11"/>
        <v>111</v>
      </c>
      <c r="R33" s="667" t="s">
        <v>14</v>
      </c>
      <c r="S33" s="668">
        <f t="shared" si="12"/>
        <v>100</v>
      </c>
      <c r="T33" s="667" t="s">
        <v>14</v>
      </c>
      <c r="U33" s="668">
        <f t="shared" si="13"/>
        <v>100</v>
      </c>
      <c r="V33" s="667" t="s">
        <v>14</v>
      </c>
      <c r="W33" s="668">
        <f t="shared" si="14"/>
        <v>100</v>
      </c>
      <c r="X33" s="1265"/>
      <c r="Y33" s="341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4" t="str">
        <f>A35</f>
        <v>成交单价（元/平方米）</v>
      </c>
      <c r="Q35" s="3404"/>
      <c r="R35" s="3405">
        <f>E35</f>
        <v>0</v>
      </c>
      <c r="S35" s="3405"/>
      <c r="T35" s="3405">
        <f>G35</f>
        <v>0</v>
      </c>
      <c r="U35" s="3405"/>
      <c r="V35" s="3405">
        <f>I35</f>
        <v>0</v>
      </c>
      <c r="W35" s="340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4" t="str">
        <f>A36</f>
        <v>比较价值（元/平方米）</v>
      </c>
      <c r="Q36" s="340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1" t="str">
        <f>A37</f>
        <v>估价对象XX用房的比较价值（楼面单价，元/平方米）</v>
      </c>
      <c r="Q37" s="3402"/>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23" t="s">
        <v>1775</v>
      </c>
      <c r="Q4" s="3424"/>
      <c r="R4" s="3429" t="s">
        <v>1771</v>
      </c>
      <c r="S4" s="3430"/>
      <c r="T4" s="3429" t="s">
        <v>1772</v>
      </c>
      <c r="U4" s="3430"/>
      <c r="V4" s="3405" t="s">
        <v>1773</v>
      </c>
      <c r="W4" s="3405"/>
      <c r="X4" s="1265"/>
      <c r="Y4" s="3429" t="s">
        <v>1775</v>
      </c>
      <c r="Z4" s="3430"/>
      <c r="AA4" s="3416" t="s">
        <v>1771</v>
      </c>
      <c r="AB4" s="3417" t="s">
        <v>1772</v>
      </c>
      <c r="AC4" s="3416" t="s">
        <v>1773</v>
      </c>
    </row>
    <row r="5" spans="1:29" ht="15">
      <c r="A5" s="348"/>
      <c r="B5" s="349"/>
      <c r="C5" s="3437" t="s">
        <v>1673</v>
      </c>
      <c r="D5" s="3438"/>
      <c r="E5" s="3444" t="s">
        <v>1674</v>
      </c>
      <c r="F5" s="3445"/>
      <c r="G5" s="3437" t="s">
        <v>1675</v>
      </c>
      <c r="H5" s="3438"/>
      <c r="I5" s="3437" t="s">
        <v>1676</v>
      </c>
      <c r="J5" s="3438"/>
      <c r="K5" s="537"/>
      <c r="L5" s="2487"/>
      <c r="M5" s="2488"/>
      <c r="N5" s="2488"/>
      <c r="O5" s="2488"/>
      <c r="P5" s="3425"/>
      <c r="Q5" s="3426"/>
      <c r="R5" s="3431"/>
      <c r="S5" s="3432"/>
      <c r="T5" s="3431"/>
      <c r="U5" s="3432"/>
      <c r="V5" s="3405"/>
      <c r="W5" s="3405"/>
      <c r="X5" s="1265"/>
      <c r="Y5" s="3431"/>
      <c r="Z5" s="3432"/>
      <c r="AA5" s="3417"/>
      <c r="AB5" s="3417"/>
      <c r="AC5" s="3417"/>
    </row>
    <row r="6" spans="1:29" ht="15.75" thickBot="1">
      <c r="A6" s="350"/>
      <c r="B6" s="351"/>
      <c r="C6" s="3435" t="s">
        <v>1677</v>
      </c>
      <c r="D6" s="3436"/>
      <c r="E6" s="3442" t="s">
        <v>1677</v>
      </c>
      <c r="F6" s="3443"/>
      <c r="G6" s="3435" t="s">
        <v>1677</v>
      </c>
      <c r="H6" s="3436"/>
      <c r="I6" s="3435" t="s">
        <v>1677</v>
      </c>
      <c r="J6" s="3436"/>
      <c r="K6" s="537" t="s">
        <v>1678</v>
      </c>
      <c r="L6" s="2487"/>
      <c r="M6" s="2488"/>
      <c r="N6" s="2488"/>
      <c r="O6" s="2488"/>
      <c r="P6" s="3427"/>
      <c r="Q6" s="3428"/>
      <c r="R6" s="3431"/>
      <c r="S6" s="3432"/>
      <c r="T6" s="3433"/>
      <c r="U6" s="3434"/>
      <c r="V6" s="3405"/>
      <c r="W6" s="3405"/>
      <c r="X6" s="1265"/>
      <c r="Y6" s="3433"/>
      <c r="Z6" s="3434"/>
      <c r="AA6" s="3418"/>
      <c r="AB6" s="3418"/>
      <c r="AC6" s="3418"/>
    </row>
    <row r="7" spans="1:29" s="102" customFormat="1" ht="15.75" thickBot="1">
      <c r="A7" s="352" t="s">
        <v>1679</v>
      </c>
      <c r="B7" s="353"/>
      <c r="C7" s="354">
        <f>'数据-取费表'!B2</f>
        <v>45898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9" t="s">
        <v>1680</v>
      </c>
      <c r="Q7" s="3441"/>
      <c r="R7" s="664" t="s">
        <v>14</v>
      </c>
      <c r="S7" s="665">
        <f t="shared" ref="S7:S15" si="0">F7</f>
        <v>0</v>
      </c>
      <c r="T7" s="664" t="s">
        <v>14</v>
      </c>
      <c r="U7" s="665">
        <f t="shared" ref="U7:U15" si="1">H7</f>
        <v>0</v>
      </c>
      <c r="V7" s="664" t="s">
        <v>14</v>
      </c>
      <c r="W7" s="665">
        <f t="shared" ref="W7:W15" si="2">J7</f>
        <v>0</v>
      </c>
      <c r="X7" s="666"/>
      <c r="Y7" s="3439" t="s">
        <v>1680</v>
      </c>
      <c r="Z7" s="344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9" t="s">
        <v>1683</v>
      </c>
      <c r="Q8" s="3440"/>
      <c r="R8" s="664" t="s">
        <v>14</v>
      </c>
      <c r="S8" s="665">
        <f t="shared" si="0"/>
        <v>0</v>
      </c>
      <c r="T8" s="664" t="s">
        <v>14</v>
      </c>
      <c r="U8" s="665">
        <f t="shared" si="1"/>
        <v>0</v>
      </c>
      <c r="V8" s="664" t="s">
        <v>14</v>
      </c>
      <c r="W8" s="665">
        <f t="shared" si="2"/>
        <v>0</v>
      </c>
      <c r="X8" s="666"/>
      <c r="Y8" s="3439" t="s">
        <v>1683</v>
      </c>
      <c r="Z8" s="344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4"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176</v>
      </c>
      <c r="G10" s="402"/>
      <c r="H10" s="119">
        <f>ROUND(100/'数据-取费表'!G16,0)</f>
        <v>176</v>
      </c>
      <c r="I10" s="402"/>
      <c r="J10" s="119">
        <f>ROUND(100/'数据-取费表'!G16,0)</f>
        <v>176</v>
      </c>
      <c r="K10" s="592"/>
      <c r="L10" s="2490"/>
      <c r="M10" s="2491"/>
      <c r="N10" s="2491"/>
      <c r="O10" s="2542"/>
      <c r="P10" s="3404"/>
      <c r="Q10" s="530" t="str">
        <f t="shared" si="6"/>
        <v>土地使用年限（年）</v>
      </c>
      <c r="R10" s="664" t="s">
        <v>14</v>
      </c>
      <c r="S10" s="665">
        <f t="shared" si="0"/>
        <v>176</v>
      </c>
      <c r="T10" s="664" t="s">
        <v>14</v>
      </c>
      <c r="U10" s="665">
        <f t="shared" si="1"/>
        <v>176</v>
      </c>
      <c r="V10" s="664" t="s">
        <v>14</v>
      </c>
      <c r="W10" s="665">
        <f t="shared" si="2"/>
        <v>176</v>
      </c>
      <c r="X10" s="666"/>
      <c r="Y10" s="3260"/>
      <c r="Z10" s="50" t="str">
        <f t="shared" si="7"/>
        <v>土地使用年限（年）</v>
      </c>
      <c r="AA10" s="50">
        <f t="shared" si="3"/>
        <v>0.56818181818181823</v>
      </c>
      <c r="AB10" s="50">
        <f t="shared" si="4"/>
        <v>0.56818181818181823</v>
      </c>
      <c r="AC10" s="50">
        <f t="shared" si="5"/>
        <v>0.56818181818181823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4"/>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4"/>
      <c r="Q12" s="530" t="str">
        <f t="shared" si="6"/>
        <v>配建</v>
      </c>
      <c r="R12" s="664" t="s">
        <v>14</v>
      </c>
      <c r="S12" s="665">
        <f t="shared" si="0"/>
        <v>100</v>
      </c>
      <c r="T12" s="664" t="s">
        <v>14</v>
      </c>
      <c r="U12" s="665">
        <f t="shared" si="1"/>
        <v>100</v>
      </c>
      <c r="V12" s="664" t="s">
        <v>14</v>
      </c>
      <c r="W12" s="665">
        <f t="shared" si="2"/>
        <v>100</v>
      </c>
      <c r="X12" s="666"/>
      <c r="Y12" s="326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4"/>
      <c r="Q13" s="530">
        <f t="shared" si="6"/>
        <v>111</v>
      </c>
      <c r="R13" s="664" t="s">
        <v>14</v>
      </c>
      <c r="S13" s="665">
        <f t="shared" si="0"/>
        <v>100</v>
      </c>
      <c r="T13" s="664" t="s">
        <v>14</v>
      </c>
      <c r="U13" s="665">
        <f t="shared" si="1"/>
        <v>100</v>
      </c>
      <c r="V13" s="664" t="s">
        <v>14</v>
      </c>
      <c r="W13" s="665">
        <f t="shared" si="2"/>
        <v>100</v>
      </c>
      <c r="X13" s="666"/>
      <c r="Y13" s="326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4"/>
      <c r="Q14" s="530">
        <f t="shared" si="6"/>
        <v>111</v>
      </c>
      <c r="R14" s="664" t="s">
        <v>14</v>
      </c>
      <c r="S14" s="665">
        <f t="shared" si="0"/>
        <v>100</v>
      </c>
      <c r="T14" s="664" t="s">
        <v>14</v>
      </c>
      <c r="U14" s="665">
        <f t="shared" si="1"/>
        <v>100</v>
      </c>
      <c r="V14" s="664" t="s">
        <v>14</v>
      </c>
      <c r="W14" s="665">
        <f t="shared" si="2"/>
        <v>100</v>
      </c>
      <c r="X14" s="666"/>
      <c r="Y14" s="326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6" t="s">
        <v>1691</v>
      </c>
      <c r="Q15" s="1263" t="str">
        <f t="shared" si="6"/>
        <v>居住社区成熟度</v>
      </c>
      <c r="R15" s="667" t="s">
        <v>14</v>
      </c>
      <c r="S15" s="668">
        <f t="shared" si="0"/>
        <v>100</v>
      </c>
      <c r="T15" s="667" t="s">
        <v>14</v>
      </c>
      <c r="U15" s="668">
        <f t="shared" si="1"/>
        <v>100</v>
      </c>
      <c r="V15" s="667" t="s">
        <v>14</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7"/>
      <c r="Q16" s="1263"/>
      <c r="R16" s="667"/>
      <c r="S16" s="668"/>
      <c r="T16" s="667"/>
      <c r="U16" s="668"/>
      <c r="V16" s="667"/>
      <c r="W16" s="668"/>
      <c r="X16" s="1265"/>
      <c r="Y16" s="3407"/>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7"/>
      <c r="Q17" s="1263" t="str">
        <f>B17</f>
        <v>商业繁华度</v>
      </c>
      <c r="R17" s="667" t="s">
        <v>14</v>
      </c>
      <c r="S17" s="668">
        <f>F17</f>
        <v>100</v>
      </c>
      <c r="T17" s="667" t="s">
        <v>14</v>
      </c>
      <c r="U17" s="668">
        <f>H17</f>
        <v>100</v>
      </c>
      <c r="V17" s="667" t="s">
        <v>14</v>
      </c>
      <c r="W17" s="668">
        <f>J17</f>
        <v>100</v>
      </c>
      <c r="X17" s="1265"/>
      <c r="Y17" s="340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7"/>
      <c r="Q18" s="1263"/>
      <c r="R18" s="667"/>
      <c r="S18" s="668"/>
      <c r="T18" s="667"/>
      <c r="U18" s="668"/>
      <c r="V18" s="667"/>
      <c r="W18" s="668"/>
      <c r="X18" s="1265"/>
      <c r="Y18" s="3407"/>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7"/>
      <c r="Q19" s="1263" t="str">
        <f>B19</f>
        <v>办公集聚程度</v>
      </c>
      <c r="R19" s="667" t="s">
        <v>14</v>
      </c>
      <c r="S19" s="668">
        <f>F19</f>
        <v>100</v>
      </c>
      <c r="T19" s="667" t="s">
        <v>14</v>
      </c>
      <c r="U19" s="668">
        <f>H19</f>
        <v>100</v>
      </c>
      <c r="V19" s="667" t="s">
        <v>14</v>
      </c>
      <c r="W19" s="668">
        <f>J19</f>
        <v>100</v>
      </c>
      <c r="X19" s="1265"/>
      <c r="Y19" s="340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7"/>
      <c r="Q20" s="1263"/>
      <c r="R20" s="667"/>
      <c r="S20" s="668"/>
      <c r="T20" s="667"/>
      <c r="U20" s="668"/>
      <c r="V20" s="667"/>
      <c r="W20" s="668"/>
      <c r="X20" s="1265"/>
      <c r="Y20" s="3407"/>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7"/>
      <c r="Q21" s="1263" t="str">
        <f>B21</f>
        <v>交通便捷度</v>
      </c>
      <c r="R21" s="667" t="s">
        <v>14</v>
      </c>
      <c r="S21" s="668">
        <f>F21</f>
        <v>100</v>
      </c>
      <c r="T21" s="667" t="s">
        <v>14</v>
      </c>
      <c r="U21" s="668">
        <f>H21</f>
        <v>100</v>
      </c>
      <c r="V21" s="667" t="s">
        <v>14</v>
      </c>
      <c r="W21" s="668">
        <f>J21</f>
        <v>100</v>
      </c>
      <c r="X21" s="1265"/>
      <c r="Y21" s="340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7"/>
      <c r="Q22" s="1263"/>
      <c r="R22" s="667"/>
      <c r="S22" s="668"/>
      <c r="T22" s="667"/>
      <c r="U22" s="668"/>
      <c r="V22" s="667"/>
      <c r="W22" s="668"/>
      <c r="X22" s="1265"/>
      <c r="Y22" s="340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7"/>
      <c r="Q23" s="1263" t="str">
        <f t="shared" ref="Q23:Q37" si="8">B23</f>
        <v>区域土地利用方向</v>
      </c>
      <c r="R23" s="667" t="s">
        <v>14</v>
      </c>
      <c r="S23" s="668">
        <f>F23</f>
        <v>100</v>
      </c>
      <c r="T23" s="667" t="s">
        <v>14</v>
      </c>
      <c r="U23" s="668">
        <f>H23</f>
        <v>100</v>
      </c>
      <c r="V23" s="667" t="s">
        <v>14</v>
      </c>
      <c r="W23" s="668">
        <f>J23</f>
        <v>100</v>
      </c>
      <c r="X23" s="1265"/>
      <c r="Y23" s="340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7"/>
      <c r="Q24" s="1263"/>
      <c r="R24" s="667"/>
      <c r="S24" s="668"/>
      <c r="T24" s="667"/>
      <c r="U24" s="668"/>
      <c r="V24" s="667"/>
      <c r="W24" s="668"/>
      <c r="X24" s="1265"/>
      <c r="Y24" s="3407"/>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7"/>
      <c r="Q25" s="1263" t="str">
        <f t="shared" si="8"/>
        <v>自然及人文环境状况</v>
      </c>
      <c r="R25" s="667" t="s">
        <v>14</v>
      </c>
      <c r="S25" s="668">
        <f>F25</f>
        <v>100</v>
      </c>
      <c r="T25" s="667" t="s">
        <v>14</v>
      </c>
      <c r="U25" s="668">
        <f>H25</f>
        <v>100</v>
      </c>
      <c r="V25" s="667" t="s">
        <v>14</v>
      </c>
      <c r="W25" s="668">
        <f>J25</f>
        <v>100</v>
      </c>
      <c r="X25" s="1265"/>
      <c r="Y25" s="340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7"/>
      <c r="Q26" s="1263"/>
      <c r="R26" s="667"/>
      <c r="S26" s="668"/>
      <c r="T26" s="667"/>
      <c r="U26" s="668"/>
      <c r="V26" s="667"/>
      <c r="W26" s="668"/>
      <c r="X26" s="1265"/>
      <c r="Y26" s="3407"/>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7"/>
      <c r="Q27" s="530" t="str">
        <f t="shared" si="8"/>
        <v>公共配套设施</v>
      </c>
      <c r="R27" s="664" t="s">
        <v>14</v>
      </c>
      <c r="S27" s="665">
        <f>F27</f>
        <v>100</v>
      </c>
      <c r="T27" s="664" t="s">
        <v>14</v>
      </c>
      <c r="U27" s="665">
        <f>H27</f>
        <v>100</v>
      </c>
      <c r="V27" s="664" t="s">
        <v>14</v>
      </c>
      <c r="W27" s="665">
        <f>J27</f>
        <v>100</v>
      </c>
      <c r="X27" s="666"/>
      <c r="Y27" s="340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7"/>
      <c r="Q28" s="530"/>
      <c r="R28" s="664"/>
      <c r="S28" s="665"/>
      <c r="T28" s="664"/>
      <c r="U28" s="665"/>
      <c r="V28" s="664"/>
      <c r="W28" s="665"/>
      <c r="X28" s="666"/>
      <c r="Y28" s="3407"/>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7"/>
      <c r="Q29" s="530" t="str">
        <f t="shared" ref="Q29" si="9">B29</f>
        <v>基础设施水平</v>
      </c>
      <c r="R29" s="664" t="s">
        <v>14</v>
      </c>
      <c r="S29" s="665">
        <f>F29</f>
        <v>100</v>
      </c>
      <c r="T29" s="664" t="s">
        <v>14</v>
      </c>
      <c r="U29" s="665">
        <f>H29</f>
        <v>100</v>
      </c>
      <c r="V29" s="664" t="s">
        <v>14</v>
      </c>
      <c r="W29" s="665">
        <f>J29</f>
        <v>100</v>
      </c>
      <c r="X29" s="666"/>
      <c r="Y29" s="340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7"/>
      <c r="Q30" s="530"/>
      <c r="R30" s="664"/>
      <c r="S30" s="665"/>
      <c r="T30" s="664"/>
      <c r="U30" s="665"/>
      <c r="V30" s="664"/>
      <c r="W30" s="665"/>
      <c r="X30" s="666"/>
      <c r="Y30" s="340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7"/>
      <c r="Q32" s="1263" t="str">
        <f t="shared" si="8"/>
        <v>毗邻道路的类型与等级</v>
      </c>
      <c r="R32" s="667" t="s">
        <v>14</v>
      </c>
      <c r="S32" s="668">
        <f t="shared" si="10"/>
        <v>100</v>
      </c>
      <c r="T32" s="667" t="s">
        <v>14</v>
      </c>
      <c r="U32" s="668">
        <f t="shared" si="11"/>
        <v>100</v>
      </c>
      <c r="V32" s="667" t="s">
        <v>14</v>
      </c>
      <c r="W32" s="668">
        <f t="shared" si="12"/>
        <v>100</v>
      </c>
      <c r="X32" s="1265"/>
      <c r="Y32" s="340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7"/>
      <c r="Q33" s="1263"/>
      <c r="R33" s="667"/>
      <c r="S33" s="668"/>
      <c r="T33" s="667"/>
      <c r="U33" s="668"/>
      <c r="V33" s="667"/>
      <c r="W33" s="668"/>
      <c r="X33" s="1265"/>
      <c r="Y33" s="340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7"/>
      <c r="Q34" s="1263" t="str">
        <f t="shared" si="8"/>
        <v>土地级别</v>
      </c>
      <c r="R34" s="667" t="s">
        <v>14</v>
      </c>
      <c r="S34" s="668">
        <f t="shared" si="10"/>
        <v>100</v>
      </c>
      <c r="T34" s="667" t="s">
        <v>14</v>
      </c>
      <c r="U34" s="668">
        <f t="shared" si="11"/>
        <v>100</v>
      </c>
      <c r="V34" s="667" t="s">
        <v>14</v>
      </c>
      <c r="W34" s="668">
        <f t="shared" si="12"/>
        <v>100</v>
      </c>
      <c r="X34" s="1265"/>
      <c r="Y34" s="340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7"/>
      <c r="Q35" s="1263">
        <f t="shared" si="8"/>
        <v>111</v>
      </c>
      <c r="R35" s="667" t="s">
        <v>14</v>
      </c>
      <c r="S35" s="668">
        <f t="shared" si="10"/>
        <v>100</v>
      </c>
      <c r="T35" s="667" t="s">
        <v>14</v>
      </c>
      <c r="U35" s="668">
        <f t="shared" si="11"/>
        <v>100</v>
      </c>
      <c r="V35" s="667" t="s">
        <v>14</v>
      </c>
      <c r="W35" s="668">
        <f t="shared" si="12"/>
        <v>100</v>
      </c>
      <c r="X35" s="1265"/>
      <c r="Y35" s="340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1" t="s">
        <v>1696</v>
      </c>
      <c r="Q36" s="1263">
        <f t="shared" si="8"/>
        <v>111</v>
      </c>
      <c r="R36" s="667" t="s">
        <v>14</v>
      </c>
      <c r="S36" s="668">
        <f t="shared" si="10"/>
        <v>100</v>
      </c>
      <c r="T36" s="667" t="s">
        <v>14</v>
      </c>
      <c r="U36" s="668">
        <f t="shared" si="11"/>
        <v>100</v>
      </c>
      <c r="V36" s="667" t="s">
        <v>14</v>
      </c>
      <c r="W36" s="668">
        <f t="shared" si="12"/>
        <v>100</v>
      </c>
      <c r="X36" s="1265"/>
      <c r="Y36" s="341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1"/>
      <c r="Q37" s="1263">
        <f t="shared" si="8"/>
        <v>111</v>
      </c>
      <c r="R37" s="669" t="s">
        <v>14</v>
      </c>
      <c r="S37" s="670">
        <f t="shared" si="10"/>
        <v>100</v>
      </c>
      <c r="T37" s="669" t="s">
        <v>14</v>
      </c>
      <c r="U37" s="670">
        <f t="shared" si="11"/>
        <v>100</v>
      </c>
      <c r="V37" s="669" t="s">
        <v>14</v>
      </c>
      <c r="W37" s="670">
        <f t="shared" si="12"/>
        <v>100</v>
      </c>
      <c r="X37" s="671"/>
      <c r="Y37" s="341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1"/>
      <c r="Q38" s="1263" t="str">
        <f>B38</f>
        <v>宗地面积</v>
      </c>
      <c r="R38" s="667" t="s">
        <v>14</v>
      </c>
      <c r="S38" s="668" t="e">
        <f t="shared" si="10"/>
        <v>#N/A</v>
      </c>
      <c r="T38" s="667" t="s">
        <v>14</v>
      </c>
      <c r="U38" s="668" t="e">
        <f t="shared" si="11"/>
        <v>#N/A</v>
      </c>
      <c r="V38" s="667" t="s">
        <v>14</v>
      </c>
      <c r="W38" s="668" t="e">
        <f t="shared" si="12"/>
        <v>#N/A</v>
      </c>
      <c r="X38" s="1265"/>
      <c r="Y38" s="341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1"/>
      <c r="Q39" s="1263" t="str">
        <f t="shared" ref="Q39:Q45" si="14">B39</f>
        <v>宗地形状</v>
      </c>
      <c r="R39" s="667" t="s">
        <v>14</v>
      </c>
      <c r="S39" s="668">
        <f t="shared" si="10"/>
        <v>100</v>
      </c>
      <c r="T39" s="667" t="s">
        <v>14</v>
      </c>
      <c r="U39" s="668">
        <f t="shared" si="11"/>
        <v>100</v>
      </c>
      <c r="V39" s="667" t="s">
        <v>14</v>
      </c>
      <c r="W39" s="668">
        <f t="shared" si="12"/>
        <v>100</v>
      </c>
      <c r="X39" s="1265"/>
      <c r="Y39" s="341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1"/>
      <c r="Q40" s="1263" t="str">
        <f t="shared" si="14"/>
        <v>临街宽度及深度</v>
      </c>
      <c r="R40" s="667" t="s">
        <v>14</v>
      </c>
      <c r="S40" s="668">
        <f t="shared" si="10"/>
        <v>100</v>
      </c>
      <c r="T40" s="667" t="s">
        <v>14</v>
      </c>
      <c r="U40" s="668">
        <f t="shared" si="11"/>
        <v>100</v>
      </c>
      <c r="V40" s="667" t="s">
        <v>14</v>
      </c>
      <c r="W40" s="668">
        <f t="shared" si="12"/>
        <v>100</v>
      </c>
      <c r="X40" s="1265"/>
      <c r="Y40" s="341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1"/>
      <c r="Q41" s="1263" t="str">
        <f t="shared" si="14"/>
        <v>宗地开发程度</v>
      </c>
      <c r="R41" s="664" t="s">
        <v>14</v>
      </c>
      <c r="S41" s="665">
        <f t="shared" si="10"/>
        <v>100</v>
      </c>
      <c r="T41" s="664" t="s">
        <v>14</v>
      </c>
      <c r="U41" s="665">
        <f t="shared" si="11"/>
        <v>100</v>
      </c>
      <c r="V41" s="664" t="s">
        <v>14</v>
      </c>
      <c r="W41" s="665">
        <f t="shared" si="12"/>
        <v>100</v>
      </c>
      <c r="X41" s="666"/>
      <c r="Y41" s="341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1" t="s">
        <v>1696</v>
      </c>
      <c r="Q42" s="1263" t="str">
        <f t="shared" si="14"/>
        <v>工程地质条件</v>
      </c>
      <c r="R42" s="667" t="s">
        <v>14</v>
      </c>
      <c r="S42" s="668">
        <f t="shared" si="10"/>
        <v>100</v>
      </c>
      <c r="T42" s="667" t="s">
        <v>14</v>
      </c>
      <c r="U42" s="668">
        <f t="shared" si="11"/>
        <v>100</v>
      </c>
      <c r="V42" s="667" t="s">
        <v>14</v>
      </c>
      <c r="W42" s="668">
        <f t="shared" si="12"/>
        <v>100</v>
      </c>
      <c r="X42" s="1265"/>
      <c r="Y42" s="341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1"/>
      <c r="Q43" s="1263">
        <f t="shared" si="14"/>
        <v>111</v>
      </c>
      <c r="R43" s="667" t="s">
        <v>14</v>
      </c>
      <c r="S43" s="668">
        <f t="shared" si="10"/>
        <v>100</v>
      </c>
      <c r="T43" s="667" t="s">
        <v>14</v>
      </c>
      <c r="U43" s="668">
        <f t="shared" si="11"/>
        <v>100</v>
      </c>
      <c r="V43" s="667" t="s">
        <v>14</v>
      </c>
      <c r="W43" s="668">
        <f t="shared" si="12"/>
        <v>100</v>
      </c>
      <c r="X43" s="1265"/>
      <c r="Y43" s="341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1"/>
      <c r="Q44" s="1263">
        <f t="shared" si="14"/>
        <v>111</v>
      </c>
      <c r="R44" s="667" t="s">
        <v>14</v>
      </c>
      <c r="S44" s="668">
        <f t="shared" si="10"/>
        <v>100</v>
      </c>
      <c r="T44" s="667" t="s">
        <v>14</v>
      </c>
      <c r="U44" s="668">
        <f t="shared" si="11"/>
        <v>100</v>
      </c>
      <c r="V44" s="667" t="s">
        <v>14</v>
      </c>
      <c r="W44" s="668">
        <f t="shared" si="12"/>
        <v>100</v>
      </c>
      <c r="X44" s="1265"/>
      <c r="Y44" s="341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1"/>
      <c r="Q45" s="1263">
        <f t="shared" si="14"/>
        <v>111</v>
      </c>
      <c r="R45" s="669" t="s">
        <v>14</v>
      </c>
      <c r="S45" s="670">
        <f t="shared" si="10"/>
        <v>100</v>
      </c>
      <c r="T45" s="669" t="s">
        <v>14</v>
      </c>
      <c r="U45" s="670">
        <f t="shared" si="11"/>
        <v>100</v>
      </c>
      <c r="V45" s="669" t="s">
        <v>14</v>
      </c>
      <c r="W45" s="670">
        <f t="shared" si="12"/>
        <v>100</v>
      </c>
      <c r="X45" s="671"/>
      <c r="Y45" s="341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4" t="str">
        <f>A46</f>
        <v>成交单价</v>
      </c>
      <c r="Q46" s="3404"/>
      <c r="R46" s="3405">
        <f>E46</f>
        <v>0</v>
      </c>
      <c r="S46" s="3405"/>
      <c r="T46" s="3405">
        <f>G46</f>
        <v>0</v>
      </c>
      <c r="U46" s="3405"/>
      <c r="V46" s="3405">
        <f>I46</f>
        <v>0</v>
      </c>
      <c r="W46" s="340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4" t="str">
        <f>A47</f>
        <v>比较价值（元/平方米）</v>
      </c>
      <c r="Q47" s="3404"/>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1" t="str">
        <f>A48</f>
        <v>估价对象XX用房的比较价值（楼面单价，元/平方米）</v>
      </c>
      <c r="Q48" s="3402"/>
      <c r="R48" s="3464" t="e">
        <f>ROUND(IF(D47="简单平均",AVERAGE(R47:W47),R47*F47+T47*H47+V47*J47),0)</f>
        <v>#DIV/0!</v>
      </c>
      <c r="S48" s="3464"/>
      <c r="T48" s="3464"/>
      <c r="U48" s="3464"/>
      <c r="V48" s="3464"/>
      <c r="W48" s="346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9" t="s">
        <v>1887</v>
      </c>
      <c r="H55" s="346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1240.3</v>
      </c>
      <c r="F56" s="833" t="e">
        <f t="shared" ref="F56:F64" si="15">ROUND(B56*E56/10000,0)</f>
        <v>#DIV/0!</v>
      </c>
      <c r="G56" s="3415"/>
      <c r="H56" s="340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0.5</v>
      </c>
      <c r="D57" s="891">
        <v>0.25</v>
      </c>
      <c r="E57" s="614"/>
      <c r="F57" s="833" t="e">
        <f t="shared" si="15"/>
        <v>#DIV/0!</v>
      </c>
      <c r="G57" s="2751" t="s">
        <v>1892</v>
      </c>
      <c r="H57" s="834" t="str">
        <f>项目基本情况!B37</f>
        <v>十二级</v>
      </c>
      <c r="I57" s="838">
        <f>SUMIF(修正!A59:A70,H57,修正!B59:B70)</f>
        <v>0.5</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0.2</v>
      </c>
      <c r="D58" s="891">
        <v>0.25</v>
      </c>
      <c r="E58" s="614"/>
      <c r="F58" s="833" t="e">
        <f t="shared" si="15"/>
        <v>#DIV/0!</v>
      </c>
      <c r="G58" s="2752"/>
      <c r="H58" s="834" t="str">
        <f>项目基本情况!B37</f>
        <v>十二级</v>
      </c>
      <c r="I58" s="838">
        <f>SUMIF(修正!A59:A70,H58,修正!C59:C70)</f>
        <v>0.2</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v>
      </c>
      <c r="D59" s="891">
        <v>0.25</v>
      </c>
      <c r="E59" s="614"/>
      <c r="F59" s="833" t="e">
        <f t="shared" si="15"/>
        <v>#DIV/0!</v>
      </c>
      <c r="G59" s="2752"/>
      <c r="H59" s="834" t="str">
        <f>项目基本情况!B37</f>
        <v>十二级</v>
      </c>
      <c r="I59" s="838">
        <f>SUMIF(修正!A59:A70,H59,修正!D59:D70)</f>
        <v>0.2</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十二级</v>
      </c>
      <c r="I60" s="838">
        <f>SUMIF(修正!A59:A70,H60,修正!E59:E70)</f>
        <v>0.2</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十二级</v>
      </c>
      <c r="I61" s="838">
        <f>SUMIF(修正!A59:A70,H61,修正!F59:F70)</f>
        <v>0.2</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十二级</v>
      </c>
      <c r="I63" s="838">
        <f>SUMIF(修正!A59:A70,H63,修正!G59:G70)</f>
        <v>0.1</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十二级</v>
      </c>
      <c r="I64" s="840">
        <f>SUMIF(修正!A59:A70,H64,修正!G59:G70)</f>
        <v>0.1</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1240.3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23" t="s">
        <v>1775</v>
      </c>
      <c r="Q4" s="3424"/>
      <c r="R4" s="3429" t="s">
        <v>1771</v>
      </c>
      <c r="S4" s="3430"/>
      <c r="T4" s="3429" t="s">
        <v>1772</v>
      </c>
      <c r="U4" s="3430"/>
      <c r="V4" s="3405" t="s">
        <v>1773</v>
      </c>
      <c r="W4" s="3405"/>
      <c r="X4" s="1265"/>
      <c r="Y4" s="3429" t="s">
        <v>1775</v>
      </c>
      <c r="Z4" s="3430"/>
      <c r="AA4" s="3416" t="s">
        <v>1771</v>
      </c>
      <c r="AB4" s="3417" t="s">
        <v>1772</v>
      </c>
      <c r="AC4" s="3416" t="s">
        <v>1773</v>
      </c>
    </row>
    <row r="5" spans="1:29" ht="15">
      <c r="A5" s="348"/>
      <c r="B5" s="349"/>
      <c r="C5" s="3437" t="s">
        <v>1673</v>
      </c>
      <c r="D5" s="3438"/>
      <c r="E5" s="3444" t="s">
        <v>1674</v>
      </c>
      <c r="F5" s="3445"/>
      <c r="G5" s="3437" t="s">
        <v>1675</v>
      </c>
      <c r="H5" s="3438"/>
      <c r="I5" s="3437" t="s">
        <v>1676</v>
      </c>
      <c r="J5" s="3438"/>
      <c r="K5" s="537"/>
      <c r="L5" s="2487"/>
      <c r="M5" s="2488"/>
      <c r="N5" s="2488"/>
      <c r="O5" s="2488"/>
      <c r="P5" s="3425"/>
      <c r="Q5" s="3426"/>
      <c r="R5" s="3431"/>
      <c r="S5" s="3432"/>
      <c r="T5" s="3431"/>
      <c r="U5" s="3432"/>
      <c r="V5" s="3405"/>
      <c r="W5" s="3405"/>
      <c r="X5" s="1265"/>
      <c r="Y5" s="3431"/>
      <c r="Z5" s="3432"/>
      <c r="AA5" s="3417"/>
      <c r="AB5" s="3417"/>
      <c r="AC5" s="3417"/>
    </row>
    <row r="6" spans="1:29" ht="15.75" thickBot="1">
      <c r="A6" s="350"/>
      <c r="B6" s="351"/>
      <c r="C6" s="3466" t="s">
        <v>1919</v>
      </c>
      <c r="D6" s="3467"/>
      <c r="E6" s="3468" t="s">
        <v>1919</v>
      </c>
      <c r="F6" s="3469"/>
      <c r="G6" s="3466" t="s">
        <v>1919</v>
      </c>
      <c r="H6" s="3467"/>
      <c r="I6" s="3466" t="s">
        <v>1919</v>
      </c>
      <c r="J6" s="3467"/>
      <c r="K6" s="537" t="s">
        <v>1678</v>
      </c>
      <c r="L6" s="2487"/>
      <c r="M6" s="2488"/>
      <c r="N6" s="2488"/>
      <c r="O6" s="2488"/>
      <c r="P6" s="3427"/>
      <c r="Q6" s="3428"/>
      <c r="R6" s="3431"/>
      <c r="S6" s="3432"/>
      <c r="T6" s="3433"/>
      <c r="U6" s="3434"/>
      <c r="V6" s="3405"/>
      <c r="W6" s="3405"/>
      <c r="X6" s="1265"/>
      <c r="Y6" s="3433"/>
      <c r="Z6" s="3434"/>
      <c r="AA6" s="3418"/>
      <c r="AB6" s="3418"/>
      <c r="AC6" s="3418"/>
    </row>
    <row r="7" spans="1:29" s="102" customFormat="1" ht="15.75" thickBot="1">
      <c r="A7" s="352" t="s">
        <v>1679</v>
      </c>
      <c r="B7" s="353"/>
      <c r="C7" s="354">
        <f>'数据-取费表'!B2</f>
        <v>45898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9" t="s">
        <v>1680</v>
      </c>
      <c r="Q7" s="3441"/>
      <c r="R7" s="664" t="s">
        <v>14</v>
      </c>
      <c r="S7" s="665">
        <f t="shared" ref="S7:S15" si="0">F7</f>
        <v>0</v>
      </c>
      <c r="T7" s="664" t="s">
        <v>14</v>
      </c>
      <c r="U7" s="665">
        <f t="shared" ref="U7:U15" si="1">H7</f>
        <v>0</v>
      </c>
      <c r="V7" s="664" t="s">
        <v>14</v>
      </c>
      <c r="W7" s="665">
        <f t="shared" ref="W7:W15" si="2">J7</f>
        <v>0</v>
      </c>
      <c r="X7" s="666"/>
      <c r="Y7" s="3439" t="s">
        <v>1680</v>
      </c>
      <c r="Z7" s="344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9" t="s">
        <v>1683</v>
      </c>
      <c r="Q8" s="3440"/>
      <c r="R8" s="664" t="s">
        <v>14</v>
      </c>
      <c r="S8" s="665">
        <f t="shared" si="0"/>
        <v>0</v>
      </c>
      <c r="T8" s="664" t="s">
        <v>14</v>
      </c>
      <c r="U8" s="665">
        <f t="shared" si="1"/>
        <v>0</v>
      </c>
      <c r="V8" s="664" t="s">
        <v>14</v>
      </c>
      <c r="W8" s="665">
        <f t="shared" si="2"/>
        <v>0</v>
      </c>
      <c r="X8" s="666"/>
      <c r="Y8" s="3439" t="s">
        <v>1683</v>
      </c>
      <c r="Z8" s="344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4"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176</v>
      </c>
      <c r="G10" s="371"/>
      <c r="H10" s="119">
        <f>ROUND(100/'数据-取费表'!G16,0)</f>
        <v>176</v>
      </c>
      <c r="I10" s="371"/>
      <c r="J10" s="119">
        <f>ROUND(100/'数据-取费表'!G16,0)</f>
        <v>176</v>
      </c>
      <c r="K10" s="592"/>
      <c r="L10" s="2490"/>
      <c r="M10" s="2491"/>
      <c r="N10" s="2491"/>
      <c r="O10" s="2542"/>
      <c r="P10" s="3404"/>
      <c r="Q10" s="530" t="str">
        <f t="shared" si="6"/>
        <v>土地使用年限（年）</v>
      </c>
      <c r="R10" s="664" t="s">
        <v>14</v>
      </c>
      <c r="S10" s="665">
        <f t="shared" si="0"/>
        <v>176</v>
      </c>
      <c r="T10" s="664" t="s">
        <v>14</v>
      </c>
      <c r="U10" s="665">
        <f t="shared" si="1"/>
        <v>176</v>
      </c>
      <c r="V10" s="664" t="s">
        <v>14</v>
      </c>
      <c r="W10" s="665">
        <f t="shared" si="2"/>
        <v>176</v>
      </c>
      <c r="X10" s="666"/>
      <c r="Y10" s="3260"/>
      <c r="Z10" s="50" t="str">
        <f t="shared" si="7"/>
        <v>土地使用年限（年）</v>
      </c>
      <c r="AA10" s="50">
        <f t="shared" si="3"/>
        <v>0.56818181818181823</v>
      </c>
      <c r="AB10" s="50">
        <f t="shared" si="4"/>
        <v>0.56818181818181823</v>
      </c>
      <c r="AC10" s="50">
        <f t="shared" si="5"/>
        <v>0.56818181818181823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4"/>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4"/>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4"/>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4"/>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7"/>
      <c r="Q16" s="1263"/>
      <c r="R16" s="667"/>
      <c r="S16" s="668"/>
      <c r="T16" s="667"/>
      <c r="U16" s="668"/>
      <c r="V16" s="667"/>
      <c r="W16" s="668"/>
      <c r="X16" s="1265"/>
      <c r="Y16" s="3407"/>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7"/>
      <c r="Q18" s="1263"/>
      <c r="R18" s="667"/>
      <c r="S18" s="668"/>
      <c r="T18" s="667"/>
      <c r="U18" s="668"/>
      <c r="V18" s="667"/>
      <c r="W18" s="668"/>
      <c r="X18" s="1265"/>
      <c r="Y18" s="340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7"/>
      <c r="Q19" s="1263" t="str">
        <f t="shared" ref="Q19:Q33" si="8">B19</f>
        <v>区域土地利用方向</v>
      </c>
      <c r="R19" s="667" t="s">
        <v>14</v>
      </c>
      <c r="S19" s="668">
        <f>F19</f>
        <v>100</v>
      </c>
      <c r="T19" s="667" t="s">
        <v>14</v>
      </c>
      <c r="U19" s="668">
        <f>H19</f>
        <v>100</v>
      </c>
      <c r="V19" s="667" t="s">
        <v>14</v>
      </c>
      <c r="W19" s="668">
        <f>J19</f>
        <v>100</v>
      </c>
      <c r="X19" s="1265"/>
      <c r="Y19" s="340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7"/>
      <c r="Q20" s="1263"/>
      <c r="R20" s="667"/>
      <c r="S20" s="668"/>
      <c r="T20" s="667"/>
      <c r="U20" s="668"/>
      <c r="V20" s="667"/>
      <c r="W20" s="668"/>
      <c r="X20" s="1265"/>
      <c r="Y20" s="3407"/>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7"/>
      <c r="Q21" s="1263" t="str">
        <f t="shared" si="8"/>
        <v>环境状况</v>
      </c>
      <c r="R21" s="667" t="s">
        <v>14</v>
      </c>
      <c r="S21" s="668">
        <f>F21</f>
        <v>100</v>
      </c>
      <c r="T21" s="667" t="s">
        <v>14</v>
      </c>
      <c r="U21" s="668">
        <f>H21</f>
        <v>100</v>
      </c>
      <c r="V21" s="667" t="s">
        <v>14</v>
      </c>
      <c r="W21" s="668">
        <f>J21</f>
        <v>100</v>
      </c>
      <c r="X21" s="1265"/>
      <c r="Y21" s="340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7"/>
      <c r="Q22" s="1263"/>
      <c r="R22" s="667"/>
      <c r="S22" s="668"/>
      <c r="T22" s="667"/>
      <c r="U22" s="668"/>
      <c r="V22" s="667"/>
      <c r="W22" s="668"/>
      <c r="X22" s="1265"/>
      <c r="Y22" s="3407"/>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7"/>
      <c r="Q23" s="530" t="str">
        <f t="shared" si="8"/>
        <v>公共配套设施</v>
      </c>
      <c r="R23" s="664" t="s">
        <v>14</v>
      </c>
      <c r="S23" s="665">
        <f>F23</f>
        <v>100</v>
      </c>
      <c r="T23" s="664" t="s">
        <v>14</v>
      </c>
      <c r="U23" s="665">
        <f>H23</f>
        <v>100</v>
      </c>
      <c r="V23" s="664" t="s">
        <v>14</v>
      </c>
      <c r="W23" s="665">
        <f>J23</f>
        <v>100</v>
      </c>
      <c r="X23" s="666"/>
      <c r="Y23" s="340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7"/>
      <c r="Q24" s="530"/>
      <c r="R24" s="664"/>
      <c r="S24" s="665"/>
      <c r="T24" s="664"/>
      <c r="U24" s="665"/>
      <c r="V24" s="664"/>
      <c r="W24" s="665"/>
      <c r="X24" s="666"/>
      <c r="Y24" s="3407"/>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7"/>
      <c r="Q25" s="530" t="str">
        <f t="shared" ref="Q25" si="9">B25</f>
        <v>基础设施水平</v>
      </c>
      <c r="R25" s="664" t="s">
        <v>14</v>
      </c>
      <c r="S25" s="665">
        <f>F25</f>
        <v>100</v>
      </c>
      <c r="T25" s="664" t="s">
        <v>14</v>
      </c>
      <c r="U25" s="665">
        <f>H25</f>
        <v>100</v>
      </c>
      <c r="V25" s="664" t="s">
        <v>14</v>
      </c>
      <c r="W25" s="665">
        <f>J25</f>
        <v>100</v>
      </c>
      <c r="X25" s="666"/>
      <c r="Y25" s="340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7"/>
      <c r="Q26" s="530"/>
      <c r="R26" s="664"/>
      <c r="S26" s="665"/>
      <c r="T26" s="664"/>
      <c r="U26" s="665"/>
      <c r="V26" s="664"/>
      <c r="W26" s="665"/>
      <c r="X26" s="666"/>
      <c r="Y26" s="340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7"/>
      <c r="Q28" s="1263" t="str">
        <f t="shared" si="8"/>
        <v>毗邻道路的类型与等级</v>
      </c>
      <c r="R28" s="667" t="s">
        <v>14</v>
      </c>
      <c r="S28" s="668">
        <f t="shared" si="10"/>
        <v>100</v>
      </c>
      <c r="T28" s="667" t="s">
        <v>14</v>
      </c>
      <c r="U28" s="668">
        <f t="shared" si="11"/>
        <v>100</v>
      </c>
      <c r="V28" s="667" t="s">
        <v>14</v>
      </c>
      <c r="W28" s="668">
        <f t="shared" si="12"/>
        <v>100</v>
      </c>
      <c r="X28" s="1265"/>
      <c r="Y28" s="340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7"/>
      <c r="Q29" s="1263"/>
      <c r="R29" s="667"/>
      <c r="S29" s="668"/>
      <c r="T29" s="667"/>
      <c r="U29" s="668"/>
      <c r="V29" s="667"/>
      <c r="W29" s="668"/>
      <c r="X29" s="1265"/>
      <c r="Y29" s="340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7"/>
      <c r="Q30" s="1263" t="str">
        <f t="shared" si="8"/>
        <v>土地级别</v>
      </c>
      <c r="R30" s="667" t="s">
        <v>14</v>
      </c>
      <c r="S30" s="668">
        <f t="shared" si="10"/>
        <v>100</v>
      </c>
      <c r="T30" s="667" t="s">
        <v>14</v>
      </c>
      <c r="U30" s="668">
        <f t="shared" si="11"/>
        <v>100</v>
      </c>
      <c r="V30" s="667" t="s">
        <v>14</v>
      </c>
      <c r="W30" s="668">
        <f t="shared" si="12"/>
        <v>100</v>
      </c>
      <c r="X30" s="1265"/>
      <c r="Y30" s="340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7"/>
      <c r="Q31" s="1263">
        <f t="shared" si="8"/>
        <v>111</v>
      </c>
      <c r="R31" s="667" t="s">
        <v>14</v>
      </c>
      <c r="S31" s="668">
        <f t="shared" si="10"/>
        <v>100</v>
      </c>
      <c r="T31" s="667" t="s">
        <v>14</v>
      </c>
      <c r="U31" s="668">
        <f t="shared" si="11"/>
        <v>100</v>
      </c>
      <c r="V31" s="667" t="s">
        <v>14</v>
      </c>
      <c r="W31" s="668">
        <f t="shared" si="12"/>
        <v>100</v>
      </c>
      <c r="X31" s="1265"/>
      <c r="Y31" s="340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1" t="s">
        <v>1696</v>
      </c>
      <c r="Q32" s="1263">
        <f t="shared" si="8"/>
        <v>111</v>
      </c>
      <c r="R32" s="667" t="s">
        <v>14</v>
      </c>
      <c r="S32" s="668">
        <f t="shared" si="10"/>
        <v>100</v>
      </c>
      <c r="T32" s="667" t="s">
        <v>14</v>
      </c>
      <c r="U32" s="668">
        <f t="shared" si="11"/>
        <v>100</v>
      </c>
      <c r="V32" s="667" t="s">
        <v>14</v>
      </c>
      <c r="W32" s="668">
        <f t="shared" si="12"/>
        <v>100</v>
      </c>
      <c r="X32" s="1265"/>
      <c r="Y32" s="341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1"/>
      <c r="Q33" s="1263">
        <f t="shared" si="8"/>
        <v>111</v>
      </c>
      <c r="R33" s="669" t="s">
        <v>14</v>
      </c>
      <c r="S33" s="670">
        <f t="shared" si="10"/>
        <v>100</v>
      </c>
      <c r="T33" s="669" t="s">
        <v>14</v>
      </c>
      <c r="U33" s="670">
        <f t="shared" si="11"/>
        <v>100</v>
      </c>
      <c r="V33" s="669" t="s">
        <v>14</v>
      </c>
      <c r="W33" s="670">
        <f t="shared" si="12"/>
        <v>100</v>
      </c>
      <c r="X33" s="671"/>
      <c r="Y33" s="341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1"/>
      <c r="Q34" s="1263" t="str">
        <f>B34</f>
        <v>宗地面积</v>
      </c>
      <c r="R34" s="667" t="s">
        <v>14</v>
      </c>
      <c r="S34" s="668" t="e">
        <f t="shared" si="10"/>
        <v>#N/A</v>
      </c>
      <c r="T34" s="667" t="s">
        <v>14</v>
      </c>
      <c r="U34" s="668" t="e">
        <f t="shared" si="11"/>
        <v>#N/A</v>
      </c>
      <c r="V34" s="667" t="s">
        <v>14</v>
      </c>
      <c r="W34" s="668" t="e">
        <f t="shared" si="12"/>
        <v>#N/A</v>
      </c>
      <c r="X34" s="1265"/>
      <c r="Y34" s="341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1"/>
      <c r="Q35" s="1263" t="str">
        <f t="shared" ref="Q35:Q40" si="14">B35</f>
        <v>宗地形状</v>
      </c>
      <c r="R35" s="667" t="s">
        <v>14</v>
      </c>
      <c r="S35" s="668">
        <f t="shared" si="10"/>
        <v>100</v>
      </c>
      <c r="T35" s="667" t="s">
        <v>14</v>
      </c>
      <c r="U35" s="668">
        <f t="shared" si="11"/>
        <v>100</v>
      </c>
      <c r="V35" s="667" t="s">
        <v>14</v>
      </c>
      <c r="W35" s="668">
        <f t="shared" si="12"/>
        <v>100</v>
      </c>
      <c r="X35" s="1265"/>
      <c r="Y35" s="341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1"/>
      <c r="Q36" s="1263" t="str">
        <f t="shared" si="14"/>
        <v>宗地开发程度</v>
      </c>
      <c r="R36" s="664" t="s">
        <v>14</v>
      </c>
      <c r="S36" s="665">
        <f t="shared" si="10"/>
        <v>100</v>
      </c>
      <c r="T36" s="664" t="s">
        <v>14</v>
      </c>
      <c r="U36" s="665">
        <f t="shared" si="11"/>
        <v>100</v>
      </c>
      <c r="V36" s="664" t="s">
        <v>14</v>
      </c>
      <c r="W36" s="665">
        <f t="shared" si="12"/>
        <v>100</v>
      </c>
      <c r="X36" s="666"/>
      <c r="Y36" s="341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1" t="s">
        <v>1696</v>
      </c>
      <c r="Q37" s="1263" t="str">
        <f t="shared" si="14"/>
        <v>工程地质条件</v>
      </c>
      <c r="R37" s="667" t="s">
        <v>14</v>
      </c>
      <c r="S37" s="668">
        <f t="shared" si="10"/>
        <v>100</v>
      </c>
      <c r="T37" s="667" t="s">
        <v>14</v>
      </c>
      <c r="U37" s="668">
        <f t="shared" si="11"/>
        <v>100</v>
      </c>
      <c r="V37" s="667" t="s">
        <v>14</v>
      </c>
      <c r="W37" s="668">
        <f t="shared" si="12"/>
        <v>100</v>
      </c>
      <c r="X37" s="1265"/>
      <c r="Y37" s="341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1"/>
      <c r="Q38" s="1263">
        <f t="shared" si="14"/>
        <v>111</v>
      </c>
      <c r="R38" s="667" t="s">
        <v>14</v>
      </c>
      <c r="S38" s="668">
        <f t="shared" si="10"/>
        <v>100</v>
      </c>
      <c r="T38" s="667" t="s">
        <v>14</v>
      </c>
      <c r="U38" s="668">
        <f t="shared" si="11"/>
        <v>100</v>
      </c>
      <c r="V38" s="667" t="s">
        <v>14</v>
      </c>
      <c r="W38" s="668">
        <f t="shared" si="12"/>
        <v>100</v>
      </c>
      <c r="X38" s="1265"/>
      <c r="Y38" s="341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1"/>
      <c r="Q39" s="1263">
        <f t="shared" si="14"/>
        <v>111</v>
      </c>
      <c r="R39" s="667" t="s">
        <v>14</v>
      </c>
      <c r="S39" s="668">
        <f t="shared" si="10"/>
        <v>100</v>
      </c>
      <c r="T39" s="667" t="s">
        <v>14</v>
      </c>
      <c r="U39" s="668">
        <f t="shared" si="11"/>
        <v>100</v>
      </c>
      <c r="V39" s="667" t="s">
        <v>14</v>
      </c>
      <c r="W39" s="668">
        <f t="shared" si="12"/>
        <v>100</v>
      </c>
      <c r="X39" s="1265"/>
      <c r="Y39" s="341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1"/>
      <c r="Q40" s="1263">
        <f t="shared" si="14"/>
        <v>111</v>
      </c>
      <c r="R40" s="669" t="s">
        <v>14</v>
      </c>
      <c r="S40" s="670">
        <f t="shared" si="10"/>
        <v>100</v>
      </c>
      <c r="T40" s="669" t="s">
        <v>14</v>
      </c>
      <c r="U40" s="670">
        <f t="shared" si="11"/>
        <v>100</v>
      </c>
      <c r="V40" s="669" t="s">
        <v>14</v>
      </c>
      <c r="W40" s="670">
        <f t="shared" si="12"/>
        <v>100</v>
      </c>
      <c r="X40" s="671"/>
      <c r="Y40" s="341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4" t="str">
        <f>A41</f>
        <v>成交单价</v>
      </c>
      <c r="Q41" s="3404"/>
      <c r="R41" s="3405">
        <f>E41</f>
        <v>0</v>
      </c>
      <c r="S41" s="3405"/>
      <c r="T41" s="3405">
        <f>G41</f>
        <v>0</v>
      </c>
      <c r="U41" s="3405"/>
      <c r="V41" s="3405">
        <f>I41</f>
        <v>0</v>
      </c>
      <c r="W41" s="340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4" t="str">
        <f>A42</f>
        <v>比较价值（元/平方米）</v>
      </c>
      <c r="Q42" s="3404"/>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1" t="str">
        <f>A43</f>
        <v>估价对象XX用房的比较价值（楼面单价，元/平方米）</v>
      </c>
      <c r="Q43" s="3402"/>
      <c r="R43" s="3464" t="e">
        <f>ROUND(IF(D42="简单平均",AVERAGE(R42:W42),R42*F42+T42*H42+V42*J42),0)</f>
        <v>#DIV/0!</v>
      </c>
      <c r="S43" s="3464"/>
      <c r="T43" s="3464"/>
      <c r="U43" s="3464"/>
      <c r="V43" s="3464"/>
      <c r="W43" s="346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9" t="s">
        <v>1887</v>
      </c>
      <c r="H50" s="346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1240.3</v>
      </c>
      <c r="F51" s="611" t="e">
        <f t="shared" ref="F51:F60" si="15">ROUND(B51*E51/10000,0)</f>
        <v>#DIV/0!</v>
      </c>
      <c r="G51" s="3415"/>
      <c r="H51" s="340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0.5</v>
      </c>
      <c r="D52" s="891">
        <v>0.25</v>
      </c>
      <c r="E52" s="614"/>
      <c r="F52" s="611" t="e">
        <f t="shared" si="15"/>
        <v>#DIV/0!</v>
      </c>
      <c r="G52" s="2751" t="s">
        <v>1892</v>
      </c>
      <c r="H52" s="834" t="str">
        <f>项目基本情况!B37</f>
        <v>十二级</v>
      </c>
      <c r="I52" s="727">
        <f>SUMIF(修正!A59:A70,H52,修正!B59:B70)</f>
        <v>0.5</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0.2</v>
      </c>
      <c r="D53" s="891">
        <v>0.25</v>
      </c>
      <c r="E53" s="614"/>
      <c r="F53" s="611" t="e">
        <f t="shared" si="15"/>
        <v>#DIV/0!</v>
      </c>
      <c r="G53" s="2752"/>
      <c r="H53" s="834" t="str">
        <f>项目基本情况!B37</f>
        <v>十二级</v>
      </c>
      <c r="I53" s="727">
        <f>SUMIF(修正!A59:A70,H53,修正!C59:C70)</f>
        <v>0.2</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v>
      </c>
      <c r="D54" s="891">
        <v>0.25</v>
      </c>
      <c r="E54" s="614"/>
      <c r="F54" s="611" t="e">
        <f t="shared" si="15"/>
        <v>#DIV/0!</v>
      </c>
      <c r="G54" s="2752"/>
      <c r="H54" s="834" t="str">
        <f>项目基本情况!B37</f>
        <v>十二级</v>
      </c>
      <c r="I54" s="727">
        <f>SUMIF(修正!A59:A70,H54,修正!D59:D70)</f>
        <v>0.2</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十二级</v>
      </c>
      <c r="I56" s="727">
        <f>SUMIF(修正!A59:A70,H56,修正!E59:E70)</f>
        <v>0.2</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十二级</v>
      </c>
      <c r="I57" s="727">
        <f>SUMIF(修正!A59:A70,H57,修正!F59:F70)</f>
        <v>0.2</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十二级</v>
      </c>
      <c r="I59" s="727">
        <f>SUMIF(修正!A59:A70,H59,修正!G59:G70)</f>
        <v>0.1</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十二级</v>
      </c>
      <c r="I60" s="727">
        <f>SUMIF(修正!A59:A70,H60,修正!G59:G70)</f>
        <v>0.1</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548</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3" t="s">
        <v>2084</v>
      </c>
      <c r="D1" s="3474"/>
      <c r="E1" s="3474"/>
      <c r="F1" s="3474"/>
      <c r="G1" s="3474"/>
      <c r="H1" s="3474"/>
      <c r="I1" s="3474"/>
      <c r="J1" s="3474"/>
      <c r="K1" s="3474"/>
      <c r="L1" s="3474"/>
      <c r="M1" s="3474"/>
      <c r="N1" s="3474"/>
      <c r="O1" s="3474"/>
      <c r="P1" s="3474"/>
      <c r="Q1" s="3474"/>
      <c r="R1" s="3474"/>
      <c r="S1" s="347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111</v>
      </c>
      <c r="C2" s="1984" t="s">
        <v>2074</v>
      </c>
      <c r="D2" s="1984" t="s">
        <v>2075</v>
      </c>
      <c r="E2" s="2398">
        <f ca="1">SUMIF(E6:E13,"&lt;&gt;#ref!",E6:E13)</f>
        <v>1240.3</v>
      </c>
      <c r="F2" s="2545"/>
      <c r="G2" s="2545"/>
      <c r="H2" s="2545"/>
      <c r="I2" s="2545"/>
      <c r="J2" s="2545"/>
      <c r="K2" s="2545"/>
      <c r="L2" s="2545"/>
      <c r="M2" s="2545"/>
      <c r="N2" s="2545"/>
      <c r="O2" s="2545"/>
      <c r="P2" s="2545"/>
    </row>
    <row r="3" spans="1:16" ht="15.75">
      <c r="A3" s="1984" t="s">
        <v>2076</v>
      </c>
      <c r="B3" s="2388">
        <f ca="1">ROUND(B2*10000/E2,0)</f>
        <v>895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111</v>
      </c>
      <c r="C6" s="1984" t="s">
        <v>2074</v>
      </c>
      <c r="D6" s="2545"/>
      <c r="E6" s="2398">
        <f ca="1">SUMIF(INDIRECT("'"&amp;A6&amp;"'"&amp;"!C:C"),"建筑面积",INDIRECT("'"&amp;A6&amp;"'"&amp;"!D:D"))</f>
        <v>1240.3</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2584</v>
      </c>
      <c r="B1" s="2812" t="s">
        <v>2585</v>
      </c>
      <c r="C1" s="2812" t="s">
        <v>2586</v>
      </c>
      <c r="D1" s="2812" t="s">
        <v>2587</v>
      </c>
      <c r="E1" s="2812" t="s">
        <v>2588</v>
      </c>
      <c r="F1" s="2812" t="s">
        <v>2589</v>
      </c>
      <c r="G1" s="2812" t="s">
        <v>2590</v>
      </c>
      <c r="H1" s="2812" t="s">
        <v>2591</v>
      </c>
      <c r="I1" s="2812" t="s">
        <v>2592</v>
      </c>
      <c r="J1" s="2812" t="s">
        <v>2593</v>
      </c>
      <c r="K1" s="2812" t="s">
        <v>2594</v>
      </c>
      <c r="L1" s="2812" t="s">
        <v>2595</v>
      </c>
      <c r="M1" s="2813" t="s">
        <v>2596</v>
      </c>
    </row>
    <row r="2" spans="1:13" ht="19.5" customHeight="1">
      <c r="A2" s="2815" t="s">
        <v>2597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2613</v>
      </c>
      <c r="B18" s="2837"/>
      <c r="C18" s="2838"/>
      <c r="D18" s="2838"/>
      <c r="E18" s="2837"/>
      <c r="F18" s="2838"/>
      <c r="G18" s="2838"/>
    </row>
    <row r="19" spans="1:13" ht="19.5" customHeight="1" thickBot="1">
      <c r="A19" s="2835" t="s">
        <v>2614</v>
      </c>
      <c r="B19" s="2840" t="s">
        <v>2615</v>
      </c>
      <c r="C19" s="2840" t="s">
        <v>2616</v>
      </c>
      <c r="D19" s="2841"/>
      <c r="E19" s="2835" t="s">
        <v>2617</v>
      </c>
      <c r="F19" s="2842"/>
      <c r="G19" s="2842"/>
    </row>
    <row r="20" spans="1:13" ht="19.5" customHeight="1">
      <c r="A20" s="3487" t="s">
        <v>2597</v>
      </c>
      <c r="B20" s="3480" t="s">
        <v>2618</v>
      </c>
      <c r="C20" s="3169" t="s">
        <v>2429</v>
      </c>
      <c r="D20" s="3169"/>
      <c r="E20" s="2845">
        <v>1</v>
      </c>
      <c r="F20" s="2846" t="s">
        <v>2430</v>
      </c>
      <c r="G20" s="2846"/>
    </row>
    <row r="21" spans="1:13" ht="19.5" customHeight="1">
      <c r="A21" s="3488"/>
      <c r="B21" s="3476"/>
      <c r="C21" s="2858" t="s">
        <v>2431</v>
      </c>
      <c r="D21" s="2858"/>
      <c r="E21" s="2849">
        <v>1</v>
      </c>
      <c r="F21" s="2846" t="s">
        <v>2432</v>
      </c>
      <c r="G21" s="2846"/>
    </row>
    <row r="22" spans="1:13" ht="19.5" customHeight="1">
      <c r="A22" s="3488"/>
      <c r="B22" s="3476"/>
      <c r="C22" s="2858" t="s">
        <v>2433</v>
      </c>
      <c r="D22" s="2858"/>
      <c r="E22" s="2849">
        <v>0.9</v>
      </c>
      <c r="F22" s="2846" t="s">
        <v>2434</v>
      </c>
      <c r="G22" s="2846"/>
    </row>
    <row r="23" spans="1:13" ht="19.5" customHeight="1">
      <c r="A23" s="3488"/>
      <c r="B23" s="3476"/>
      <c r="C23" s="2858" t="s">
        <v>2435</v>
      </c>
      <c r="D23" s="2858"/>
      <c r="E23" s="2849">
        <v>0.9</v>
      </c>
      <c r="F23" s="2846" t="s">
        <v>2436</v>
      </c>
      <c r="G23" s="2846"/>
    </row>
    <row r="24" spans="1:13" ht="19.5" customHeight="1">
      <c r="A24" s="3488"/>
      <c r="B24" s="3476"/>
      <c r="C24" s="2858" t="s">
        <v>2437</v>
      </c>
      <c r="D24" s="2858"/>
      <c r="E24" s="2849">
        <v>0.8</v>
      </c>
      <c r="F24" s="2846" t="s">
        <v>2438</v>
      </c>
      <c r="G24" s="2846"/>
    </row>
    <row r="25" spans="1:13" ht="19.5" customHeight="1">
      <c r="A25" s="3488"/>
      <c r="B25" s="3476"/>
      <c r="C25" s="2858" t="s">
        <v>2439</v>
      </c>
      <c r="D25" s="2858"/>
      <c r="E25" s="2849">
        <v>0.8</v>
      </c>
      <c r="F25" s="2846"/>
      <c r="G25" s="2846"/>
    </row>
    <row r="26" spans="1:13" ht="19.5" customHeight="1">
      <c r="A26" s="3488"/>
      <c r="B26" s="3476"/>
      <c r="C26" s="2858" t="s">
        <v>3399</v>
      </c>
      <c r="D26" s="2858"/>
      <c r="E26" s="2849">
        <v>0.43</v>
      </c>
      <c r="F26" s="2846"/>
      <c r="G26" s="2846"/>
    </row>
    <row r="27" spans="1:13" ht="19.5" customHeight="1" thickBot="1">
      <c r="A27" s="3489"/>
      <c r="B27" s="3481"/>
      <c r="C27" s="3165" t="s">
        <v>3400</v>
      </c>
      <c r="D27" s="3165"/>
      <c r="E27" s="2852">
        <f>E26*0.9</f>
        <v>0.38700000000000001</v>
      </c>
      <c r="F27" s="2846" t="s">
        <v>2440</v>
      </c>
      <c r="G27" s="2846"/>
    </row>
    <row r="28" spans="1:13" ht="19.5" customHeight="1" thickBot="1">
      <c r="A28" s="3164" t="s">
        <v>2619</v>
      </c>
      <c r="B28" s="3163" t="s">
        <v>2618</v>
      </c>
      <c r="C28" s="3166" t="s">
        <v>2620</v>
      </c>
      <c r="D28" s="3167"/>
      <c r="E28" s="3168">
        <v>1</v>
      </c>
      <c r="F28" s="2846" t="s">
        <v>2441</v>
      </c>
      <c r="G28" s="2846"/>
    </row>
    <row r="29" spans="1:13" ht="19.5" customHeight="1">
      <c r="A29" s="3482" t="s">
        <v>2621</v>
      </c>
      <c r="B29" s="3485" t="s">
        <v>2602</v>
      </c>
      <c r="C29" s="2843" t="s">
        <v>2442</v>
      </c>
      <c r="D29" s="2844"/>
      <c r="E29" s="2845">
        <v>1</v>
      </c>
      <c r="F29" s="2846" t="s">
        <v>2443</v>
      </c>
      <c r="G29" s="2846"/>
    </row>
    <row r="30" spans="1:13" ht="19.5" customHeight="1">
      <c r="A30" s="3483"/>
      <c r="B30" s="3479"/>
      <c r="C30" s="2847" t="s">
        <v>2444</v>
      </c>
      <c r="D30" s="2848"/>
      <c r="E30" s="2849">
        <v>1</v>
      </c>
      <c r="F30" s="2846" t="s">
        <v>2445</v>
      </c>
      <c r="G30" s="2846"/>
    </row>
    <row r="31" spans="1:13" ht="19.5" customHeight="1">
      <c r="A31" s="3483"/>
      <c r="B31" s="3479"/>
      <c r="C31" s="2847" t="s">
        <v>2446</v>
      </c>
      <c r="D31" s="2848"/>
      <c r="E31" s="2849">
        <v>0.8</v>
      </c>
      <c r="F31" s="2846" t="s">
        <v>2447</v>
      </c>
      <c r="G31" s="2846"/>
    </row>
    <row r="32" spans="1:13" ht="19.5" customHeight="1">
      <c r="A32" s="3483"/>
      <c r="B32" s="3479"/>
      <c r="C32" s="2847" t="s">
        <v>2448</v>
      </c>
      <c r="D32" s="2848"/>
      <c r="E32" s="2849">
        <v>0.8</v>
      </c>
      <c r="F32" s="2846" t="s">
        <v>2449</v>
      </c>
      <c r="G32" s="2846"/>
    </row>
    <row r="33" spans="1:7" ht="19.5" customHeight="1">
      <c r="A33" s="3483"/>
      <c r="B33" s="3479"/>
      <c r="C33" s="2847" t="s">
        <v>2450</v>
      </c>
      <c r="D33" s="2848"/>
      <c r="E33" s="2849">
        <v>0.8</v>
      </c>
      <c r="F33" s="2846" t="s">
        <v>2451</v>
      </c>
      <c r="G33" s="2846"/>
    </row>
    <row r="34" spans="1:7" ht="19.5" customHeight="1">
      <c r="A34" s="3483"/>
      <c r="B34" s="3479"/>
      <c r="C34" s="2847" t="s">
        <v>2452</v>
      </c>
      <c r="D34" s="2848"/>
      <c r="E34" s="2849">
        <v>0.7</v>
      </c>
      <c r="F34" s="2846" t="s">
        <v>2453</v>
      </c>
      <c r="G34" s="2846"/>
    </row>
    <row r="35" spans="1:7" ht="19.5" customHeight="1">
      <c r="A35" s="3483"/>
      <c r="B35" s="3479"/>
      <c r="C35" s="2847" t="s">
        <v>2454</v>
      </c>
      <c r="D35" s="2848"/>
      <c r="E35" s="2849">
        <v>0.8</v>
      </c>
      <c r="F35" s="2846" t="s">
        <v>2455</v>
      </c>
      <c r="G35" s="2846"/>
    </row>
    <row r="36" spans="1:7" ht="19.5" customHeight="1">
      <c r="A36" s="3483"/>
      <c r="B36" s="3479"/>
      <c r="C36" s="2847" t="s">
        <v>2456</v>
      </c>
      <c r="D36" s="2848"/>
      <c r="E36" s="2849">
        <v>0.6</v>
      </c>
      <c r="F36" s="2846" t="s">
        <v>2457</v>
      </c>
      <c r="G36" s="2846"/>
    </row>
    <row r="37" spans="1:7" ht="19.5" customHeight="1">
      <c r="A37" s="3483"/>
      <c r="B37" s="3479"/>
      <c r="C37" s="2847" t="s">
        <v>2458</v>
      </c>
      <c r="D37" s="2848"/>
      <c r="E37" s="2849">
        <v>0.2</v>
      </c>
      <c r="F37" s="2846" t="s">
        <v>2459</v>
      </c>
      <c r="G37" s="2846"/>
    </row>
    <row r="38" spans="1:7" ht="19.5" customHeight="1">
      <c r="A38" s="3483"/>
      <c r="B38" s="3479"/>
      <c r="C38" s="2847" t="s">
        <v>2460</v>
      </c>
      <c r="D38" s="2848"/>
      <c r="E38" s="2849">
        <v>0.2</v>
      </c>
      <c r="F38" s="2846" t="s">
        <v>2461</v>
      </c>
      <c r="G38" s="2846"/>
    </row>
    <row r="39" spans="1:7" ht="19.5" customHeight="1">
      <c r="A39" s="3483"/>
      <c r="B39" s="3477" t="s">
        <v>2622</v>
      </c>
      <c r="C39" s="2847" t="s">
        <v>2462</v>
      </c>
      <c r="D39" s="2848"/>
      <c r="E39" s="2849">
        <v>0.6</v>
      </c>
      <c r="F39" s="2846" t="s">
        <v>2463</v>
      </c>
      <c r="G39" s="2846"/>
    </row>
    <row r="40" spans="1:7" ht="19.5" customHeight="1">
      <c r="A40" s="3483"/>
      <c r="B40" s="3479"/>
      <c r="C40" s="2847" t="s">
        <v>2464</v>
      </c>
      <c r="D40" s="2848"/>
      <c r="E40" s="2849">
        <v>0.6</v>
      </c>
      <c r="F40" s="2846" t="s">
        <v>2465</v>
      </c>
      <c r="G40" s="2846"/>
    </row>
    <row r="41" spans="1:7" ht="19.5" customHeight="1" thickBot="1">
      <c r="A41" s="3484"/>
      <c r="B41" s="3486"/>
      <c r="C41" s="2850" t="s">
        <v>2466</v>
      </c>
      <c r="D41" s="2851"/>
      <c r="E41" s="2852">
        <v>0.6</v>
      </c>
      <c r="F41" s="2846" t="s">
        <v>2467</v>
      </c>
      <c r="G41" s="2846"/>
    </row>
    <row r="42" spans="1:7" ht="19.5" customHeight="1" thickBot="1">
      <c r="A42" s="2853" t="s">
        <v>2599</v>
      </c>
      <c r="B42" s="2854" t="s">
        <v>2599</v>
      </c>
      <c r="C42" s="2855" t="s">
        <v>2623</v>
      </c>
      <c r="D42" s="2856"/>
      <c r="E42" s="2857">
        <v>1</v>
      </c>
      <c r="F42" s="2846" t="s">
        <v>2468</v>
      </c>
      <c r="G42" s="2846"/>
    </row>
    <row r="43" spans="1:7" ht="19.5" customHeight="1">
      <c r="A43" s="3487" t="s">
        <v>2600</v>
      </c>
      <c r="B43" s="3485" t="s">
        <v>2624</v>
      </c>
      <c r="C43" s="2843" t="s">
        <v>2469</v>
      </c>
      <c r="D43" s="2844"/>
      <c r="E43" s="2845">
        <v>1</v>
      </c>
      <c r="F43" s="2846" t="s">
        <v>2470</v>
      </c>
      <c r="G43" s="2846"/>
    </row>
    <row r="44" spans="1:7" ht="19.5" customHeight="1">
      <c r="A44" s="3488"/>
      <c r="B44" s="3479"/>
      <c r="C44" s="2847" t="s">
        <v>2471</v>
      </c>
      <c r="D44" s="2848"/>
      <c r="E44" s="2849">
        <v>1</v>
      </c>
      <c r="F44" s="2846" t="s">
        <v>2472</v>
      </c>
      <c r="G44" s="2846"/>
    </row>
    <row r="45" spans="1:7" ht="19.5" customHeight="1">
      <c r="A45" s="3488"/>
      <c r="B45" s="3478"/>
      <c r="C45" s="2847" t="s">
        <v>2473</v>
      </c>
      <c r="D45" s="2848"/>
      <c r="E45" s="2849">
        <v>1.5</v>
      </c>
      <c r="F45" s="2846" t="s">
        <v>2474</v>
      </c>
      <c r="G45" s="2846"/>
    </row>
    <row r="46" spans="1:7" ht="19.5" customHeight="1">
      <c r="A46" s="3488"/>
      <c r="B46" s="2858" t="s">
        <v>2625</v>
      </c>
      <c r="C46" s="2847" t="s">
        <v>2626</v>
      </c>
      <c r="D46" s="2848"/>
      <c r="E46" s="2849">
        <v>2</v>
      </c>
      <c r="F46" s="2846" t="s">
        <v>2475</v>
      </c>
      <c r="G46" s="2846"/>
    </row>
    <row r="47" spans="1:7" ht="19.5" customHeight="1">
      <c r="A47" s="3488"/>
      <c r="B47" s="3477" t="s">
        <v>2627</v>
      </c>
      <c r="C47" s="2847" t="s">
        <v>2476</v>
      </c>
      <c r="D47" s="2848"/>
      <c r="E47" s="2849">
        <v>1</v>
      </c>
      <c r="F47" s="2846" t="s">
        <v>2477</v>
      </c>
      <c r="G47" s="2846"/>
    </row>
    <row r="48" spans="1:7" ht="19.5" customHeight="1">
      <c r="A48" s="3488"/>
      <c r="B48" s="3479"/>
      <c r="C48" s="2847" t="s">
        <v>2478</v>
      </c>
      <c r="D48" s="2848"/>
      <c r="E48" s="2849">
        <v>1</v>
      </c>
      <c r="F48" s="2846" t="s">
        <v>2479</v>
      </c>
      <c r="G48" s="2846"/>
    </row>
    <row r="49" spans="1:7" ht="19.5" customHeight="1">
      <c r="A49" s="3488"/>
      <c r="B49" s="3479"/>
      <c r="C49" s="2847" t="s">
        <v>2480</v>
      </c>
      <c r="D49" s="2848"/>
      <c r="E49" s="2849">
        <v>1</v>
      </c>
      <c r="F49" s="2846" t="s">
        <v>2481</v>
      </c>
      <c r="G49" s="2846"/>
    </row>
    <row r="50" spans="1:7" ht="19.5" customHeight="1">
      <c r="A50" s="3488"/>
      <c r="B50" s="3479"/>
      <c r="C50" s="2847" t="s">
        <v>2482</v>
      </c>
      <c r="D50" s="2848"/>
      <c r="E50" s="2849">
        <v>1</v>
      </c>
      <c r="F50" s="2846" t="s">
        <v>2483</v>
      </c>
      <c r="G50" s="2846"/>
    </row>
    <row r="51" spans="1:7" ht="19.5" customHeight="1">
      <c r="A51" s="3488"/>
      <c r="B51" s="3479"/>
      <c r="C51" s="2847" t="s">
        <v>2484</v>
      </c>
      <c r="D51" s="2848"/>
      <c r="E51" s="2849">
        <v>1</v>
      </c>
      <c r="F51" s="2846" t="s">
        <v>2485</v>
      </c>
      <c r="G51" s="2846"/>
    </row>
    <row r="52" spans="1:7" ht="19.5" customHeight="1">
      <c r="A52" s="3488"/>
      <c r="B52" s="3479"/>
      <c r="C52" s="2847" t="s">
        <v>2486</v>
      </c>
      <c r="D52" s="2848"/>
      <c r="E52" s="2849">
        <v>1</v>
      </c>
      <c r="F52" s="2846" t="s">
        <v>2487</v>
      </c>
      <c r="G52" s="2846"/>
    </row>
    <row r="53" spans="1:7" ht="19.5" customHeight="1" thickBot="1">
      <c r="A53" s="3489"/>
      <c r="B53" s="3486"/>
      <c r="C53" s="2850" t="s">
        <v>2488</v>
      </c>
      <c r="D53" s="2851"/>
      <c r="E53" s="2852">
        <v>1</v>
      </c>
      <c r="F53" s="2846" t="s">
        <v>2489</v>
      </c>
      <c r="G53" s="2846"/>
    </row>
    <row r="54" spans="1:7" ht="19.5" customHeight="1">
      <c r="A54" s="2859"/>
      <c r="B54" s="2859"/>
      <c r="C54" s="2859"/>
      <c r="D54" s="2859"/>
      <c r="E54" s="2859"/>
      <c r="F54" s="2859"/>
      <c r="G54" s="2859"/>
    </row>
    <row r="56" spans="1:7" ht="19.5" customHeight="1">
      <c r="A56" s="2860"/>
      <c r="B56" s="2832" t="s">
        <v>2628</v>
      </c>
      <c r="C56" s="2832" t="s">
        <v>2628</v>
      </c>
      <c r="D56" s="2832" t="s">
        <v>2628</v>
      </c>
      <c r="E56" s="2835" t="s">
        <v>2628</v>
      </c>
      <c r="F56" s="2835" t="s">
        <v>2629</v>
      </c>
      <c r="G56" s="2835" t="s">
        <v>2630</v>
      </c>
    </row>
    <row r="57" spans="1:7" ht="19.5" customHeight="1">
      <c r="A57" s="2861"/>
      <c r="B57" s="2835" t="s">
        <v>2597</v>
      </c>
      <c r="C57" s="2835" t="s">
        <v>2597</v>
      </c>
      <c r="D57" s="2835" t="s">
        <v>2597</v>
      </c>
      <c r="E57" s="2832" t="s">
        <v>2598</v>
      </c>
      <c r="F57" s="2832" t="s">
        <v>2600</v>
      </c>
      <c r="G57" s="2832" t="s">
        <v>2631</v>
      </c>
    </row>
    <row r="58" spans="1:7" ht="19.5" customHeight="1">
      <c r="A58" s="2862"/>
      <c r="B58" s="2832">
        <v>1</v>
      </c>
      <c r="C58" s="2832">
        <v>2</v>
      </c>
      <c r="D58" s="2832">
        <v>3</v>
      </c>
      <c r="E58" s="2863" t="s">
        <v>2632</v>
      </c>
      <c r="F58" s="2863" t="s">
        <v>2632</v>
      </c>
      <c r="G58" s="2863" t="s">
        <v>2632</v>
      </c>
    </row>
    <row r="59" spans="1:7" ht="19.5" customHeight="1">
      <c r="A59" s="2864" t="s">
        <v>2585</v>
      </c>
      <c r="B59" s="2832">
        <v>0.7</v>
      </c>
      <c r="C59" s="2832">
        <v>0.4</v>
      </c>
      <c r="D59" s="2832">
        <v>0.3</v>
      </c>
      <c r="E59" s="2863">
        <v>0.3</v>
      </c>
      <c r="F59" s="2832">
        <v>0.3</v>
      </c>
      <c r="G59" s="2832">
        <v>0.2</v>
      </c>
    </row>
    <row r="60" spans="1:7" ht="19.5" customHeight="1">
      <c r="A60" s="2864" t="s">
        <v>2586</v>
      </c>
      <c r="B60" s="2832">
        <v>0.7</v>
      </c>
      <c r="C60" s="2832">
        <v>0.4</v>
      </c>
      <c r="D60" s="2832">
        <v>0.3</v>
      </c>
      <c r="E60" s="2832">
        <v>0.3</v>
      </c>
      <c r="F60" s="2832">
        <v>0.3</v>
      </c>
      <c r="G60" s="2832">
        <v>0.2</v>
      </c>
    </row>
    <row r="61" spans="1:7" ht="19.5" customHeight="1">
      <c r="A61" s="2864" t="s">
        <v>2587</v>
      </c>
      <c r="B61" s="2832">
        <v>0.6</v>
      </c>
      <c r="C61" s="2832">
        <v>0.3</v>
      </c>
      <c r="D61" s="2832">
        <v>0.25</v>
      </c>
      <c r="E61" s="2832">
        <v>0.25</v>
      </c>
      <c r="F61" s="2832">
        <v>0.25</v>
      </c>
      <c r="G61" s="2832">
        <v>0.15</v>
      </c>
    </row>
    <row r="62" spans="1:7" ht="19.5" customHeight="1">
      <c r="A62" s="2864" t="s">
        <v>2588</v>
      </c>
      <c r="B62" s="2832">
        <v>0.6</v>
      </c>
      <c r="C62" s="2832">
        <v>0.3</v>
      </c>
      <c r="D62" s="2832">
        <v>0.25</v>
      </c>
      <c r="E62" s="2832">
        <v>0.25</v>
      </c>
      <c r="F62" s="2832">
        <v>0.25</v>
      </c>
      <c r="G62" s="2832">
        <v>0.15</v>
      </c>
    </row>
    <row r="63" spans="1:7" ht="19.5" customHeight="1">
      <c r="A63" s="2864" t="s">
        <v>2589</v>
      </c>
      <c r="B63" s="2832">
        <v>0.6</v>
      </c>
      <c r="C63" s="2832">
        <v>0.3</v>
      </c>
      <c r="D63" s="2832">
        <v>0.25</v>
      </c>
      <c r="E63" s="2832">
        <v>0.25</v>
      </c>
      <c r="F63" s="2832">
        <v>0.25</v>
      </c>
      <c r="G63" s="2832">
        <v>0.15</v>
      </c>
    </row>
    <row r="64" spans="1:7" ht="19.5" customHeight="1">
      <c r="A64" s="2864" t="s">
        <v>2590</v>
      </c>
      <c r="B64" s="2832">
        <v>0.6</v>
      </c>
      <c r="C64" s="2832">
        <v>0.3</v>
      </c>
      <c r="D64" s="2832">
        <v>0.25</v>
      </c>
      <c r="E64" s="2832">
        <v>0.25</v>
      </c>
      <c r="F64" s="2832">
        <v>0.25</v>
      </c>
      <c r="G64" s="2832">
        <v>0.15</v>
      </c>
    </row>
    <row r="65" spans="1:7" ht="19.5" customHeight="1">
      <c r="A65" s="2864" t="s">
        <v>2591</v>
      </c>
      <c r="B65" s="2832">
        <v>0.6</v>
      </c>
      <c r="C65" s="2832">
        <v>0.3</v>
      </c>
      <c r="D65" s="2832">
        <v>0.25</v>
      </c>
      <c r="E65" s="2832">
        <v>0.25</v>
      </c>
      <c r="F65" s="2832">
        <v>0.25</v>
      </c>
      <c r="G65" s="2832">
        <v>0.15</v>
      </c>
    </row>
    <row r="66" spans="1:7" ht="19.5" customHeight="1">
      <c r="A66" s="2864" t="s">
        <v>2592</v>
      </c>
      <c r="B66" s="2832">
        <v>0.5</v>
      </c>
      <c r="C66" s="2832">
        <v>0.2</v>
      </c>
      <c r="D66" s="2832">
        <v>0.2</v>
      </c>
      <c r="E66" s="2832">
        <v>0.2</v>
      </c>
      <c r="F66" s="2832">
        <v>0.2</v>
      </c>
      <c r="G66" s="2832">
        <v>0.1</v>
      </c>
    </row>
    <row r="67" spans="1:7" ht="19.5" customHeight="1">
      <c r="A67" s="2864" t="s">
        <v>2593</v>
      </c>
      <c r="B67" s="2832">
        <v>0.5</v>
      </c>
      <c r="C67" s="2832">
        <v>0.2</v>
      </c>
      <c r="D67" s="2832">
        <v>0.2</v>
      </c>
      <c r="E67" s="2832">
        <v>0.2</v>
      </c>
      <c r="F67" s="2832">
        <v>0.2</v>
      </c>
      <c r="G67" s="2832">
        <v>0.1</v>
      </c>
    </row>
    <row r="68" spans="1:7" ht="19.5" customHeight="1">
      <c r="A68" s="2864" t="s">
        <v>2594</v>
      </c>
      <c r="B68" s="2832">
        <v>0.5</v>
      </c>
      <c r="C68" s="2832">
        <v>0.2</v>
      </c>
      <c r="D68" s="2832">
        <v>0.2</v>
      </c>
      <c r="E68" s="2832">
        <v>0.2</v>
      </c>
      <c r="F68" s="2832">
        <v>0.2</v>
      </c>
      <c r="G68" s="2832">
        <v>0.1</v>
      </c>
    </row>
    <row r="69" spans="1:7" ht="19.5" customHeight="1">
      <c r="A69" s="2864" t="s">
        <v>2595</v>
      </c>
      <c r="B69" s="2832">
        <v>0.5</v>
      </c>
      <c r="C69" s="2832">
        <v>0.2</v>
      </c>
      <c r="D69" s="2832">
        <v>0.2</v>
      </c>
      <c r="E69" s="2832">
        <v>0.2</v>
      </c>
      <c r="F69" s="2832">
        <v>0.2</v>
      </c>
      <c r="G69" s="2832">
        <v>0.1</v>
      </c>
    </row>
    <row r="70" spans="1:7" ht="19.5" customHeight="1">
      <c r="A70" s="2864" t="s">
        <v>2596</v>
      </c>
      <c r="B70" s="2832">
        <v>0.5</v>
      </c>
      <c r="C70" s="2832">
        <v>0.2</v>
      </c>
      <c r="D70" s="2832">
        <v>0.2</v>
      </c>
      <c r="E70" s="2832">
        <v>0.2</v>
      </c>
      <c r="F70" s="2832">
        <v>0.2</v>
      </c>
      <c r="G70" s="2832">
        <v>0.1</v>
      </c>
    </row>
    <row r="72" spans="1:7" ht="19.5" customHeight="1">
      <c r="A72" s="2846"/>
      <c r="B72" s="2865"/>
      <c r="C72" s="2865"/>
      <c r="D72" s="2865" t="s">
        <v>2633</v>
      </c>
      <c r="E72" s="2865"/>
      <c r="F72" s="2865"/>
    </row>
    <row r="73" spans="1:7" ht="19.5" customHeight="1">
      <c r="A73" s="2858" t="s">
        <v>2634</v>
      </c>
      <c r="B73" s="2858" t="s">
        <v>2635</v>
      </c>
      <c r="C73" s="2858" t="s">
        <v>2636</v>
      </c>
      <c r="D73" s="2858" t="s">
        <v>2637</v>
      </c>
      <c r="E73" s="2858" t="s">
        <v>2638</v>
      </c>
      <c r="F73" s="2858" t="s">
        <v>2639</v>
      </c>
    </row>
    <row r="74" spans="1:7" ht="13.5">
      <c r="A74" s="2858"/>
      <c r="B74" s="2858"/>
      <c r="C74" s="2858" t="s">
        <v>2640</v>
      </c>
      <c r="D74" s="2858"/>
      <c r="E74" s="2858" t="s">
        <v>2611</v>
      </c>
      <c r="F74" s="2858" t="s">
        <v>2611</v>
      </c>
    </row>
    <row r="75" spans="1:7" ht="13.5">
      <c r="A75" s="2858">
        <v>1</v>
      </c>
      <c r="B75" s="3477" t="s">
        <v>2641</v>
      </c>
      <c r="C75" s="2832" t="s">
        <v>2642</v>
      </c>
      <c r="D75" s="2832" t="s">
        <v>2643</v>
      </c>
      <c r="E75" s="2858">
        <v>0.2</v>
      </c>
      <c r="F75" s="2858">
        <v>25</v>
      </c>
    </row>
    <row r="76" spans="1:7" ht="24">
      <c r="A76" s="2858">
        <v>2</v>
      </c>
      <c r="B76" s="3479"/>
      <c r="C76" s="2832" t="s">
        <v>2644</v>
      </c>
      <c r="D76" s="2832" t="s">
        <v>2645</v>
      </c>
      <c r="E76" s="2858">
        <v>0.2</v>
      </c>
      <c r="F76" s="2858">
        <v>25</v>
      </c>
    </row>
    <row r="77" spans="1:7" ht="24">
      <c r="A77" s="2858">
        <v>3</v>
      </c>
      <c r="B77" s="3479"/>
      <c r="C77" s="2832" t="s">
        <v>2646</v>
      </c>
      <c r="D77" s="2832" t="s">
        <v>2647</v>
      </c>
      <c r="E77" s="2858">
        <v>0.2</v>
      </c>
      <c r="F77" s="2858">
        <v>25</v>
      </c>
    </row>
    <row r="78" spans="1:7" ht="13.5">
      <c r="A78" s="2858">
        <v>4</v>
      </c>
      <c r="B78" s="3479"/>
      <c r="C78" s="2832" t="s">
        <v>2648</v>
      </c>
      <c r="D78" s="2832" t="s">
        <v>2649</v>
      </c>
      <c r="E78" s="2858">
        <v>0.15</v>
      </c>
      <c r="F78" s="2858">
        <v>20</v>
      </c>
    </row>
    <row r="79" spans="1:7" ht="24">
      <c r="A79" s="2858">
        <v>5</v>
      </c>
      <c r="B79" s="3479"/>
      <c r="C79" s="2832" t="s">
        <v>2650</v>
      </c>
      <c r="D79" s="2832" t="s">
        <v>2651</v>
      </c>
      <c r="E79" s="2858">
        <v>0.15</v>
      </c>
      <c r="F79" s="2858">
        <v>20</v>
      </c>
    </row>
    <row r="80" spans="1:7" ht="24">
      <c r="A80" s="2858">
        <v>6</v>
      </c>
      <c r="B80" s="3479"/>
      <c r="C80" s="2832" t="s">
        <v>2652</v>
      </c>
      <c r="D80" s="2832" t="s">
        <v>2653</v>
      </c>
      <c r="E80" s="2858">
        <v>0.15</v>
      </c>
      <c r="F80" s="2858">
        <v>20</v>
      </c>
    </row>
    <row r="81" spans="1:6" ht="24">
      <c r="A81" s="2858">
        <v>7</v>
      </c>
      <c r="B81" s="3479"/>
      <c r="C81" s="2832" t="s">
        <v>2654</v>
      </c>
      <c r="D81" s="2832" t="s">
        <v>2655</v>
      </c>
      <c r="E81" s="2858">
        <v>0.15</v>
      </c>
      <c r="F81" s="2858">
        <v>20</v>
      </c>
    </row>
    <row r="82" spans="1:6" ht="24">
      <c r="A82" s="2858">
        <v>8</v>
      </c>
      <c r="B82" s="3479"/>
      <c r="C82" s="2832" t="s">
        <v>2656</v>
      </c>
      <c r="D82" s="2832" t="s">
        <v>2657</v>
      </c>
      <c r="E82" s="2858">
        <v>0.1</v>
      </c>
      <c r="F82" s="2858">
        <v>15</v>
      </c>
    </row>
    <row r="83" spans="1:6" ht="24">
      <c r="A83" s="2858">
        <v>9</v>
      </c>
      <c r="B83" s="3479"/>
      <c r="C83" s="2832" t="s">
        <v>2658</v>
      </c>
      <c r="D83" s="2832" t="s">
        <v>2659</v>
      </c>
      <c r="E83" s="2858">
        <v>0.1</v>
      </c>
      <c r="F83" s="2858">
        <v>15</v>
      </c>
    </row>
    <row r="84" spans="1:6" ht="24">
      <c r="A84" s="2858">
        <v>10</v>
      </c>
      <c r="B84" s="3479"/>
      <c r="C84" s="2832" t="s">
        <v>2660</v>
      </c>
      <c r="D84" s="2832" t="s">
        <v>2661</v>
      </c>
      <c r="E84" s="2858">
        <v>0.1</v>
      </c>
      <c r="F84" s="2858">
        <v>15</v>
      </c>
    </row>
    <row r="85" spans="1:6" ht="24">
      <c r="A85" s="2858">
        <v>11</v>
      </c>
      <c r="B85" s="3479"/>
      <c r="C85" s="2832" t="s">
        <v>2662</v>
      </c>
      <c r="D85" s="2832" t="s">
        <v>2663</v>
      </c>
      <c r="E85" s="2858">
        <v>0.1</v>
      </c>
      <c r="F85" s="2858">
        <v>15</v>
      </c>
    </row>
    <row r="86" spans="1:6" ht="24">
      <c r="A86" s="2858">
        <v>12</v>
      </c>
      <c r="B86" s="3479"/>
      <c r="C86" s="2832" t="s">
        <v>2664</v>
      </c>
      <c r="D86" s="2832" t="s">
        <v>2665</v>
      </c>
      <c r="E86" s="2858">
        <v>0.1</v>
      </c>
      <c r="F86" s="2858">
        <v>15</v>
      </c>
    </row>
    <row r="87" spans="1:6" ht="13.5">
      <c r="A87" s="2858">
        <v>13</v>
      </c>
      <c r="B87" s="3479"/>
      <c r="C87" s="2832" t="s">
        <v>2666</v>
      </c>
      <c r="D87" s="2832" t="s">
        <v>2667</v>
      </c>
      <c r="E87" s="2858">
        <v>0.1</v>
      </c>
      <c r="F87" s="2858">
        <v>15</v>
      </c>
    </row>
    <row r="88" spans="1:6" ht="13.5">
      <c r="A88" s="2858">
        <v>14</v>
      </c>
      <c r="B88" s="3479"/>
      <c r="C88" s="2832" t="s">
        <v>2668</v>
      </c>
      <c r="D88" s="2832" t="s">
        <v>2669</v>
      </c>
      <c r="E88" s="2858">
        <v>0.1</v>
      </c>
      <c r="F88" s="2858">
        <v>15</v>
      </c>
    </row>
    <row r="89" spans="1:6" ht="13.5">
      <c r="A89" s="2858">
        <v>15</v>
      </c>
      <c r="B89" s="3479"/>
      <c r="C89" s="2832" t="s">
        <v>2670</v>
      </c>
      <c r="D89" s="2832" t="s">
        <v>2671</v>
      </c>
      <c r="E89" s="2858">
        <v>0.1</v>
      </c>
      <c r="F89" s="2858">
        <v>15</v>
      </c>
    </row>
    <row r="90" spans="1:6" ht="24">
      <c r="A90" s="2858">
        <v>16</v>
      </c>
      <c r="B90" s="3479"/>
      <c r="C90" s="2832" t="s">
        <v>2672</v>
      </c>
      <c r="D90" s="2832" t="s">
        <v>2673</v>
      </c>
      <c r="E90" s="2858">
        <v>0.1</v>
      </c>
      <c r="F90" s="2858">
        <v>15</v>
      </c>
    </row>
    <row r="91" spans="1:6" ht="24">
      <c r="A91" s="2858">
        <v>17</v>
      </c>
      <c r="B91" s="3478"/>
      <c r="C91" s="2832" t="s">
        <v>2674</v>
      </c>
      <c r="D91" s="2832" t="s">
        <v>2675</v>
      </c>
      <c r="E91" s="2858">
        <v>0.1</v>
      </c>
      <c r="F91" s="2858">
        <v>15</v>
      </c>
    </row>
    <row r="92" spans="1:6" ht="13.5">
      <c r="A92" s="2858">
        <v>18</v>
      </c>
      <c r="B92" s="3477" t="s">
        <v>2676</v>
      </c>
      <c r="C92" s="2832" t="s">
        <v>2677</v>
      </c>
      <c r="D92" s="2832" t="s">
        <v>2678</v>
      </c>
      <c r="E92" s="2858">
        <v>0.2</v>
      </c>
      <c r="F92" s="2858">
        <v>25</v>
      </c>
    </row>
    <row r="93" spans="1:6" ht="24">
      <c r="A93" s="2858">
        <v>19</v>
      </c>
      <c r="B93" s="3479"/>
      <c r="C93" s="2832" t="s">
        <v>2679</v>
      </c>
      <c r="D93" s="2832" t="s">
        <v>2680</v>
      </c>
      <c r="E93" s="2858">
        <v>0.2</v>
      </c>
      <c r="F93" s="2858">
        <v>25</v>
      </c>
    </row>
    <row r="94" spans="1:6" ht="13.5">
      <c r="A94" s="2858">
        <v>20</v>
      </c>
      <c r="B94" s="3479"/>
      <c r="C94" s="2832" t="s">
        <v>2681</v>
      </c>
      <c r="D94" s="2832" t="s">
        <v>2682</v>
      </c>
      <c r="E94" s="2858">
        <v>0.15</v>
      </c>
      <c r="F94" s="2858">
        <v>20</v>
      </c>
    </row>
    <row r="95" spans="1:6" ht="13.5">
      <c r="A95" s="2858">
        <v>21</v>
      </c>
      <c r="B95" s="3479"/>
      <c r="C95" s="2832" t="s">
        <v>2683</v>
      </c>
      <c r="D95" s="2832" t="s">
        <v>2684</v>
      </c>
      <c r="E95" s="2858">
        <v>0.15</v>
      </c>
      <c r="F95" s="2858">
        <v>20</v>
      </c>
    </row>
    <row r="96" spans="1:6" ht="13.5">
      <c r="A96" s="2858">
        <v>22</v>
      </c>
      <c r="B96" s="3479"/>
      <c r="C96" s="2832" t="s">
        <v>2685</v>
      </c>
      <c r="D96" s="2832" t="s">
        <v>2686</v>
      </c>
      <c r="E96" s="2858">
        <v>0.15</v>
      </c>
      <c r="F96" s="2858">
        <v>20</v>
      </c>
    </row>
    <row r="97" spans="1:6" ht="36">
      <c r="A97" s="2858">
        <v>23</v>
      </c>
      <c r="B97" s="3479"/>
      <c r="C97" s="2832" t="s">
        <v>2687</v>
      </c>
      <c r="D97" s="2832" t="s">
        <v>2688</v>
      </c>
      <c r="E97" s="2858">
        <v>0.15</v>
      </c>
      <c r="F97" s="2858">
        <v>20</v>
      </c>
    </row>
    <row r="98" spans="1:6" ht="13.5">
      <c r="A98" s="2858">
        <v>24</v>
      </c>
      <c r="B98" s="3479"/>
      <c r="C98" s="2832" t="s">
        <v>2689</v>
      </c>
      <c r="D98" s="2832" t="s">
        <v>2690</v>
      </c>
      <c r="E98" s="2858">
        <v>0.1</v>
      </c>
      <c r="F98" s="2858">
        <v>15</v>
      </c>
    </row>
    <row r="99" spans="1:6" ht="13.5">
      <c r="A99" s="2858">
        <v>25</v>
      </c>
      <c r="B99" s="3479"/>
      <c r="C99" s="2832" t="s">
        <v>2691</v>
      </c>
      <c r="D99" s="2832" t="s">
        <v>2692</v>
      </c>
      <c r="E99" s="2858">
        <v>0.1</v>
      </c>
      <c r="F99" s="2858">
        <v>15</v>
      </c>
    </row>
    <row r="100" spans="1:6" ht="24">
      <c r="A100" s="2858">
        <v>26</v>
      </c>
      <c r="B100" s="3479"/>
      <c r="C100" s="2832" t="s">
        <v>2693</v>
      </c>
      <c r="D100" s="2832" t="s">
        <v>2694</v>
      </c>
      <c r="E100" s="2858">
        <v>0.1</v>
      </c>
      <c r="F100" s="2858">
        <v>15</v>
      </c>
    </row>
    <row r="101" spans="1:6" ht="24">
      <c r="A101" s="2858">
        <v>27</v>
      </c>
      <c r="B101" s="3479"/>
      <c r="C101" s="2832" t="s">
        <v>2695</v>
      </c>
      <c r="D101" s="2832" t="s">
        <v>2696</v>
      </c>
      <c r="E101" s="2858">
        <v>0.1</v>
      </c>
      <c r="F101" s="2858">
        <v>15</v>
      </c>
    </row>
    <row r="102" spans="1:6" ht="13.5">
      <c r="A102" s="2858">
        <v>28</v>
      </c>
      <c r="B102" s="3479"/>
      <c r="C102" s="2832" t="s">
        <v>2697</v>
      </c>
      <c r="D102" s="2832" t="s">
        <v>2698</v>
      </c>
      <c r="E102" s="2858">
        <v>0.1</v>
      </c>
      <c r="F102" s="2858">
        <v>15</v>
      </c>
    </row>
    <row r="103" spans="1:6" ht="13.5">
      <c r="A103" s="2858">
        <v>29</v>
      </c>
      <c r="B103" s="3479"/>
      <c r="C103" s="2832" t="s">
        <v>2699</v>
      </c>
      <c r="D103" s="2832" t="s">
        <v>2700</v>
      </c>
      <c r="E103" s="2858">
        <v>0.1</v>
      </c>
      <c r="F103" s="2858">
        <v>15</v>
      </c>
    </row>
    <row r="104" spans="1:6" ht="13.5">
      <c r="A104" s="2858">
        <v>30</v>
      </c>
      <c r="B104" s="3479"/>
      <c r="C104" s="2832" t="s">
        <v>2701</v>
      </c>
      <c r="D104" s="2832" t="s">
        <v>2702</v>
      </c>
      <c r="E104" s="2858">
        <v>0.1</v>
      </c>
      <c r="F104" s="2858">
        <v>15</v>
      </c>
    </row>
    <row r="105" spans="1:6" ht="24">
      <c r="A105" s="2858">
        <v>31</v>
      </c>
      <c r="B105" s="3479"/>
      <c r="C105" s="2832" t="s">
        <v>2703</v>
      </c>
      <c r="D105" s="2832" t="s">
        <v>2704</v>
      </c>
      <c r="E105" s="2858">
        <v>0.1</v>
      </c>
      <c r="F105" s="2858">
        <v>15</v>
      </c>
    </row>
    <row r="106" spans="1:6" ht="24">
      <c r="A106" s="2858">
        <v>32</v>
      </c>
      <c r="B106" s="3479"/>
      <c r="C106" s="2832" t="s">
        <v>2705</v>
      </c>
      <c r="D106" s="2832" t="s">
        <v>2706</v>
      </c>
      <c r="E106" s="2858">
        <v>0.1</v>
      </c>
      <c r="F106" s="2858">
        <v>15</v>
      </c>
    </row>
    <row r="107" spans="1:6" ht="24">
      <c r="A107" s="2858">
        <v>33</v>
      </c>
      <c r="B107" s="3479"/>
      <c r="C107" s="2832" t="s">
        <v>2707</v>
      </c>
      <c r="D107" s="2832" t="s">
        <v>2708</v>
      </c>
      <c r="E107" s="2858">
        <v>0.1</v>
      </c>
      <c r="F107" s="2858">
        <v>15</v>
      </c>
    </row>
    <row r="108" spans="1:6" ht="24">
      <c r="A108" s="2858">
        <v>34</v>
      </c>
      <c r="B108" s="3478"/>
      <c r="C108" s="2832" t="s">
        <v>2709</v>
      </c>
      <c r="D108" s="2832" t="s">
        <v>2710</v>
      </c>
      <c r="E108" s="2858">
        <v>0.1</v>
      </c>
      <c r="F108" s="2858">
        <v>15</v>
      </c>
    </row>
    <row r="109" spans="1:6" ht="24">
      <c r="A109" s="2858">
        <v>35</v>
      </c>
      <c r="B109" s="3477" t="s">
        <v>2711</v>
      </c>
      <c r="C109" s="2858" t="s">
        <v>2712</v>
      </c>
      <c r="D109" s="2832" t="s">
        <v>2713</v>
      </c>
      <c r="E109" s="2858">
        <v>0.15</v>
      </c>
      <c r="F109" s="2858">
        <v>20</v>
      </c>
    </row>
    <row r="110" spans="1:6" ht="13.5">
      <c r="A110" s="2858">
        <v>36</v>
      </c>
      <c r="B110" s="3479"/>
      <c r="C110" s="2858" t="s">
        <v>2714</v>
      </c>
      <c r="D110" s="2832" t="s">
        <v>2715</v>
      </c>
      <c r="E110" s="2858">
        <v>0.15</v>
      </c>
      <c r="F110" s="2858">
        <v>20</v>
      </c>
    </row>
    <row r="111" spans="1:6" ht="13.5">
      <c r="A111" s="2858">
        <v>37</v>
      </c>
      <c r="B111" s="3479"/>
      <c r="C111" s="2858" t="s">
        <v>2716</v>
      </c>
      <c r="D111" s="2832" t="s">
        <v>2717</v>
      </c>
      <c r="E111" s="2858">
        <v>0.15</v>
      </c>
      <c r="F111" s="2858">
        <v>20</v>
      </c>
    </row>
    <row r="112" spans="1:6" ht="13.5">
      <c r="A112" s="2858">
        <v>38</v>
      </c>
      <c r="B112" s="3479"/>
      <c r="C112" s="2858" t="s">
        <v>2718</v>
      </c>
      <c r="D112" s="2832" t="s">
        <v>2719</v>
      </c>
      <c r="E112" s="2858">
        <v>0.1</v>
      </c>
      <c r="F112" s="2858">
        <v>15</v>
      </c>
    </row>
    <row r="113" spans="1:6" ht="24">
      <c r="A113" s="2858">
        <v>39</v>
      </c>
      <c r="B113" s="3479"/>
      <c r="C113" s="2858" t="s">
        <v>2720</v>
      </c>
      <c r="D113" s="2832" t="s">
        <v>2721</v>
      </c>
      <c r="E113" s="2858">
        <v>0.1</v>
      </c>
      <c r="F113" s="2858">
        <v>15</v>
      </c>
    </row>
    <row r="114" spans="1:6" ht="24">
      <c r="A114" s="2858">
        <v>40</v>
      </c>
      <c r="B114" s="3478"/>
      <c r="C114" s="2858" t="s">
        <v>2722</v>
      </c>
      <c r="D114" s="2832" t="s">
        <v>2723</v>
      </c>
      <c r="E114" s="2858">
        <v>0.1</v>
      </c>
      <c r="F114" s="2858">
        <v>15</v>
      </c>
    </row>
    <row r="115" spans="1:6" ht="13.5">
      <c r="A115" s="2858">
        <v>41</v>
      </c>
      <c r="B115" s="3476" t="s">
        <v>2724</v>
      </c>
      <c r="C115" s="2858" t="s">
        <v>2725</v>
      </c>
      <c r="D115" s="2832" t="s">
        <v>2726</v>
      </c>
      <c r="E115" s="2858">
        <v>0.1</v>
      </c>
      <c r="F115" s="2858">
        <v>15</v>
      </c>
    </row>
    <row r="116" spans="1:6" ht="13.5">
      <c r="A116" s="2858">
        <v>42</v>
      </c>
      <c r="B116" s="3476"/>
      <c r="C116" s="2858" t="s">
        <v>2727</v>
      </c>
      <c r="D116" s="2832" t="s">
        <v>2728</v>
      </c>
      <c r="E116" s="2858">
        <v>0.1</v>
      </c>
      <c r="F116" s="2858">
        <v>15</v>
      </c>
    </row>
    <row r="117" spans="1:6" ht="24">
      <c r="A117" s="2858">
        <v>43</v>
      </c>
      <c r="B117" s="3476"/>
      <c r="C117" s="2858" t="s">
        <v>2729</v>
      </c>
      <c r="D117" s="2832" t="s">
        <v>2730</v>
      </c>
      <c r="E117" s="2858">
        <v>0.1</v>
      </c>
      <c r="F117" s="2858">
        <v>15</v>
      </c>
    </row>
    <row r="118" spans="1:6" ht="13.5">
      <c r="A118" s="2858">
        <v>44</v>
      </c>
      <c r="B118" s="3477" t="s">
        <v>2731</v>
      </c>
      <c r="C118" s="2858" t="s">
        <v>2732</v>
      </c>
      <c r="D118" s="2832" t="s">
        <v>2733</v>
      </c>
      <c r="E118" s="2858">
        <v>0.1</v>
      </c>
      <c r="F118" s="2858">
        <v>15</v>
      </c>
    </row>
    <row r="119" spans="1:6" ht="24">
      <c r="A119" s="2858">
        <v>45</v>
      </c>
      <c r="B119" s="3478"/>
      <c r="C119" s="2832" t="s">
        <v>2734</v>
      </c>
      <c r="D119" s="2832" t="s">
        <v>2735</v>
      </c>
      <c r="E119" s="2858">
        <v>0.1</v>
      </c>
      <c r="F119" s="2858">
        <v>15</v>
      </c>
    </row>
    <row r="120" spans="1:6" ht="24">
      <c r="A120" s="2858">
        <v>46</v>
      </c>
      <c r="B120" s="3477" t="s">
        <v>2736</v>
      </c>
      <c r="C120" s="2858" t="s">
        <v>2737</v>
      </c>
      <c r="D120" s="2832" t="s">
        <v>2738</v>
      </c>
      <c r="E120" s="2858">
        <v>0.1</v>
      </c>
      <c r="F120" s="2858">
        <v>15</v>
      </c>
    </row>
    <row r="121" spans="1:6" ht="24">
      <c r="A121" s="2858">
        <v>47</v>
      </c>
      <c r="B121" s="3478"/>
      <c r="C121" s="2858" t="s">
        <v>2739</v>
      </c>
      <c r="D121" s="2832" t="s">
        <v>2740</v>
      </c>
      <c r="E121" s="2858">
        <v>0.1</v>
      </c>
      <c r="F121" s="2858">
        <v>15</v>
      </c>
    </row>
    <row r="122" spans="1:6" ht="13.5">
      <c r="A122" s="2858">
        <v>48</v>
      </c>
      <c r="B122" s="3477" t="s">
        <v>2741</v>
      </c>
      <c r="C122" s="2858" t="s">
        <v>2742</v>
      </c>
      <c r="D122" s="2832" t="s">
        <v>2743</v>
      </c>
      <c r="E122" s="2858">
        <v>0.1</v>
      </c>
      <c r="F122" s="2858">
        <v>15</v>
      </c>
    </row>
    <row r="123" spans="1:6" ht="13.5">
      <c r="A123" s="2858">
        <v>49</v>
      </c>
      <c r="B123" s="3478"/>
      <c r="C123" s="2858" t="s">
        <v>2744</v>
      </c>
      <c r="D123" s="2832" t="s">
        <v>2745</v>
      </c>
      <c r="E123" s="2858">
        <v>0.1</v>
      </c>
      <c r="F123" s="2858">
        <v>15</v>
      </c>
    </row>
    <row r="124" spans="1:6" ht="24">
      <c r="A124" s="2858">
        <v>50</v>
      </c>
      <c r="B124" s="3476" t="s">
        <v>2746</v>
      </c>
      <c r="C124" s="2858" t="s">
        <v>2747</v>
      </c>
      <c r="D124" s="2832" t="s">
        <v>2748</v>
      </c>
      <c r="E124" s="2858">
        <v>0.1</v>
      </c>
      <c r="F124" s="2858">
        <v>15</v>
      </c>
    </row>
    <row r="125" spans="1:6" ht="24">
      <c r="A125" s="2858">
        <v>51</v>
      </c>
      <c r="B125" s="3476"/>
      <c r="C125" s="2858" t="s">
        <v>2749</v>
      </c>
      <c r="D125" s="2832" t="s">
        <v>2750</v>
      </c>
      <c r="E125" s="2858">
        <v>0.1</v>
      </c>
      <c r="F125" s="2858">
        <v>15</v>
      </c>
    </row>
    <row r="126" spans="1:6" ht="24">
      <c r="A126" s="2858">
        <v>52</v>
      </c>
      <c r="B126" s="3476" t="s">
        <v>2751</v>
      </c>
      <c r="C126" s="2858" t="s">
        <v>2752</v>
      </c>
      <c r="D126" s="2832" t="s">
        <v>2753</v>
      </c>
      <c r="E126" s="2858">
        <v>0.1</v>
      </c>
      <c r="F126" s="2858">
        <v>15</v>
      </c>
    </row>
    <row r="127" spans="1:6" ht="24">
      <c r="A127" s="2858">
        <v>53</v>
      </c>
      <c r="B127" s="3476"/>
      <c r="C127" s="2858" t="s">
        <v>2754</v>
      </c>
      <c r="D127" s="2832" t="s">
        <v>2755</v>
      </c>
      <c r="E127" s="2858">
        <v>0.1</v>
      </c>
      <c r="F127" s="2858">
        <v>15</v>
      </c>
    </row>
    <row r="128" spans="1:6" ht="13.5">
      <c r="A128" s="2858">
        <v>54</v>
      </c>
      <c r="B128" s="2858" t="s">
        <v>2756</v>
      </c>
      <c r="C128" s="2858" t="s">
        <v>2757</v>
      </c>
      <c r="D128" s="2832" t="s">
        <v>2758</v>
      </c>
      <c r="E128" s="2858">
        <v>0.1</v>
      </c>
      <c r="F128" s="2858">
        <v>15</v>
      </c>
    </row>
    <row r="129" spans="1:6" ht="13.5">
      <c r="A129" s="2858">
        <v>55</v>
      </c>
      <c r="B129" s="3476" t="s">
        <v>2759</v>
      </c>
      <c r="C129" s="2858" t="s">
        <v>2760</v>
      </c>
      <c r="D129" s="2832" t="s">
        <v>2761</v>
      </c>
      <c r="E129" s="2858">
        <v>0.1</v>
      </c>
      <c r="F129" s="2858">
        <v>15</v>
      </c>
    </row>
    <row r="130" spans="1:6" ht="13.5">
      <c r="A130" s="2858">
        <v>56</v>
      </c>
      <c r="B130" s="3476"/>
      <c r="C130" s="2858" t="s">
        <v>2762</v>
      </c>
      <c r="D130" s="2832" t="s">
        <v>2763</v>
      </c>
      <c r="E130" s="2858">
        <v>0.1</v>
      </c>
      <c r="F130" s="2858">
        <v>15</v>
      </c>
    </row>
    <row r="131" spans="1:6" ht="24">
      <c r="A131" s="2858">
        <v>57</v>
      </c>
      <c r="B131" s="3476"/>
      <c r="C131" s="2858" t="s">
        <v>2764</v>
      </c>
      <c r="D131" s="2832" t="s">
        <v>2765</v>
      </c>
      <c r="E131" s="2858">
        <v>0.1</v>
      </c>
      <c r="F131" s="2858">
        <v>15</v>
      </c>
    </row>
    <row r="132" spans="1:6" ht="24">
      <c r="A132" s="2858">
        <v>58</v>
      </c>
      <c r="B132" s="3476" t="s">
        <v>2766</v>
      </c>
      <c r="C132" s="2858" t="s">
        <v>2767</v>
      </c>
      <c r="D132" s="2832" t="s">
        <v>2768</v>
      </c>
      <c r="E132" s="2858">
        <v>0.1</v>
      </c>
      <c r="F132" s="2858">
        <v>15</v>
      </c>
    </row>
    <row r="133" spans="1:6" ht="13.5">
      <c r="A133" s="2858">
        <v>59</v>
      </c>
      <c r="B133" s="3476"/>
      <c r="C133" s="2858" t="s">
        <v>2769</v>
      </c>
      <c r="D133" s="2832" t="s">
        <v>2770</v>
      </c>
      <c r="E133" s="2858">
        <v>0.1</v>
      </c>
      <c r="F133" s="2858">
        <v>15</v>
      </c>
    </row>
    <row r="134" spans="1:6" ht="13.5">
      <c r="A134" s="2858">
        <v>60</v>
      </c>
      <c r="B134" s="3477" t="s">
        <v>2771</v>
      </c>
      <c r="C134" s="2858" t="s">
        <v>2772</v>
      </c>
      <c r="D134" s="2832" t="s">
        <v>2773</v>
      </c>
      <c r="E134" s="2858">
        <v>0.1</v>
      </c>
      <c r="F134" s="2858">
        <v>15</v>
      </c>
    </row>
    <row r="135" spans="1:6" ht="13.5">
      <c r="A135" s="2858">
        <v>61</v>
      </c>
      <c r="B135" s="3478"/>
      <c r="C135" s="2858" t="s">
        <v>2774</v>
      </c>
      <c r="D135" s="2832" t="s">
        <v>2775</v>
      </c>
      <c r="E135" s="2858">
        <v>0.1</v>
      </c>
      <c r="F135" s="2858">
        <v>15</v>
      </c>
    </row>
    <row r="136" spans="1:6" ht="24">
      <c r="A136" s="2858">
        <v>62</v>
      </c>
      <c r="B136" s="2858" t="s">
        <v>2776</v>
      </c>
      <c r="C136" s="2858" t="s">
        <v>2777</v>
      </c>
      <c r="D136" s="2832" t="s">
        <v>2778</v>
      </c>
      <c r="E136" s="2858">
        <v>0.1</v>
      </c>
      <c r="F136" s="2858">
        <v>15</v>
      </c>
    </row>
    <row r="137" spans="1:6" ht="13.5">
      <c r="A137" s="2858">
        <v>63</v>
      </c>
      <c r="B137" s="3476" t="s">
        <v>2779</v>
      </c>
      <c r="C137" s="2858" t="s">
        <v>2780</v>
      </c>
      <c r="D137" s="2832" t="s">
        <v>2781</v>
      </c>
      <c r="E137" s="2858">
        <v>0.1</v>
      </c>
      <c r="F137" s="2858">
        <v>15</v>
      </c>
    </row>
    <row r="138" spans="1:6" ht="13.5">
      <c r="A138" s="2858">
        <v>64</v>
      </c>
      <c r="B138" s="3476"/>
      <c r="C138" s="2858" t="s">
        <v>2782</v>
      </c>
      <c r="D138" s="2832" t="s">
        <v>2783</v>
      </c>
      <c r="E138" s="2858">
        <v>0.1</v>
      </c>
      <c r="F138" s="2858">
        <v>15</v>
      </c>
    </row>
    <row r="139" spans="1:6" ht="13.5">
      <c r="A139" s="2858">
        <v>65</v>
      </c>
      <c r="B139" s="2858" t="s">
        <v>2784</v>
      </c>
      <c r="C139" s="2858" t="s">
        <v>2785</v>
      </c>
      <c r="D139" s="2832" t="s">
        <v>2786</v>
      </c>
      <c r="E139" s="2858">
        <v>0.1</v>
      </c>
      <c r="F139" s="2858">
        <v>15</v>
      </c>
    </row>
    <row r="140" spans="1:6" ht="13.5">
      <c r="A140" s="2858"/>
      <c r="B140" s="2858"/>
      <c r="C140" s="2858"/>
      <c r="D140" s="2858"/>
      <c r="E140" s="2858" t="s">
        <v>2787</v>
      </c>
      <c r="F140" s="2858" t="s">
        <v>2787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2788</v>
      </c>
      <c r="B1" s="2866"/>
      <c r="C1" s="2866"/>
      <c r="D1" s="2866"/>
      <c r="E1" s="2866"/>
      <c r="F1" s="2866"/>
      <c r="G1" s="2866"/>
      <c r="H1" s="2866"/>
      <c r="I1" s="2866"/>
      <c r="J1" s="2866"/>
      <c r="K1" s="2866"/>
      <c r="L1" s="2866"/>
      <c r="M1" s="2866"/>
      <c r="N1" s="707"/>
    </row>
    <row r="2" spans="1:20">
      <c r="A2" s="2867" t="s">
        <v>2789</v>
      </c>
      <c r="B2" s="2868" t="s">
        <v>2585</v>
      </c>
      <c r="C2" s="2868" t="s">
        <v>2586</v>
      </c>
      <c r="D2" s="2868" t="s">
        <v>2587</v>
      </c>
      <c r="E2" s="2868" t="s">
        <v>2588</v>
      </c>
      <c r="F2" s="2868" t="s">
        <v>2589</v>
      </c>
      <c r="G2" s="2868" t="s">
        <v>2590</v>
      </c>
      <c r="H2" s="2869" t="s">
        <v>2591</v>
      </c>
      <c r="I2" s="2869" t="s">
        <v>2592</v>
      </c>
      <c r="J2" s="2870" t="s">
        <v>2593</v>
      </c>
      <c r="K2" s="2870" t="s">
        <v>2594</v>
      </c>
      <c r="L2" s="2870" t="s">
        <v>2595</v>
      </c>
      <c r="M2" s="2871" t="s">
        <v>2596</v>
      </c>
      <c r="Q2" s="2881" t="s">
        <v>2794</v>
      </c>
      <c r="R2" s="2881" t="s">
        <v>2795</v>
      </c>
      <c r="S2" s="2881" t="s">
        <v>2796</v>
      </c>
      <c r="T2" s="2881" t="s">
        <v>2797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2790</v>
      </c>
      <c r="B93" s="2866"/>
      <c r="C93" s="2866"/>
      <c r="D93" s="2866"/>
      <c r="E93" s="2866"/>
      <c r="F93" s="2866"/>
      <c r="G93" s="2866"/>
      <c r="H93" s="2866"/>
      <c r="I93" s="2866"/>
      <c r="J93" s="2866"/>
      <c r="K93" s="2866"/>
      <c r="L93" s="2866"/>
      <c r="M93" s="2866"/>
    </row>
    <row r="94" spans="1:20">
      <c r="A94" s="2867" t="s">
        <v>2789</v>
      </c>
      <c r="B94" s="2868" t="s">
        <v>2585</v>
      </c>
      <c r="C94" s="2868" t="s">
        <v>2586</v>
      </c>
      <c r="D94" s="2868" t="s">
        <v>2587</v>
      </c>
      <c r="E94" s="2868" t="s">
        <v>2588</v>
      </c>
      <c r="F94" s="2868" t="s">
        <v>2589</v>
      </c>
      <c r="G94" s="2868" t="s">
        <v>2590</v>
      </c>
      <c r="H94" s="2869" t="s">
        <v>2591</v>
      </c>
      <c r="I94" s="2869" t="s">
        <v>2592</v>
      </c>
      <c r="J94" s="2870" t="s">
        <v>2593</v>
      </c>
      <c r="K94" s="2870" t="s">
        <v>2594</v>
      </c>
      <c r="L94" s="2870" t="s">
        <v>2595</v>
      </c>
      <c r="M94" s="2871" t="s">
        <v>2596</v>
      </c>
      <c r="N94">
        <f>SUMPRODUCT((A95:A184=ROUNDDOWN(基准地价修正!G3,1))*(B94:M94=基准地价修正!G2)*(B95:M184))</f>
        <v>0.96819999999999995</v>
      </c>
      <c r="Q94" s="2881" t="s">
        <v>2794</v>
      </c>
      <c r="R94" s="2881" t="s">
        <v>2795</v>
      </c>
      <c r="S94" s="2881" t="s">
        <v>2796</v>
      </c>
      <c r="T94" s="2881" t="s">
        <v>2797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2791</v>
      </c>
      <c r="B185" s="2866"/>
      <c r="C185" s="2866"/>
      <c r="D185" s="2866"/>
      <c r="E185" s="2866"/>
      <c r="F185" s="2866"/>
      <c r="G185" s="2866"/>
      <c r="H185" s="2866"/>
      <c r="I185" s="2866"/>
      <c r="J185" s="2866"/>
      <c r="K185" s="2866"/>
      <c r="L185" s="2866"/>
      <c r="M185" s="2866"/>
    </row>
    <row r="186" spans="1:20">
      <c r="A186" s="2867" t="s">
        <v>2789</v>
      </c>
      <c r="B186" s="2868" t="s">
        <v>2585</v>
      </c>
      <c r="C186" s="2868" t="s">
        <v>2586</v>
      </c>
      <c r="D186" s="2868" t="s">
        <v>2587</v>
      </c>
      <c r="E186" s="2868" t="s">
        <v>2588</v>
      </c>
      <c r="F186" s="2868" t="s">
        <v>2589</v>
      </c>
      <c r="G186" s="2868" t="s">
        <v>2590</v>
      </c>
      <c r="H186" s="2869" t="s">
        <v>2591</v>
      </c>
      <c r="I186" s="2869" t="s">
        <v>2592</v>
      </c>
      <c r="J186" s="2870" t="s">
        <v>2593</v>
      </c>
      <c r="K186" s="2870" t="s">
        <v>2594</v>
      </c>
      <c r="L186" s="2870" t="s">
        <v>2595</v>
      </c>
      <c r="M186" s="2871" t="s">
        <v>2596</v>
      </c>
      <c r="Q186" s="2881" t="s">
        <v>2794</v>
      </c>
      <c r="R186" s="2881" t="s">
        <v>2795</v>
      </c>
      <c r="S186" s="2881" t="s">
        <v>2796</v>
      </c>
      <c r="T186" s="2881" t="s">
        <v>2797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2792</v>
      </c>
      <c r="B277" s="2866"/>
      <c r="C277" s="2866"/>
      <c r="D277" s="2866"/>
      <c r="E277" s="2866"/>
      <c r="F277" s="2866"/>
      <c r="G277" s="2866"/>
      <c r="H277" s="2866"/>
      <c r="I277" s="2866"/>
      <c r="J277" s="2866"/>
      <c r="K277" s="2866"/>
      <c r="L277" s="2866"/>
      <c r="M277" s="2866"/>
    </row>
    <row r="278" spans="1:21">
      <c r="A278" s="2867" t="s">
        <v>2789</v>
      </c>
      <c r="B278" s="2868" t="s">
        <v>2585</v>
      </c>
      <c r="C278" s="2868" t="s">
        <v>2586</v>
      </c>
      <c r="D278" s="2868" t="s">
        <v>2587</v>
      </c>
      <c r="E278" s="2868" t="s">
        <v>2588</v>
      </c>
      <c r="F278" s="2868" t="s">
        <v>2589</v>
      </c>
      <c r="G278" s="2868" t="s">
        <v>2590</v>
      </c>
      <c r="H278" s="2869" t="s">
        <v>2591</v>
      </c>
      <c r="I278" s="2869" t="s">
        <v>2592</v>
      </c>
      <c r="J278" s="2870" t="s">
        <v>2593</v>
      </c>
      <c r="K278" s="2870" t="s">
        <v>2594</v>
      </c>
      <c r="L278" s="2870" t="s">
        <v>2595</v>
      </c>
      <c r="M278" s="2871" t="s">
        <v>2596</v>
      </c>
      <c r="Q278" s="2881" t="s">
        <v>2794</v>
      </c>
      <c r="R278" s="2881" t="s">
        <v>2795</v>
      </c>
      <c r="S278" s="2881" t="s">
        <v>2798</v>
      </c>
      <c r="T278" s="2881" t="s">
        <v>2799</v>
      </c>
      <c r="U278" s="2881" t="s">
        <v>2797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2793</v>
      </c>
      <c r="B369" s="2879"/>
      <c r="C369" s="2879"/>
      <c r="D369" s="2879"/>
      <c r="E369" s="2879"/>
      <c r="F369" s="2879"/>
      <c r="G369" s="2879"/>
      <c r="H369" s="2879"/>
      <c r="I369" s="2879"/>
      <c r="J369" s="2879"/>
      <c r="K369" s="2879"/>
      <c r="L369" s="2879"/>
      <c r="M369" s="2879"/>
    </row>
    <row r="370" spans="1:20">
      <c r="A370" s="2867" t="s">
        <v>2789</v>
      </c>
      <c r="B370" s="2868" t="s">
        <v>2585</v>
      </c>
      <c r="C370" s="2868" t="s">
        <v>2586</v>
      </c>
      <c r="D370" s="2868" t="s">
        <v>2587</v>
      </c>
      <c r="E370" s="2868" t="s">
        <v>2588</v>
      </c>
      <c r="F370" s="2868" t="s">
        <v>2589</v>
      </c>
      <c r="G370" s="2868" t="s">
        <v>2590</v>
      </c>
      <c r="H370" s="2869" t="s">
        <v>2591</v>
      </c>
      <c r="I370" s="2869" t="s">
        <v>2592</v>
      </c>
      <c r="J370" s="2870" t="s">
        <v>2593</v>
      </c>
      <c r="K370" s="2870" t="s">
        <v>2594</v>
      </c>
      <c r="L370" s="2870" t="s">
        <v>2595</v>
      </c>
      <c r="M370" s="2871" t="s">
        <v>2596</v>
      </c>
      <c r="N370">
        <f>SUMPRODUCT((A371:A460=ROUNDDOWN(基准地价修正!G3,1))*(B370:M370=基准地价修正!G2)*(B371:M460))</f>
        <v>0.88139999999999996</v>
      </c>
      <c r="Q370" s="2881" t="s">
        <v>2794</v>
      </c>
      <c r="R370" s="2881" t="s">
        <v>2795</v>
      </c>
      <c r="S370" s="2881" t="s">
        <v>2796</v>
      </c>
      <c r="T370" s="2881" t="s">
        <v>2797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9.5" thickBot="1">
      <c r="A4" s="1391"/>
      <c r="B4" s="3175" t="s">
        <v>917</v>
      </c>
      <c r="C4" s="3175"/>
      <c r="D4" s="3175"/>
      <c r="E4" s="1391"/>
    </row>
    <row r="5" spans="1:5" ht="16.5" thickTop="1">
      <c r="B5" s="3173" t="s">
        <v>909</v>
      </c>
      <c r="C5" s="1392" t="s">
        <v>910</v>
      </c>
      <c r="D5" s="797">
        <f ca="1">结果表!H101</f>
        <v>537</v>
      </c>
    </row>
    <row r="6" spans="1:5" ht="15.75">
      <c r="B6" s="3173"/>
      <c r="C6" s="1392" t="s">
        <v>911</v>
      </c>
      <c r="D6" s="797" t="str">
        <f ca="1">NUMBERSTRING(INT(D5*10000),2)&amp;"元整"</f>
        <v>伍佰叁拾柒万元整</v>
      </c>
    </row>
    <row r="7" spans="1:5" ht="15.75">
      <c r="B7" s="3178"/>
      <c r="C7" s="1393" t="s">
        <v>912</v>
      </c>
      <c r="D7" s="798">
        <f ca="1">结果表!H102</f>
        <v>4330</v>
      </c>
    </row>
    <row r="8" spans="1:5" ht="15.75">
      <c r="B8" s="3179" t="str">
        <f>结果表!E103</f>
        <v>2.估价师知悉的法定优先受偿款</v>
      </c>
      <c r="C8" s="1394" t="s">
        <v>913</v>
      </c>
      <c r="D8" s="798">
        <f>结果表!H103</f>
        <v>0</v>
      </c>
    </row>
    <row r="9" spans="1:5" ht="15.75">
      <c r="B9" s="318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2" t="str">
        <f>结果表!E107</f>
        <v>3.房地产抵押价值</v>
      </c>
      <c r="C13" s="1397" t="s">
        <v>910</v>
      </c>
      <c r="D13" s="800">
        <f ca="1">结果表!H107</f>
        <v>537</v>
      </c>
    </row>
    <row r="14" spans="1:5" ht="15.75">
      <c r="B14" s="3173"/>
      <c r="C14" s="1392" t="s">
        <v>911</v>
      </c>
      <c r="D14" s="797" t="str">
        <f ca="1">NUMBERSTRING(INT(D13*10000),2)&amp;"元整"</f>
        <v>伍佰叁拾柒万元整</v>
      </c>
    </row>
    <row r="15" spans="1:5" ht="15">
      <c r="B15" s="3178"/>
      <c r="C15" s="1393" t="s">
        <v>921</v>
      </c>
      <c r="D15" s="806">
        <f ca="1">结果表!H108</f>
        <v>4330</v>
      </c>
    </row>
    <row r="16" spans="1:5" ht="15">
      <c r="B16" s="3179" t="str">
        <f>结果表!E109</f>
        <v>——</v>
      </c>
      <c r="C16" s="1397" t="s">
        <v>922</v>
      </c>
      <c r="D16" s="1398" t="str">
        <f>结果表!H109</f>
        <v>——</v>
      </c>
    </row>
    <row r="17" spans="1:5" ht="15.75">
      <c r="B17" s="3180"/>
      <c r="C17" s="1392" t="s">
        <v>923</v>
      </c>
      <c r="D17" s="797" t="e">
        <f>NUMBERSTRING(INT(D16*10000),2)&amp;"元整"</f>
        <v>#VALUE!</v>
      </c>
    </row>
    <row r="18" spans="1:5" ht="15">
      <c r="B18" s="3181"/>
      <c r="C18" s="1393" t="s">
        <v>912</v>
      </c>
      <c r="D18" s="806" t="str">
        <f>结果表!H110</f>
        <v>——</v>
      </c>
    </row>
    <row r="19" spans="1:5" ht="15.75">
      <c r="B19" s="3172" t="str">
        <f>结果表!E111</f>
        <v>——</v>
      </c>
      <c r="C19" s="1397" t="s">
        <v>910</v>
      </c>
      <c r="D19" s="798" t="str">
        <f>结果表!H111</f>
        <v>——</v>
      </c>
    </row>
    <row r="20" spans="1:5" ht="15.75">
      <c r="B20" s="3173"/>
      <c r="C20" s="1392" t="s">
        <v>923</v>
      </c>
      <c r="D20" s="797" t="e">
        <f>NUMBERSTRING(INT(D19*10000),2)&amp;"元整"</f>
        <v>#VALUE!</v>
      </c>
    </row>
    <row r="21" spans="1:5" ht="15.75" thickBot="1">
      <c r="B21" s="317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27375</v>
      </c>
      <c r="C2" s="2" t="s">
        <v>106</v>
      </c>
      <c r="D2" s="191"/>
      <c r="E2" s="191"/>
      <c r="F2" s="191"/>
      <c r="G2" s="191"/>
    </row>
    <row r="3" spans="1:7" s="192" customFormat="1" ht="18" customHeight="1" thickBot="1">
      <c r="A3" s="195" t="s">
        <v>58</v>
      </c>
      <c r="B3" s="196">
        <f ca="1">ROUND(B2*10000/'数据-汇总表'!E3,0)</f>
        <v>220713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20</v>
      </c>
      <c r="D10" s="795">
        <f>'数据-汇总表'!E6</f>
        <v>1240.3</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25</v>
      </c>
      <c r="D19" s="204">
        <f>'数据-汇总表'!E3</f>
        <v>1240.3</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625</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3157</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3157</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26863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569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509</v>
      </c>
      <c r="D34" s="209"/>
      <c r="E34" s="212"/>
      <c r="F34" s="249">
        <f>IF('数据-取费表'!B24=0,1,'数据-取费表'!N16)</f>
        <v>1</v>
      </c>
      <c r="G34" s="211" t="s">
        <v>89</v>
      </c>
    </row>
    <row r="35" spans="1:7" ht="13.5" customHeight="1">
      <c r="A35" s="734" t="s">
        <v>351</v>
      </c>
      <c r="B35" s="207" t="s">
        <v>33</v>
      </c>
      <c r="C35" s="212">
        <f>ROUND(C34*F35,0)</f>
        <v>25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25</v>
      </c>
      <c r="D37" s="209">
        <f>'数据-汇总表'!E3</f>
        <v>1240.3</v>
      </c>
      <c r="E37" s="241">
        <f>'数据-取费表'!B35</f>
        <v>200</v>
      </c>
      <c r="F37" s="251"/>
      <c r="G37" s="253" t="s">
        <v>92</v>
      </c>
    </row>
    <row r="38" spans="1:7" ht="13.5" customHeight="1">
      <c r="A38" s="734" t="s">
        <v>354</v>
      </c>
      <c r="B38" s="207" t="s">
        <v>36</v>
      </c>
      <c r="C38" s="212">
        <f>ROUND(C34*F38,0)</f>
        <v>10</v>
      </c>
      <c r="D38" s="212"/>
      <c r="E38" s="212"/>
      <c r="F38" s="251">
        <f>'数据-取费表'!B36</f>
        <v>0.02</v>
      </c>
      <c r="G38" s="211" t="s">
        <v>90</v>
      </c>
    </row>
    <row r="39" spans="1:7" s="206" customFormat="1" ht="13.5" customHeight="1">
      <c r="A39" s="731" t="s">
        <v>338</v>
      </c>
      <c r="B39" s="202" t="s">
        <v>77</v>
      </c>
      <c r="C39" s="224">
        <f>ROUND(C33*F20,0)</f>
        <v>11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9</v>
      </c>
      <c r="D42" s="230"/>
      <c r="E42" s="230"/>
      <c r="F42" s="231"/>
      <c r="G42" s="3353" t="s">
        <v>94</v>
      </c>
    </row>
    <row r="43" spans="1:7" ht="13.5" customHeight="1">
      <c r="A43" s="734" t="s">
        <v>347</v>
      </c>
      <c r="B43" s="207" t="s">
        <v>426</v>
      </c>
      <c r="C43" s="230">
        <f ca="1">ROUND(IF('数据-取费表'!B22&lt;=1,C39*F22*'数据-取费表'!B21/2,C39*(POWER((1+F22),'数据-取费表'!B21/2)-1)),0)</f>
        <v>0</v>
      </c>
      <c r="D43" s="230"/>
      <c r="E43" s="230"/>
      <c r="F43" s="231"/>
      <c r="G43" s="3354"/>
    </row>
    <row r="44" spans="1:7" ht="13.5" customHeight="1">
      <c r="A44" s="734" t="s">
        <v>348</v>
      </c>
      <c r="B44" s="207" t="s">
        <v>428</v>
      </c>
      <c r="C44" s="230">
        <f ca="1">ROUND(IF('数据-取费表'!B22&lt;=1,C40*F22*'数据-取费表'!B21/2,C40*(POWER((1+F22),'数据-取费表'!B21/2)-1)),4)</f>
        <v>2.9999999999999997E-4</v>
      </c>
      <c r="D44" s="230"/>
      <c r="E44" s="230"/>
      <c r="F44" s="231"/>
      <c r="G44" s="3355"/>
    </row>
    <row r="45" spans="1:7" s="206" customFormat="1" ht="13.5" customHeight="1">
      <c r="A45" s="731" t="s">
        <v>341</v>
      </c>
      <c r="B45" s="236" t="s">
        <v>85</v>
      </c>
      <c r="C45" s="237">
        <f>C46</f>
        <v>87</v>
      </c>
      <c r="D45" s="227">
        <f>C47</f>
        <v>3.0000000000000001E-3</v>
      </c>
      <c r="E45" s="228" t="s">
        <v>102</v>
      </c>
      <c r="F45" s="238"/>
      <c r="G45" s="239" t="s">
        <v>434</v>
      </c>
    </row>
    <row r="46" spans="1:7" s="206" customFormat="1" ht="13.5" customHeight="1">
      <c r="A46" s="734" t="s">
        <v>349</v>
      </c>
      <c r="B46" s="240" t="s">
        <v>427</v>
      </c>
      <c r="C46" s="241">
        <f>ROUND((C33+C39)*F27,0)</f>
        <v>87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731</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512</v>
      </c>
      <c r="D51" s="224"/>
      <c r="E51" s="224"/>
      <c r="F51" s="256"/>
      <c r="G51" s="226" t="s">
        <v>37</v>
      </c>
    </row>
    <row r="52" spans="1:7" s="200" customFormat="1" ht="16.5" thickBot="1">
      <c r="A52" s="257" t="s">
        <v>38</v>
      </c>
      <c r="B52" s="258"/>
      <c r="C52" s="259">
        <f ca="1">C31+C51</f>
        <v>27375</v>
      </c>
      <c r="D52" s="258"/>
      <c r="E52" s="258"/>
      <c r="F52" s="258"/>
      <c r="G52" s="260"/>
    </row>
    <row r="55" spans="1:7" ht="15">
      <c r="B55" s="262" t="s">
        <v>39</v>
      </c>
      <c r="C55" s="263"/>
    </row>
    <row r="56" spans="1:7">
      <c r="B56" s="265" t="s">
        <v>40</v>
      </c>
      <c r="C56" s="266">
        <f ca="1">ROUND(C51/C52,3)</f>
        <v>1.9E-2</v>
      </c>
    </row>
    <row r="57" spans="1:7">
      <c r="B57" s="265" t="s">
        <v>41</v>
      </c>
      <c r="C57" s="267">
        <f ca="1">1-C56</f>
        <v>0.98099999999999998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0" t="s">
        <v>3171</v>
      </c>
      <c r="B1" s="3490"/>
    </row>
    <row r="2" spans="1:7" ht="14.25" thickBot="1">
      <c r="A2" s="2969"/>
      <c r="B2" s="2969"/>
    </row>
    <row r="3" spans="1:7" ht="14.25" thickBot="1">
      <c r="A3" s="2969"/>
      <c r="B3" s="2969"/>
      <c r="C3" s="2970" t="s">
        <v>2801</v>
      </c>
      <c r="D3" s="2970" t="s">
        <v>2857</v>
      </c>
      <c r="E3" s="2970" t="s">
        <v>2803</v>
      </c>
      <c r="F3" s="2970" t="s">
        <v>2858</v>
      </c>
      <c r="G3" s="2970" t="s">
        <v>2621</v>
      </c>
    </row>
    <row r="4" spans="1:7" ht="14.25" thickBot="1">
      <c r="A4" s="2971" t="s">
        <v>2856</v>
      </c>
      <c r="B4" s="2972" t="s">
        <v>2862</v>
      </c>
      <c r="C4" s="2970"/>
      <c r="D4" s="2970"/>
      <c r="E4" s="2970"/>
      <c r="F4" s="2970"/>
      <c r="G4" s="2970"/>
    </row>
    <row r="5" spans="1:7">
      <c r="A5" s="2973" t="s">
        <v>2830</v>
      </c>
      <c r="B5" s="2974" t="s">
        <v>2844</v>
      </c>
      <c r="C5" s="2975">
        <v>9.8000000000000004E-2</v>
      </c>
      <c r="D5" s="2975">
        <v>8.6999999999999994E-2</v>
      </c>
      <c r="E5" s="2975">
        <v>8.6999999999999994E-2</v>
      </c>
      <c r="F5" s="2975">
        <v>9.8000000000000004E-2</v>
      </c>
      <c r="G5" s="2976">
        <v>9.5000000000000001E-2</v>
      </c>
    </row>
    <row r="6" spans="1:7">
      <c r="A6" s="2977" t="s">
        <v>144</v>
      </c>
      <c r="B6" s="2978" t="s">
        <v>2859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2913</v>
      </c>
      <c r="C29" s="2987"/>
      <c r="D29" s="2983">
        <v>5.1999999999999998E-2</v>
      </c>
      <c r="E29" s="2983">
        <v>7.0000000000000007E-2</v>
      </c>
      <c r="F29" s="2987"/>
      <c r="G29" s="2985">
        <v>7.0999999999999994E-2</v>
      </c>
    </row>
    <row r="30" spans="1:7">
      <c r="A30" s="2988" t="s">
        <v>296</v>
      </c>
      <c r="B30" s="2974" t="s">
        <v>2846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2916</v>
      </c>
      <c r="C50" s="2979">
        <v>9.8000000000000004E-2</v>
      </c>
      <c r="D50" s="2979">
        <v>7.2999999999999995E-2</v>
      </c>
      <c r="E50" s="2979">
        <v>7.0999999999999994E-2</v>
      </c>
      <c r="F50" s="2990"/>
      <c r="G50" s="2980">
        <v>7.2999999999999995E-2</v>
      </c>
    </row>
    <row r="51" spans="1:7">
      <c r="A51" s="2989" t="s">
        <v>296</v>
      </c>
      <c r="B51" s="2978" t="s">
        <v>2918</v>
      </c>
      <c r="C51" s="2979">
        <v>9.9000000000000005E-2</v>
      </c>
      <c r="D51" s="2979">
        <v>8.5000000000000006E-2</v>
      </c>
      <c r="E51" s="2979">
        <v>6.3E-2</v>
      </c>
      <c r="F51" s="2990"/>
      <c r="G51" s="2980">
        <v>9.6000000000000002E-2</v>
      </c>
    </row>
    <row r="52" spans="1:7">
      <c r="A52" s="2989" t="s">
        <v>296</v>
      </c>
      <c r="B52" s="2978" t="s">
        <v>2922</v>
      </c>
      <c r="C52" s="2979">
        <v>7.3999999999999996E-2</v>
      </c>
      <c r="D52" s="2979">
        <v>9.6000000000000002E-2</v>
      </c>
      <c r="E52" s="2979">
        <v>0.05</v>
      </c>
      <c r="F52" s="2990"/>
      <c r="G52" s="2980">
        <v>9.8000000000000004E-2</v>
      </c>
    </row>
    <row r="53" spans="1:7">
      <c r="A53" s="2989" t="s">
        <v>296</v>
      </c>
      <c r="B53" s="2978" t="s">
        <v>2927</v>
      </c>
      <c r="C53" s="2979">
        <v>8.5999999999999993E-2</v>
      </c>
      <c r="D53" s="2990"/>
      <c r="E53" s="2979">
        <v>9.1999999999999998E-2</v>
      </c>
      <c r="F53" s="2990"/>
      <c r="G53" s="2991"/>
    </row>
    <row r="54" spans="1:7" ht="14.25" thickBot="1">
      <c r="A54" s="2992" t="s">
        <v>296</v>
      </c>
      <c r="B54" s="2982" t="s">
        <v>2930</v>
      </c>
      <c r="C54" s="2983">
        <v>9.6000000000000002E-2</v>
      </c>
      <c r="D54" s="2984"/>
      <c r="E54" s="2993"/>
      <c r="F54" s="2984"/>
      <c r="G54" s="2994"/>
    </row>
    <row r="55" spans="1:7">
      <c r="A55" s="2988" t="s">
        <v>110</v>
      </c>
      <c r="B55" s="2974" t="s">
        <v>2847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2928</v>
      </c>
      <c r="C78" s="2979">
        <v>0.1</v>
      </c>
      <c r="D78" s="2979">
        <v>8.5000000000000006E-2</v>
      </c>
      <c r="E78" s="2979">
        <v>9.6000000000000002E-2</v>
      </c>
      <c r="F78" s="2990"/>
      <c r="G78" s="2980">
        <v>9.6000000000000002E-2</v>
      </c>
    </row>
    <row r="79" spans="1:7">
      <c r="A79" s="2989" t="s">
        <v>110</v>
      </c>
      <c r="B79" s="2978" t="s">
        <v>2931</v>
      </c>
      <c r="C79" s="2979">
        <v>0.05</v>
      </c>
      <c r="D79" s="2979">
        <v>9.6000000000000002E-2</v>
      </c>
      <c r="E79" s="2979">
        <v>9.5000000000000001E-2</v>
      </c>
      <c r="F79" s="2990"/>
      <c r="G79" s="2980">
        <v>9.8000000000000004E-2</v>
      </c>
    </row>
    <row r="80" spans="1:7">
      <c r="A80" s="2989" t="s">
        <v>110</v>
      </c>
      <c r="B80" s="2978" t="s">
        <v>2935</v>
      </c>
      <c r="C80" s="2979">
        <v>8.5999999999999993E-2</v>
      </c>
      <c r="D80" s="2995"/>
      <c r="E80" s="2979">
        <v>0.1</v>
      </c>
      <c r="F80" s="2990"/>
      <c r="G80" s="2991"/>
    </row>
    <row r="81" spans="1:7">
      <c r="A81" s="2989" t="s">
        <v>110</v>
      </c>
      <c r="B81" s="2978" t="s">
        <v>2940</v>
      </c>
      <c r="C81" s="2979">
        <v>9.6000000000000002E-2</v>
      </c>
      <c r="D81" s="2990"/>
      <c r="E81" s="2979">
        <v>9.8000000000000004E-2</v>
      </c>
      <c r="F81" s="2990"/>
      <c r="G81" s="2991"/>
    </row>
    <row r="82" spans="1:7">
      <c r="A82" s="2989" t="s">
        <v>110</v>
      </c>
      <c r="B82" s="2978" t="s">
        <v>2947</v>
      </c>
      <c r="C82" s="2995"/>
      <c r="D82" s="2990"/>
      <c r="E82" s="2979">
        <v>7.6999999999999999E-2</v>
      </c>
      <c r="F82" s="2990"/>
      <c r="G82" s="2991"/>
    </row>
    <row r="83" spans="1:7">
      <c r="A83" s="2989" t="s">
        <v>110</v>
      </c>
      <c r="B83" s="2978" t="s">
        <v>2953</v>
      </c>
      <c r="C83" s="2990"/>
      <c r="D83" s="2990"/>
      <c r="E83" s="2990"/>
      <c r="F83" s="2979">
        <v>0.1</v>
      </c>
      <c r="G83" s="2996"/>
    </row>
    <row r="84" spans="1:7">
      <c r="A84" s="2989" t="s">
        <v>110</v>
      </c>
      <c r="B84" s="2978" t="s">
        <v>2960</v>
      </c>
      <c r="C84" s="2990"/>
      <c r="D84" s="2990"/>
      <c r="E84" s="2990"/>
      <c r="F84" s="2979">
        <v>0.1</v>
      </c>
      <c r="G84" s="2996"/>
    </row>
    <row r="85" spans="1:7">
      <c r="A85" s="2989" t="s">
        <v>110</v>
      </c>
      <c r="B85" s="2978" t="s">
        <v>2967</v>
      </c>
      <c r="C85" s="2990"/>
      <c r="D85" s="2990"/>
      <c r="E85" s="2990"/>
      <c r="F85" s="2979">
        <v>0.1</v>
      </c>
      <c r="G85" s="2996"/>
    </row>
    <row r="86" spans="1:7" ht="14.25" thickBot="1">
      <c r="A86" s="2992" t="s">
        <v>110</v>
      </c>
      <c r="B86" s="2982" t="s">
        <v>2972</v>
      </c>
      <c r="C86" s="2983">
        <v>9.8000000000000004E-2</v>
      </c>
      <c r="D86" s="2983">
        <v>9.8000000000000004E-2</v>
      </c>
      <c r="E86" s="2983">
        <v>9.6000000000000002E-2</v>
      </c>
      <c r="F86" s="2993"/>
      <c r="G86" s="2985">
        <v>0.1</v>
      </c>
    </row>
    <row r="87" spans="1:7">
      <c r="A87" s="2988" t="s">
        <v>303</v>
      </c>
      <c r="B87" s="2974" t="s">
        <v>2848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2941</v>
      </c>
      <c r="C113" s="2979">
        <v>0.1</v>
      </c>
      <c r="D113" s="2979">
        <v>0.1</v>
      </c>
      <c r="E113" s="2990"/>
      <c r="F113" s="2990"/>
      <c r="G113" s="2980">
        <v>0.1</v>
      </c>
    </row>
    <row r="114" spans="1:7">
      <c r="A114" s="2989" t="s">
        <v>303</v>
      </c>
      <c r="B114" s="2978" t="s">
        <v>2948</v>
      </c>
      <c r="C114" s="2979">
        <v>9.7000000000000003E-2</v>
      </c>
      <c r="D114" s="2979">
        <v>9.7000000000000003E-2</v>
      </c>
      <c r="E114" s="2990"/>
      <c r="F114" s="2990"/>
      <c r="G114" s="2980">
        <v>9.9000000000000005E-2</v>
      </c>
    </row>
    <row r="115" spans="1:7">
      <c r="A115" s="2989" t="s">
        <v>303</v>
      </c>
      <c r="B115" s="2978" t="s">
        <v>2954</v>
      </c>
      <c r="C115" s="2979">
        <v>0.1</v>
      </c>
      <c r="D115" s="2979">
        <v>0.1</v>
      </c>
      <c r="E115" s="2990"/>
      <c r="F115" s="2990"/>
      <c r="G115" s="2980">
        <v>0.1</v>
      </c>
    </row>
    <row r="116" spans="1:7">
      <c r="A116" s="2989" t="s">
        <v>303</v>
      </c>
      <c r="B116" s="2978" t="s">
        <v>2961</v>
      </c>
      <c r="C116" s="2979">
        <v>0.1</v>
      </c>
      <c r="D116" s="2979">
        <v>0.1</v>
      </c>
      <c r="E116" s="2990"/>
      <c r="F116" s="2990"/>
      <c r="G116" s="2980">
        <v>0.1</v>
      </c>
    </row>
    <row r="117" spans="1:7">
      <c r="A117" s="2989" t="s">
        <v>303</v>
      </c>
      <c r="B117" s="2978" t="s">
        <v>2968</v>
      </c>
      <c r="C117" s="2979">
        <v>9.7000000000000003E-2</v>
      </c>
      <c r="D117" s="2979">
        <v>9.7000000000000003E-2</v>
      </c>
      <c r="E117" s="2990"/>
      <c r="F117" s="2990"/>
      <c r="G117" s="2980">
        <v>9.7000000000000003E-2</v>
      </c>
    </row>
    <row r="118" spans="1:7">
      <c r="A118" s="2989" t="s">
        <v>303</v>
      </c>
      <c r="B118" s="2978" t="s">
        <v>2973</v>
      </c>
      <c r="C118" s="2979">
        <v>0.1</v>
      </c>
      <c r="D118" s="2979">
        <v>0.1</v>
      </c>
      <c r="E118" s="2990"/>
      <c r="F118" s="2990"/>
      <c r="G118" s="2980">
        <v>0.1</v>
      </c>
    </row>
    <row r="119" spans="1:7">
      <c r="A119" s="2989" t="s">
        <v>303</v>
      </c>
      <c r="B119" s="2978" t="s">
        <v>2977</v>
      </c>
      <c r="C119" s="2979">
        <v>5.0999999999999997E-2</v>
      </c>
      <c r="D119" s="2979">
        <v>5.1999999999999998E-2</v>
      </c>
      <c r="E119" s="2990"/>
      <c r="F119" s="2995"/>
      <c r="G119" s="2980">
        <v>0.06</v>
      </c>
    </row>
    <row r="120" spans="1:7">
      <c r="A120" s="2989" t="s">
        <v>303</v>
      </c>
      <c r="B120" s="2978" t="s">
        <v>2981</v>
      </c>
      <c r="C120" s="2990"/>
      <c r="D120" s="2990"/>
      <c r="E120" s="2990"/>
      <c r="F120" s="2979">
        <v>0.1</v>
      </c>
      <c r="G120" s="2996"/>
    </row>
    <row r="121" spans="1:7">
      <c r="A121" s="2989" t="s">
        <v>303</v>
      </c>
      <c r="B121" s="2978" t="s">
        <v>2986</v>
      </c>
      <c r="C121" s="2990"/>
      <c r="D121" s="2990"/>
      <c r="E121" s="2990"/>
      <c r="F121" s="2979">
        <v>0.1</v>
      </c>
      <c r="G121" s="2996"/>
    </row>
    <row r="122" spans="1:7">
      <c r="A122" s="2989" t="s">
        <v>303</v>
      </c>
      <c r="B122" s="2978" t="s">
        <v>2991</v>
      </c>
      <c r="C122" s="2979">
        <v>0.1</v>
      </c>
      <c r="D122" s="2979">
        <v>0.1</v>
      </c>
      <c r="E122" s="2979">
        <v>9.8000000000000004E-2</v>
      </c>
      <c r="F122" s="2979">
        <v>0.1</v>
      </c>
      <c r="G122" s="2980">
        <v>0.1</v>
      </c>
    </row>
    <row r="123" spans="1:7">
      <c r="A123" s="2989" t="s">
        <v>303</v>
      </c>
      <c r="B123" s="2978" t="s">
        <v>2996</v>
      </c>
      <c r="C123" s="2979">
        <v>0.1</v>
      </c>
      <c r="D123" s="2979">
        <v>0.1</v>
      </c>
      <c r="E123" s="2979">
        <v>9.8000000000000004E-2</v>
      </c>
      <c r="F123" s="2979">
        <v>0.1</v>
      </c>
      <c r="G123" s="2980">
        <v>0.1</v>
      </c>
    </row>
    <row r="124" spans="1:7">
      <c r="A124" s="2989" t="s">
        <v>303</v>
      </c>
      <c r="B124" s="2978" t="s">
        <v>3001</v>
      </c>
      <c r="C124" s="2979">
        <v>0.1</v>
      </c>
      <c r="D124" s="2979">
        <v>0.1</v>
      </c>
      <c r="E124" s="2979">
        <v>9.8000000000000004E-2</v>
      </c>
      <c r="F124" s="2995"/>
      <c r="G124" s="2980">
        <v>0.1</v>
      </c>
    </row>
    <row r="125" spans="1:7">
      <c r="A125" s="2989" t="s">
        <v>303</v>
      </c>
      <c r="B125" s="2978" t="s">
        <v>3006</v>
      </c>
      <c r="C125" s="2979">
        <v>9.8000000000000004E-2</v>
      </c>
      <c r="D125" s="2979">
        <v>9.8000000000000004E-2</v>
      </c>
      <c r="E125" s="2979">
        <v>9.6000000000000002E-2</v>
      </c>
      <c r="F125" s="2995"/>
      <c r="G125" s="2980">
        <v>0.1</v>
      </c>
    </row>
    <row r="126" spans="1:7" ht="14.25" thickBot="1">
      <c r="A126" s="2992" t="s">
        <v>303</v>
      </c>
      <c r="B126" s="2982" t="s">
        <v>3172</v>
      </c>
      <c r="C126" s="2983">
        <v>0.1</v>
      </c>
      <c r="D126" s="2983">
        <v>0.1</v>
      </c>
      <c r="E126" s="2983">
        <v>9.8000000000000004E-2</v>
      </c>
      <c r="F126" s="2983">
        <v>0.1</v>
      </c>
      <c r="G126" s="2985">
        <v>0.1</v>
      </c>
    </row>
    <row r="127" spans="1:7">
      <c r="A127" s="2988" t="s">
        <v>29</v>
      </c>
      <c r="B127" s="2974" t="s">
        <v>2849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2919</v>
      </c>
      <c r="C148" s="2979">
        <v>0.13</v>
      </c>
      <c r="D148" s="2979">
        <v>0.13</v>
      </c>
      <c r="E148" s="2979">
        <v>0.13</v>
      </c>
      <c r="F148" s="2990"/>
      <c r="G148" s="2980">
        <v>0.13</v>
      </c>
    </row>
    <row r="149" spans="1:7">
      <c r="A149" s="2989" t="s">
        <v>29</v>
      </c>
      <c r="B149" s="2978" t="s">
        <v>2923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2942</v>
      </c>
      <c r="C153" s="2979">
        <v>0.13</v>
      </c>
      <c r="D153" s="2979">
        <v>0.13</v>
      </c>
      <c r="E153" s="2979">
        <v>0.13</v>
      </c>
      <c r="F153" s="2979">
        <v>0.13</v>
      </c>
      <c r="G153" s="2980">
        <v>0.13</v>
      </c>
    </row>
    <row r="154" spans="1:7">
      <c r="A154" s="2989" t="s">
        <v>29</v>
      </c>
      <c r="B154" s="2978" t="s">
        <v>2949</v>
      </c>
      <c r="C154" s="2979">
        <v>0.121</v>
      </c>
      <c r="D154" s="2979">
        <v>0.121</v>
      </c>
      <c r="E154" s="2979">
        <v>0.105</v>
      </c>
      <c r="F154" s="2979">
        <v>0.121</v>
      </c>
      <c r="G154" s="2980">
        <v>0.123</v>
      </c>
    </row>
    <row r="155" spans="1:7">
      <c r="A155" s="2989" t="s">
        <v>29</v>
      </c>
      <c r="B155" s="2978" t="s">
        <v>2955</v>
      </c>
      <c r="C155" s="2979">
        <v>0.1</v>
      </c>
      <c r="D155" s="2979">
        <v>0.1</v>
      </c>
      <c r="E155" s="2979">
        <v>0.1</v>
      </c>
      <c r="F155" s="2979">
        <v>0.1</v>
      </c>
      <c r="G155" s="2980">
        <v>0.1</v>
      </c>
    </row>
    <row r="156" spans="1:7">
      <c r="A156" s="2989" t="s">
        <v>29</v>
      </c>
      <c r="B156" s="2978" t="s">
        <v>2962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2982</v>
      </c>
      <c r="C160" s="2979">
        <v>0.13</v>
      </c>
      <c r="D160" s="2979">
        <v>0.13</v>
      </c>
      <c r="E160" s="2979">
        <v>0.124</v>
      </c>
      <c r="F160" s="2979">
        <v>0.126</v>
      </c>
      <c r="G160" s="2980">
        <v>0.13</v>
      </c>
    </row>
    <row r="161" spans="1:7">
      <c r="A161" s="2989" t="s">
        <v>29</v>
      </c>
      <c r="B161" s="2978" t="s">
        <v>2987</v>
      </c>
      <c r="C161" s="2979">
        <v>0.13</v>
      </c>
      <c r="D161" s="2979">
        <v>0.13</v>
      </c>
      <c r="E161" s="2979">
        <v>0.124</v>
      </c>
      <c r="F161" s="2979">
        <v>0.127</v>
      </c>
      <c r="G161" s="2980">
        <v>0.13</v>
      </c>
    </row>
    <row r="162" spans="1:7">
      <c r="A162" s="2989" t="s">
        <v>29</v>
      </c>
      <c r="B162" s="2978" t="s">
        <v>2992</v>
      </c>
      <c r="C162" s="2979">
        <v>0.1</v>
      </c>
      <c r="D162" s="2979">
        <v>0.1</v>
      </c>
      <c r="E162" s="2979">
        <v>0.1</v>
      </c>
      <c r="F162" s="2979">
        <v>0.121</v>
      </c>
      <c r="G162" s="2980">
        <v>0.105</v>
      </c>
    </row>
    <row r="163" spans="1:7">
      <c r="A163" s="2989" t="s">
        <v>29</v>
      </c>
      <c r="B163" s="2978" t="s">
        <v>2997</v>
      </c>
      <c r="C163" s="2979">
        <v>0.1</v>
      </c>
      <c r="D163" s="2979">
        <v>0.1</v>
      </c>
      <c r="E163" s="2979">
        <v>0.1</v>
      </c>
      <c r="F163" s="2979">
        <v>0.1</v>
      </c>
      <c r="G163" s="2980">
        <v>0.1</v>
      </c>
    </row>
    <row r="164" spans="1:7">
      <c r="A164" s="2989" t="s">
        <v>29</v>
      </c>
      <c r="B164" s="2978" t="s">
        <v>3002</v>
      </c>
      <c r="C164" s="2995"/>
      <c r="D164" s="2995"/>
      <c r="E164" s="2995"/>
      <c r="F164" s="2979">
        <v>0.1</v>
      </c>
      <c r="G164" s="2991"/>
    </row>
    <row r="165" spans="1:7">
      <c r="A165" s="2989" t="s">
        <v>29</v>
      </c>
      <c r="B165" s="2978" t="s">
        <v>3173</v>
      </c>
      <c r="C165" s="2979">
        <v>0.126</v>
      </c>
      <c r="D165" s="2979">
        <v>0.126</v>
      </c>
      <c r="E165" s="2979">
        <v>0.11899999999999999</v>
      </c>
      <c r="F165" s="2979">
        <v>0.13</v>
      </c>
      <c r="G165" s="2980">
        <v>0.128</v>
      </c>
    </row>
    <row r="166" spans="1:7">
      <c r="A166" s="2989" t="s">
        <v>29</v>
      </c>
      <c r="B166" s="2978" t="s">
        <v>3012</v>
      </c>
      <c r="C166" s="2979">
        <v>0.129</v>
      </c>
      <c r="D166" s="2979">
        <v>0.129</v>
      </c>
      <c r="E166" s="2979">
        <v>0.123</v>
      </c>
      <c r="F166" s="2979">
        <v>0.128</v>
      </c>
      <c r="G166" s="2980">
        <v>0.13</v>
      </c>
    </row>
    <row r="167" spans="1:7">
      <c r="A167" s="2989" t="s">
        <v>29</v>
      </c>
      <c r="B167" s="2978" t="s">
        <v>3016</v>
      </c>
      <c r="C167" s="2979">
        <v>0.125</v>
      </c>
      <c r="D167" s="2979">
        <v>0.125</v>
      </c>
      <c r="E167" s="2979">
        <v>0.11700000000000001</v>
      </c>
      <c r="F167" s="2979">
        <v>0.13</v>
      </c>
      <c r="G167" s="2980">
        <v>0.126</v>
      </c>
    </row>
    <row r="168" spans="1:7">
      <c r="A168" s="2989" t="s">
        <v>29</v>
      </c>
      <c r="B168" s="2978" t="s">
        <v>3021</v>
      </c>
      <c r="C168" s="2979">
        <v>0.128</v>
      </c>
      <c r="D168" s="2979">
        <v>0.128</v>
      </c>
      <c r="E168" s="2979">
        <v>0.123</v>
      </c>
      <c r="F168" s="2990"/>
      <c r="G168" s="2980">
        <v>0.13</v>
      </c>
    </row>
    <row r="169" spans="1:7">
      <c r="A169" s="2989" t="s">
        <v>29</v>
      </c>
      <c r="B169" s="2978" t="s">
        <v>3174</v>
      </c>
      <c r="C169" s="2995"/>
      <c r="D169" s="2995"/>
      <c r="E169" s="2995"/>
      <c r="F169" s="2979">
        <v>0.05</v>
      </c>
      <c r="G169" s="2991"/>
    </row>
    <row r="170" spans="1:7">
      <c r="A170" s="2989" t="s">
        <v>29</v>
      </c>
      <c r="B170" s="2978" t="s">
        <v>3175</v>
      </c>
      <c r="C170" s="2995"/>
      <c r="D170" s="2995"/>
      <c r="E170" s="2995"/>
      <c r="F170" s="2979">
        <v>0.05</v>
      </c>
      <c r="G170" s="2991"/>
    </row>
    <row r="171" spans="1:7">
      <c r="A171" s="2989" t="s">
        <v>29</v>
      </c>
      <c r="B171" s="2978" t="s">
        <v>3176</v>
      </c>
      <c r="C171" s="2995"/>
      <c r="D171" s="2995"/>
      <c r="E171" s="2995"/>
      <c r="F171" s="2979">
        <v>0.05</v>
      </c>
      <c r="G171" s="2996"/>
    </row>
    <row r="172" spans="1:7">
      <c r="A172" s="2989" t="s">
        <v>29</v>
      </c>
      <c r="B172" s="2978" t="s">
        <v>3177</v>
      </c>
      <c r="C172" s="2995"/>
      <c r="D172" s="2995"/>
      <c r="E172" s="2995"/>
      <c r="F172" s="2979">
        <v>0.05</v>
      </c>
      <c r="G172" s="2996"/>
    </row>
    <row r="173" spans="1:7">
      <c r="A173" s="2989" t="s">
        <v>29</v>
      </c>
      <c r="B173" s="2978" t="s">
        <v>3178</v>
      </c>
      <c r="C173" s="2995"/>
      <c r="D173" s="2995"/>
      <c r="E173" s="2995"/>
      <c r="F173" s="2979">
        <v>0.05</v>
      </c>
      <c r="G173" s="2991"/>
    </row>
    <row r="174" spans="1:7">
      <c r="A174" s="2989" t="s">
        <v>29</v>
      </c>
      <c r="B174" s="2978" t="s">
        <v>3179</v>
      </c>
      <c r="C174" s="2995"/>
      <c r="D174" s="2995"/>
      <c r="E174" s="2995"/>
      <c r="F174" s="2979">
        <v>0.05</v>
      </c>
      <c r="G174" s="2991"/>
    </row>
    <row r="175" spans="1:7">
      <c r="A175" s="2989" t="s">
        <v>29</v>
      </c>
      <c r="B175" s="2978" t="s">
        <v>3180</v>
      </c>
      <c r="C175" s="2995"/>
      <c r="D175" s="2995"/>
      <c r="E175" s="2995"/>
      <c r="F175" s="2979">
        <v>0.05</v>
      </c>
      <c r="G175" s="2991"/>
    </row>
    <row r="176" spans="1:7">
      <c r="A176" s="2989" t="s">
        <v>29</v>
      </c>
      <c r="B176" s="2978" t="s">
        <v>3181</v>
      </c>
      <c r="C176" s="2995"/>
      <c r="D176" s="2995"/>
      <c r="E176" s="2995"/>
      <c r="F176" s="2979">
        <v>0.05</v>
      </c>
      <c r="G176" s="2991"/>
    </row>
    <row r="177" spans="1:7">
      <c r="A177" s="2989" t="s">
        <v>29</v>
      </c>
      <c r="B177" s="2978" t="s">
        <v>3182</v>
      </c>
      <c r="C177" s="2990"/>
      <c r="D177" s="2990"/>
      <c r="E177" s="2990"/>
      <c r="F177" s="2979">
        <v>0.05</v>
      </c>
      <c r="G177" s="2996"/>
    </row>
    <row r="178" spans="1:7">
      <c r="A178" s="2989" t="s">
        <v>29</v>
      </c>
      <c r="B178" s="2978" t="s">
        <v>3183</v>
      </c>
      <c r="C178" s="2990"/>
      <c r="D178" s="2990"/>
      <c r="E178" s="2990"/>
      <c r="F178" s="2979">
        <v>0.05</v>
      </c>
      <c r="G178" s="2996"/>
    </row>
    <row r="179" spans="1:7">
      <c r="A179" s="2989" t="s">
        <v>29</v>
      </c>
      <c r="B179" s="2978" t="s">
        <v>3184</v>
      </c>
      <c r="C179" s="2990"/>
      <c r="D179" s="2990"/>
      <c r="E179" s="2990"/>
      <c r="F179" s="2979">
        <v>0.05</v>
      </c>
      <c r="G179" s="2996"/>
    </row>
    <row r="180" spans="1:7">
      <c r="A180" s="2989" t="s">
        <v>29</v>
      </c>
      <c r="B180" s="2978" t="s">
        <v>3185</v>
      </c>
      <c r="C180" s="2990"/>
      <c r="D180" s="2990"/>
      <c r="E180" s="2990"/>
      <c r="F180" s="2979">
        <v>0.05</v>
      </c>
      <c r="G180" s="2996"/>
    </row>
    <row r="181" spans="1:7">
      <c r="A181" s="2989" t="s">
        <v>29</v>
      </c>
      <c r="B181" s="2978" t="s">
        <v>3186</v>
      </c>
      <c r="C181" s="2990"/>
      <c r="D181" s="2990"/>
      <c r="E181" s="2990"/>
      <c r="F181" s="2979">
        <v>0.05</v>
      </c>
      <c r="G181" s="2996"/>
    </row>
    <row r="182" spans="1:7">
      <c r="A182" s="2989" t="s">
        <v>29</v>
      </c>
      <c r="B182" s="2978" t="s">
        <v>3187</v>
      </c>
      <c r="C182" s="2990"/>
      <c r="D182" s="2990"/>
      <c r="E182" s="2990"/>
      <c r="F182" s="2979">
        <v>0.05</v>
      </c>
      <c r="G182" s="2996"/>
    </row>
    <row r="183" spans="1:7">
      <c r="A183" s="2989" t="s">
        <v>29</v>
      </c>
      <c r="B183" s="2978" t="s">
        <v>3188</v>
      </c>
      <c r="C183" s="2990"/>
      <c r="D183" s="2990"/>
      <c r="E183" s="2990"/>
      <c r="F183" s="2979">
        <v>0.05</v>
      </c>
      <c r="G183" s="2996"/>
    </row>
    <row r="184" spans="1:7">
      <c r="A184" s="2989" t="s">
        <v>29</v>
      </c>
      <c r="B184" s="2978" t="s">
        <v>3189</v>
      </c>
      <c r="C184" s="2990"/>
      <c r="D184" s="2990"/>
      <c r="E184" s="2990"/>
      <c r="F184" s="2979">
        <v>0.05</v>
      </c>
      <c r="G184" s="2996"/>
    </row>
    <row r="185" spans="1:7">
      <c r="A185" s="2989" t="s">
        <v>29</v>
      </c>
      <c r="B185" s="2978" t="s">
        <v>3190</v>
      </c>
      <c r="C185" s="2990"/>
      <c r="D185" s="2990"/>
      <c r="E185" s="2990"/>
      <c r="F185" s="2979">
        <v>0.05</v>
      </c>
      <c r="G185" s="2996"/>
    </row>
    <row r="186" spans="1:7">
      <c r="A186" s="2989" t="s">
        <v>29</v>
      </c>
      <c r="B186" s="2978" t="s">
        <v>3191</v>
      </c>
      <c r="C186" s="2990"/>
      <c r="D186" s="2990"/>
      <c r="E186" s="2990"/>
      <c r="F186" s="2979">
        <v>0.05</v>
      </c>
      <c r="G186" s="2996"/>
    </row>
    <row r="187" spans="1:7">
      <c r="A187" s="2989" t="s">
        <v>29</v>
      </c>
      <c r="B187" s="2978" t="s">
        <v>3192</v>
      </c>
      <c r="C187" s="2990"/>
      <c r="D187" s="2990"/>
      <c r="E187" s="2990"/>
      <c r="F187" s="2979">
        <v>0.05</v>
      </c>
      <c r="G187" s="2996"/>
    </row>
    <row r="188" spans="1:7">
      <c r="A188" s="2989" t="s">
        <v>29</v>
      </c>
      <c r="B188" s="2978" t="s">
        <v>3193</v>
      </c>
      <c r="C188" s="2990"/>
      <c r="D188" s="2990"/>
      <c r="E188" s="2990"/>
      <c r="F188" s="2979">
        <v>0.05</v>
      </c>
      <c r="G188" s="2996"/>
    </row>
    <row r="189" spans="1:7" ht="14.25" thickBot="1">
      <c r="A189" s="2992" t="s">
        <v>29</v>
      </c>
      <c r="B189" s="2982" t="s">
        <v>3194</v>
      </c>
      <c r="C189" s="2984"/>
      <c r="D189" s="2984"/>
      <c r="E189" s="2984"/>
      <c r="F189" s="2983">
        <v>0.05</v>
      </c>
      <c r="G189" s="2997"/>
    </row>
    <row r="190" spans="1:7">
      <c r="A190" s="2988" t="s">
        <v>304</v>
      </c>
      <c r="B190" s="2974" t="s">
        <v>2850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2886</v>
      </c>
      <c r="C199" s="2979">
        <v>0.13</v>
      </c>
      <c r="D199" s="2979">
        <v>0.13</v>
      </c>
      <c r="E199" s="2979">
        <v>0.13</v>
      </c>
      <c r="F199" s="2979">
        <v>0.13</v>
      </c>
      <c r="G199" s="2980">
        <v>0.13</v>
      </c>
    </row>
    <row r="200" spans="1:7">
      <c r="A200" s="2989" t="s">
        <v>304</v>
      </c>
      <c r="B200" s="2978" t="s">
        <v>2889</v>
      </c>
      <c r="C200" s="2995"/>
      <c r="D200" s="2995"/>
      <c r="E200" s="2995"/>
      <c r="F200" s="2979">
        <v>0.13</v>
      </c>
      <c r="G200" s="2991"/>
    </row>
    <row r="201" spans="1:7">
      <c r="A201" s="2989" t="s">
        <v>304</v>
      </c>
      <c r="B201" s="2978" t="s">
        <v>2894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2897</v>
      </c>
      <c r="C203" s="2979">
        <v>0.129</v>
      </c>
      <c r="D203" s="2979">
        <v>0.129</v>
      </c>
      <c r="E203" s="2979">
        <v>0.13</v>
      </c>
      <c r="F203" s="2979">
        <v>0.13</v>
      </c>
      <c r="G203" s="2980">
        <v>0.13</v>
      </c>
    </row>
    <row r="204" spans="1:7">
      <c r="A204" s="2989" t="s">
        <v>304</v>
      </c>
      <c r="B204" s="2978" t="s">
        <v>2900</v>
      </c>
      <c r="C204" s="2979">
        <v>0.129</v>
      </c>
      <c r="D204" s="2979">
        <v>0.129</v>
      </c>
      <c r="E204" s="2979">
        <v>0.123</v>
      </c>
      <c r="F204" s="2979">
        <v>0.13</v>
      </c>
      <c r="G204" s="2980">
        <v>0.13</v>
      </c>
    </row>
    <row r="205" spans="1:7">
      <c r="A205" s="2989" t="s">
        <v>304</v>
      </c>
      <c r="B205" s="2978" t="s">
        <v>2902</v>
      </c>
      <c r="C205" s="2979">
        <v>0.13</v>
      </c>
      <c r="D205" s="2979">
        <v>0.13</v>
      </c>
      <c r="E205" s="2979">
        <v>0.13</v>
      </c>
      <c r="F205" s="2979">
        <v>0.13</v>
      </c>
      <c r="G205" s="2980">
        <v>0.13</v>
      </c>
    </row>
    <row r="206" spans="1:7">
      <c r="A206" s="2989" t="s">
        <v>304</v>
      </c>
      <c r="B206" s="2978" t="s">
        <v>2905</v>
      </c>
      <c r="C206" s="2979">
        <v>0.13</v>
      </c>
      <c r="D206" s="2979">
        <v>0.13</v>
      </c>
      <c r="E206" s="2979">
        <v>0.13</v>
      </c>
      <c r="F206" s="2979">
        <v>0.128</v>
      </c>
      <c r="G206" s="2980">
        <v>0.13</v>
      </c>
    </row>
    <row r="207" spans="1:7">
      <c r="A207" s="2989" t="s">
        <v>304</v>
      </c>
      <c r="B207" s="2978" t="s">
        <v>2907</v>
      </c>
      <c r="C207" s="2979">
        <v>0.13</v>
      </c>
      <c r="D207" s="2979">
        <v>0.13</v>
      </c>
      <c r="E207" s="2979">
        <v>0.13</v>
      </c>
      <c r="F207" s="2979">
        <v>0.13</v>
      </c>
      <c r="G207" s="2980">
        <v>0.13</v>
      </c>
    </row>
    <row r="208" spans="1:7">
      <c r="A208" s="2989" t="s">
        <v>304</v>
      </c>
      <c r="B208" s="2978" t="s">
        <v>2910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2917</v>
      </c>
      <c r="C210" s="2979">
        <v>0.121</v>
      </c>
      <c r="D210" s="2979">
        <v>0.121</v>
      </c>
      <c r="E210" s="2979">
        <v>0.125</v>
      </c>
      <c r="F210" s="2979">
        <v>0.13</v>
      </c>
      <c r="G210" s="2980">
        <v>0.123</v>
      </c>
    </row>
    <row r="211" spans="1:7">
      <c r="A211" s="2989" t="s">
        <v>304</v>
      </c>
      <c r="B211" s="2978" t="s">
        <v>2920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2932</v>
      </c>
      <c r="C214" s="2979">
        <v>0.128</v>
      </c>
      <c r="D214" s="2979">
        <v>0.128</v>
      </c>
      <c r="E214" s="2979">
        <v>0.13</v>
      </c>
      <c r="F214" s="2979">
        <v>0.13</v>
      </c>
      <c r="G214" s="2980">
        <v>0.13</v>
      </c>
    </row>
    <row r="215" spans="1:7">
      <c r="A215" s="2989" t="s">
        <v>304</v>
      </c>
      <c r="B215" s="2978" t="s">
        <v>2936</v>
      </c>
      <c r="C215" s="2979">
        <v>0.13</v>
      </c>
      <c r="D215" s="2979">
        <v>0.13</v>
      </c>
      <c r="E215" s="2979">
        <v>0.13</v>
      </c>
      <c r="F215" s="2979">
        <v>0.129</v>
      </c>
      <c r="G215" s="2980">
        <v>0.13</v>
      </c>
    </row>
    <row r="216" spans="1:7">
      <c r="A216" s="2989" t="s">
        <v>304</v>
      </c>
      <c r="B216" s="2978" t="s">
        <v>2943</v>
      </c>
      <c r="C216" s="2979">
        <v>0.13</v>
      </c>
      <c r="D216" s="2979">
        <v>0.13</v>
      </c>
      <c r="E216" s="2979">
        <v>0.13</v>
      </c>
      <c r="F216" s="2979">
        <v>0.13</v>
      </c>
      <c r="G216" s="2980">
        <v>0.13</v>
      </c>
    </row>
    <row r="217" spans="1:7">
      <c r="A217" s="2989" t="s">
        <v>304</v>
      </c>
      <c r="B217" s="2978" t="s">
        <v>2950</v>
      </c>
      <c r="C217" s="2979">
        <v>0.129</v>
      </c>
      <c r="D217" s="2979">
        <v>0.129</v>
      </c>
      <c r="E217" s="2979">
        <v>0.13</v>
      </c>
      <c r="F217" s="2979">
        <v>0.13</v>
      </c>
      <c r="G217" s="2980">
        <v>0.13</v>
      </c>
    </row>
    <row r="218" spans="1:7">
      <c r="A218" s="2989" t="s">
        <v>304</v>
      </c>
      <c r="B218" s="2978" t="s">
        <v>2956</v>
      </c>
      <c r="C218" s="2990"/>
      <c r="D218" s="2990"/>
      <c r="E218" s="2990"/>
      <c r="F218" s="2979">
        <v>0.05</v>
      </c>
      <c r="G218" s="2996"/>
    </row>
    <row r="219" spans="1:7">
      <c r="A219" s="2989" t="s">
        <v>304</v>
      </c>
      <c r="B219" s="2978" t="s">
        <v>2963</v>
      </c>
      <c r="C219" s="2990"/>
      <c r="D219" s="2990"/>
      <c r="E219" s="2990"/>
      <c r="F219" s="2979">
        <v>0.05</v>
      </c>
      <c r="G219" s="2996"/>
    </row>
    <row r="220" spans="1:7">
      <c r="A220" s="2989" t="s">
        <v>304</v>
      </c>
      <c r="B220" s="2978" t="s">
        <v>2969</v>
      </c>
      <c r="C220" s="2990"/>
      <c r="D220" s="2990"/>
      <c r="E220" s="2990"/>
      <c r="F220" s="2979">
        <v>0.05</v>
      </c>
      <c r="G220" s="2996"/>
    </row>
    <row r="221" spans="1:7">
      <c r="A221" s="2989" t="s">
        <v>304</v>
      </c>
      <c r="B221" s="2978" t="s">
        <v>2974</v>
      </c>
      <c r="C221" s="2990"/>
      <c r="D221" s="2990"/>
      <c r="E221" s="2990"/>
      <c r="F221" s="2979">
        <v>0.05</v>
      </c>
      <c r="G221" s="2996"/>
    </row>
    <row r="222" spans="1:7">
      <c r="A222" s="2989" t="s">
        <v>304</v>
      </c>
      <c r="B222" s="2978" t="s">
        <v>2978</v>
      </c>
      <c r="C222" s="2990"/>
      <c r="D222" s="2990"/>
      <c r="E222" s="2990"/>
      <c r="F222" s="2979">
        <v>0.05</v>
      </c>
      <c r="G222" s="2996"/>
    </row>
    <row r="223" spans="1:7">
      <c r="A223" s="2989" t="s">
        <v>304</v>
      </c>
      <c r="B223" s="2978" t="s">
        <v>2983</v>
      </c>
      <c r="C223" s="2990"/>
      <c r="D223" s="2990"/>
      <c r="E223" s="2990"/>
      <c r="F223" s="2979">
        <v>0.05</v>
      </c>
      <c r="G223" s="2996"/>
    </row>
    <row r="224" spans="1:7">
      <c r="A224" s="2989" t="s">
        <v>304</v>
      </c>
      <c r="B224" s="2978" t="s">
        <v>2988</v>
      </c>
      <c r="C224" s="2990"/>
      <c r="D224" s="2990"/>
      <c r="E224" s="2990"/>
      <c r="F224" s="2979">
        <v>0.05</v>
      </c>
      <c r="G224" s="2996"/>
    </row>
    <row r="225" spans="1:7">
      <c r="A225" s="2989" t="s">
        <v>304</v>
      </c>
      <c r="B225" s="2978" t="s">
        <v>2993</v>
      </c>
      <c r="C225" s="2990"/>
      <c r="D225" s="2990"/>
      <c r="E225" s="2990"/>
      <c r="F225" s="2979">
        <v>0.05</v>
      </c>
      <c r="G225" s="2996"/>
    </row>
    <row r="226" spans="1:7">
      <c r="A226" s="2989" t="s">
        <v>304</v>
      </c>
      <c r="B226" s="2978" t="s">
        <v>3195</v>
      </c>
      <c r="C226" s="2990"/>
      <c r="D226" s="2990"/>
      <c r="E226" s="2990"/>
      <c r="F226" s="2979">
        <v>0.05</v>
      </c>
      <c r="G226" s="2996"/>
    </row>
    <row r="227" spans="1:7">
      <c r="A227" s="2989" t="s">
        <v>304</v>
      </c>
      <c r="B227" s="2978" t="s">
        <v>3196</v>
      </c>
      <c r="C227" s="2990"/>
      <c r="D227" s="2990"/>
      <c r="E227" s="2990"/>
      <c r="F227" s="2979">
        <v>0.05</v>
      </c>
      <c r="G227" s="2996"/>
    </row>
    <row r="228" spans="1:7">
      <c r="A228" s="2989" t="s">
        <v>304</v>
      </c>
      <c r="B228" s="2978" t="s">
        <v>3197</v>
      </c>
      <c r="C228" s="2990"/>
      <c r="D228" s="2990"/>
      <c r="E228" s="2990"/>
      <c r="F228" s="2979">
        <v>0.05</v>
      </c>
      <c r="G228" s="2996"/>
    </row>
    <row r="229" spans="1:7">
      <c r="A229" s="2989" t="s">
        <v>304</v>
      </c>
      <c r="B229" s="2978" t="s">
        <v>3198</v>
      </c>
      <c r="C229" s="2990"/>
      <c r="D229" s="2990"/>
      <c r="E229" s="2990"/>
      <c r="F229" s="2979">
        <v>0.05</v>
      </c>
      <c r="G229" s="2996"/>
    </row>
    <row r="230" spans="1:7">
      <c r="A230" s="2989" t="s">
        <v>304</v>
      </c>
      <c r="B230" s="2978" t="s">
        <v>3199</v>
      </c>
      <c r="C230" s="2990"/>
      <c r="D230" s="2990"/>
      <c r="E230" s="2990"/>
      <c r="F230" s="2979">
        <v>0.05</v>
      </c>
      <c r="G230" s="2996"/>
    </row>
    <row r="231" spans="1:7">
      <c r="A231" s="2989" t="s">
        <v>304</v>
      </c>
      <c r="B231" s="2978" t="s">
        <v>3200</v>
      </c>
      <c r="C231" s="2990"/>
      <c r="D231" s="2990"/>
      <c r="E231" s="2990"/>
      <c r="F231" s="2979">
        <v>0.05</v>
      </c>
      <c r="G231" s="2996"/>
    </row>
    <row r="232" spans="1:7">
      <c r="A232" s="2989" t="s">
        <v>304</v>
      </c>
      <c r="B232" s="2978" t="s">
        <v>3201</v>
      </c>
      <c r="C232" s="2990"/>
      <c r="D232" s="2990"/>
      <c r="E232" s="2990"/>
      <c r="F232" s="2979">
        <v>0.05</v>
      </c>
      <c r="G232" s="2996"/>
    </row>
    <row r="233" spans="1:7" ht="14.25" thickBot="1">
      <c r="A233" s="2992" t="s">
        <v>304</v>
      </c>
      <c r="B233" s="2982" t="s">
        <v>3202</v>
      </c>
      <c r="C233" s="2984"/>
      <c r="D233" s="2984"/>
      <c r="E233" s="2984"/>
      <c r="F233" s="2983">
        <v>0.05</v>
      </c>
      <c r="G233" s="2997"/>
    </row>
    <row r="234" spans="1:7">
      <c r="A234" s="2988" t="s">
        <v>305</v>
      </c>
      <c r="B234" s="2974" t="s">
        <v>2851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2871</v>
      </c>
      <c r="C238" s="2979">
        <v>0.14899999999999999</v>
      </c>
      <c r="D238" s="2979">
        <v>0.14899999999999999</v>
      </c>
      <c r="E238" s="2979">
        <v>0.15</v>
      </c>
      <c r="F238" s="2979">
        <v>0.15</v>
      </c>
      <c r="G238" s="2980">
        <v>0.15</v>
      </c>
    </row>
    <row r="239" spans="1:7">
      <c r="A239" s="2989" t="s">
        <v>305</v>
      </c>
      <c r="B239" s="2978" t="s">
        <v>2875</v>
      </c>
      <c r="C239" s="2979">
        <v>0.15</v>
      </c>
      <c r="D239" s="2979">
        <v>0.15</v>
      </c>
      <c r="E239" s="2979">
        <v>0.15</v>
      </c>
      <c r="F239" s="2979">
        <v>0.15</v>
      </c>
      <c r="G239" s="2980">
        <v>0.15</v>
      </c>
    </row>
    <row r="240" spans="1:7">
      <c r="A240" s="2989" t="s">
        <v>305</v>
      </c>
      <c r="B240" s="2978" t="s">
        <v>2880</v>
      </c>
      <c r="C240" s="2979">
        <v>0.15</v>
      </c>
      <c r="D240" s="2979">
        <v>0.15</v>
      </c>
      <c r="E240" s="2979">
        <v>0.15</v>
      </c>
      <c r="F240" s="2979">
        <v>0.15</v>
      </c>
      <c r="G240" s="2980">
        <v>0.15</v>
      </c>
    </row>
    <row r="241" spans="1:7">
      <c r="A241" s="2989" t="s">
        <v>305</v>
      </c>
      <c r="B241" s="2978" t="s">
        <v>2884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2933</v>
      </c>
      <c r="C258" s="2979">
        <v>0.14299999999999999</v>
      </c>
      <c r="D258" s="2979">
        <v>0.14299999999999999</v>
      </c>
      <c r="E258" s="2979">
        <v>0.15</v>
      </c>
      <c r="F258" s="2979">
        <v>0.14799999999999999</v>
      </c>
      <c r="G258" s="2980">
        <v>0.14599999999999999</v>
      </c>
    </row>
    <row r="259" spans="1:7">
      <c r="A259" s="2989" t="s">
        <v>305</v>
      </c>
      <c r="B259" s="2978" t="s">
        <v>2937</v>
      </c>
      <c r="C259" s="2979">
        <v>0.14399999999999999</v>
      </c>
      <c r="D259" s="2979">
        <v>0.14399999999999999</v>
      </c>
      <c r="E259" s="2979">
        <v>0.14899999999999999</v>
      </c>
      <c r="F259" s="2979">
        <v>0.14699999999999999</v>
      </c>
      <c r="G259" s="2980">
        <v>0.14599999999999999</v>
      </c>
    </row>
    <row r="260" spans="1:7">
      <c r="A260" s="2989" t="s">
        <v>305</v>
      </c>
      <c r="B260" s="2978" t="s">
        <v>2944</v>
      </c>
      <c r="C260" s="2979">
        <v>0.109</v>
      </c>
      <c r="D260" s="2979">
        <v>0.111</v>
      </c>
      <c r="E260" s="2979">
        <v>0.13100000000000001</v>
      </c>
      <c r="F260" s="2979">
        <v>0.126</v>
      </c>
      <c r="G260" s="2980">
        <v>0.11899999999999999</v>
      </c>
    </row>
    <row r="261" spans="1:7">
      <c r="A261" s="2989" t="s">
        <v>305</v>
      </c>
      <c r="B261" s="2978" t="s">
        <v>2951</v>
      </c>
      <c r="C261" s="2979">
        <v>0.1</v>
      </c>
      <c r="D261" s="2979">
        <v>0.1</v>
      </c>
      <c r="E261" s="2979">
        <v>0.11799999999999999</v>
      </c>
      <c r="F261" s="2979">
        <v>0.108</v>
      </c>
      <c r="G261" s="2980">
        <v>0.107</v>
      </c>
    </row>
    <row r="262" spans="1:7">
      <c r="A262" s="2989" t="s">
        <v>305</v>
      </c>
      <c r="B262" s="2978" t="s">
        <v>2957</v>
      </c>
      <c r="C262" s="2979">
        <v>0.1</v>
      </c>
      <c r="D262" s="2979">
        <v>0.1</v>
      </c>
      <c r="E262" s="2979">
        <v>0.1</v>
      </c>
      <c r="F262" s="2979">
        <v>0.14099999999999999</v>
      </c>
      <c r="G262" s="2980">
        <v>0.1</v>
      </c>
    </row>
    <row r="263" spans="1:7">
      <c r="A263" s="2989" t="s">
        <v>305</v>
      </c>
      <c r="B263" s="2978" t="s">
        <v>2964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2975</v>
      </c>
      <c r="C265" s="2990"/>
      <c r="D265" s="2990"/>
      <c r="E265" s="2990"/>
      <c r="F265" s="2979">
        <v>0.05</v>
      </c>
      <c r="G265" s="2996"/>
    </row>
    <row r="266" spans="1:7">
      <c r="A266" s="2989" t="s">
        <v>305</v>
      </c>
      <c r="B266" s="2978" t="s">
        <v>2979</v>
      </c>
      <c r="C266" s="2990"/>
      <c r="D266" s="2990"/>
      <c r="E266" s="2990"/>
      <c r="F266" s="2979">
        <v>0.05</v>
      </c>
      <c r="G266" s="2996"/>
    </row>
    <row r="267" spans="1:7">
      <c r="A267" s="2989" t="s">
        <v>305</v>
      </c>
      <c r="B267" s="2978" t="s">
        <v>2984</v>
      </c>
      <c r="C267" s="2990"/>
      <c r="D267" s="2990"/>
      <c r="E267" s="2990"/>
      <c r="F267" s="2979">
        <v>0.05</v>
      </c>
      <c r="G267" s="2996"/>
    </row>
    <row r="268" spans="1:7">
      <c r="A268" s="2989" t="s">
        <v>305</v>
      </c>
      <c r="B268" s="2978" t="s">
        <v>2989</v>
      </c>
      <c r="C268" s="2990"/>
      <c r="D268" s="2990"/>
      <c r="E268" s="2990"/>
      <c r="F268" s="2979">
        <v>0.05</v>
      </c>
      <c r="G268" s="2996"/>
    </row>
    <row r="269" spans="1:7">
      <c r="A269" s="2989" t="s">
        <v>305</v>
      </c>
      <c r="B269" s="2978" t="s">
        <v>2994</v>
      </c>
      <c r="C269" s="2990"/>
      <c r="D269" s="2990"/>
      <c r="E269" s="2990"/>
      <c r="F269" s="2979">
        <v>0.05</v>
      </c>
      <c r="G269" s="2996"/>
    </row>
    <row r="270" spans="1:7">
      <c r="A270" s="2989" t="s">
        <v>305</v>
      </c>
      <c r="B270" s="2978" t="s">
        <v>2999</v>
      </c>
      <c r="C270" s="2990"/>
      <c r="D270" s="2990"/>
      <c r="E270" s="2990"/>
      <c r="F270" s="2979">
        <v>0.05</v>
      </c>
      <c r="G270" s="2996"/>
    </row>
    <row r="271" spans="1:7">
      <c r="A271" s="2989" t="s">
        <v>305</v>
      </c>
      <c r="B271" s="2978" t="s">
        <v>3203</v>
      </c>
      <c r="C271" s="2990"/>
      <c r="D271" s="2990"/>
      <c r="E271" s="2990"/>
      <c r="F271" s="2979">
        <v>0.05</v>
      </c>
      <c r="G271" s="2996"/>
    </row>
    <row r="272" spans="1:7">
      <c r="A272" s="2989" t="s">
        <v>305</v>
      </c>
      <c r="B272" s="2978" t="s">
        <v>3204</v>
      </c>
      <c r="C272" s="2990"/>
      <c r="D272" s="2990"/>
      <c r="E272" s="2990"/>
      <c r="F272" s="2979">
        <v>0.05</v>
      </c>
      <c r="G272" s="2996"/>
    </row>
    <row r="273" spans="1:7">
      <c r="A273" s="2989" t="s">
        <v>305</v>
      </c>
      <c r="B273" s="2978" t="s">
        <v>3205</v>
      </c>
      <c r="C273" s="2990"/>
      <c r="D273" s="2990"/>
      <c r="E273" s="2990"/>
      <c r="F273" s="2979">
        <v>0.05</v>
      </c>
      <c r="G273" s="2996"/>
    </row>
    <row r="274" spans="1:7">
      <c r="A274" s="2989" t="s">
        <v>305</v>
      </c>
      <c r="B274" s="2978" t="s">
        <v>3206</v>
      </c>
      <c r="C274" s="2990"/>
      <c r="D274" s="2990"/>
      <c r="E274" s="2990"/>
      <c r="F274" s="2979">
        <v>0.05</v>
      </c>
      <c r="G274" s="2996"/>
    </row>
    <row r="275" spans="1:7">
      <c r="A275" s="2989" t="s">
        <v>305</v>
      </c>
      <c r="B275" s="2978" t="s">
        <v>3207</v>
      </c>
      <c r="C275" s="2990"/>
      <c r="D275" s="2990"/>
      <c r="E275" s="2990"/>
      <c r="F275" s="2979">
        <v>0.05</v>
      </c>
      <c r="G275" s="2996"/>
    </row>
    <row r="276" spans="1:7" ht="14.25" thickBot="1">
      <c r="A276" s="2992" t="s">
        <v>305</v>
      </c>
      <c r="B276" s="2982" t="s">
        <v>3208</v>
      </c>
      <c r="C276" s="2984"/>
      <c r="D276" s="2984"/>
      <c r="E276" s="2984"/>
      <c r="F276" s="2983">
        <v>0.05</v>
      </c>
      <c r="G276" s="2997"/>
    </row>
    <row r="277" spans="1:7">
      <c r="A277" s="2988" t="s">
        <v>306</v>
      </c>
      <c r="B277" s="2974" t="s">
        <v>2852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2864</v>
      </c>
      <c r="C279" s="2979">
        <v>0.15</v>
      </c>
      <c r="D279" s="2979">
        <v>0.15</v>
      </c>
      <c r="E279" s="2979">
        <v>0.15</v>
      </c>
      <c r="F279" s="2979">
        <v>0.15</v>
      </c>
      <c r="G279" s="2980">
        <v>0.15</v>
      </c>
    </row>
    <row r="280" spans="1:7">
      <c r="A280" s="2989" t="s">
        <v>306</v>
      </c>
      <c r="B280" s="2978" t="s">
        <v>2868</v>
      </c>
      <c r="C280" s="2979">
        <v>0.15</v>
      </c>
      <c r="D280" s="2979">
        <v>0.15</v>
      </c>
      <c r="E280" s="2979">
        <v>0.15</v>
      </c>
      <c r="F280" s="2979">
        <v>0.15</v>
      </c>
      <c r="G280" s="2980">
        <v>0.15</v>
      </c>
    </row>
    <row r="281" spans="1:7">
      <c r="A281" s="2989" t="s">
        <v>306</v>
      </c>
      <c r="B281" s="2978" t="s">
        <v>2872</v>
      </c>
      <c r="C281" s="2979">
        <v>0.15</v>
      </c>
      <c r="D281" s="2979">
        <v>0.15</v>
      </c>
      <c r="E281" s="2979">
        <v>0.15</v>
      </c>
      <c r="F281" s="2979">
        <v>0.15</v>
      </c>
      <c r="G281" s="2980">
        <v>0.15</v>
      </c>
    </row>
    <row r="282" spans="1:7">
      <c r="A282" s="2989" t="s">
        <v>306</v>
      </c>
      <c r="B282" s="2978" t="s">
        <v>2876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2906</v>
      </c>
      <c r="C293" s="2979">
        <v>0.15</v>
      </c>
      <c r="D293" s="2979">
        <v>0.15</v>
      </c>
      <c r="E293" s="2979">
        <v>0.15</v>
      </c>
      <c r="F293" s="2979">
        <v>0.14499999999999999</v>
      </c>
      <c r="G293" s="2980">
        <v>0.15</v>
      </c>
    </row>
    <row r="294" spans="1:7">
      <c r="A294" s="2989" t="s">
        <v>306</v>
      </c>
      <c r="B294" s="2978" t="s">
        <v>2908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2938</v>
      </c>
      <c r="C302" s="2979">
        <v>0.15</v>
      </c>
      <c r="D302" s="2979">
        <v>0.15</v>
      </c>
      <c r="E302" s="2979">
        <v>0.15</v>
      </c>
      <c r="F302" s="2979">
        <v>0.14699999999999999</v>
      </c>
      <c r="G302" s="2980">
        <v>0.15</v>
      </c>
    </row>
    <row r="303" spans="1:7">
      <c r="A303" s="2989" t="s">
        <v>306</v>
      </c>
      <c r="B303" s="2978" t="s">
        <v>2945</v>
      </c>
      <c r="C303" s="2979">
        <v>0.15</v>
      </c>
      <c r="D303" s="2979">
        <v>0.15</v>
      </c>
      <c r="E303" s="2979">
        <v>0.15</v>
      </c>
      <c r="F303" s="2979">
        <v>0.14199999999999999</v>
      </c>
      <c r="G303" s="2980">
        <v>0.15</v>
      </c>
    </row>
    <row r="304" spans="1:7">
      <c r="A304" s="2989" t="s">
        <v>306</v>
      </c>
      <c r="B304" s="2978" t="s">
        <v>2952</v>
      </c>
      <c r="C304" s="2979">
        <v>0.15</v>
      </c>
      <c r="D304" s="2979">
        <v>0.15</v>
      </c>
      <c r="E304" s="2979">
        <v>0.15</v>
      </c>
      <c r="F304" s="2979">
        <v>0.14499999999999999</v>
      </c>
      <c r="G304" s="2980">
        <v>0.15</v>
      </c>
    </row>
    <row r="305" spans="1:7">
      <c r="A305" s="2989" t="s">
        <v>306</v>
      </c>
      <c r="B305" s="2978" t="s">
        <v>2958</v>
      </c>
      <c r="C305" s="2979">
        <v>0.15</v>
      </c>
      <c r="D305" s="2979">
        <v>0.15</v>
      </c>
      <c r="E305" s="2979">
        <v>0.15</v>
      </c>
      <c r="F305" s="2979">
        <v>0.111</v>
      </c>
      <c r="G305" s="2980">
        <v>0.15</v>
      </c>
    </row>
    <row r="306" spans="1:7">
      <c r="A306" s="2989" t="s">
        <v>306</v>
      </c>
      <c r="B306" s="2978" t="s">
        <v>2965</v>
      </c>
      <c r="C306" s="2979">
        <v>0.15</v>
      </c>
      <c r="D306" s="2979">
        <v>0.15</v>
      </c>
      <c r="E306" s="2979">
        <v>0.15</v>
      </c>
      <c r="F306" s="2979">
        <v>0.126</v>
      </c>
      <c r="G306" s="2980">
        <v>0.15</v>
      </c>
    </row>
    <row r="307" spans="1:7">
      <c r="A307" s="2989" t="s">
        <v>306</v>
      </c>
      <c r="B307" s="2978" t="s">
        <v>2970</v>
      </c>
      <c r="C307" s="2979">
        <v>0.15</v>
      </c>
      <c r="D307" s="2979">
        <v>0.15</v>
      </c>
      <c r="E307" s="2979">
        <v>0.15</v>
      </c>
      <c r="F307" s="2979">
        <v>0.12</v>
      </c>
      <c r="G307" s="2980">
        <v>0.15</v>
      </c>
    </row>
    <row r="308" spans="1:7">
      <c r="A308" s="2989" t="s">
        <v>306</v>
      </c>
      <c r="B308" s="2978" t="s">
        <v>2976</v>
      </c>
      <c r="C308" s="2979">
        <v>0.15</v>
      </c>
      <c r="D308" s="2979">
        <v>0.15</v>
      </c>
      <c r="E308" s="2979">
        <v>0.15</v>
      </c>
      <c r="F308" s="2979">
        <v>0.13</v>
      </c>
      <c r="G308" s="2980">
        <v>0.15</v>
      </c>
    </row>
    <row r="309" spans="1:7">
      <c r="A309" s="2989" t="s">
        <v>306</v>
      </c>
      <c r="B309" s="2978" t="s">
        <v>2980</v>
      </c>
      <c r="C309" s="2979">
        <v>0.15</v>
      </c>
      <c r="D309" s="2979">
        <v>0.15</v>
      </c>
      <c r="E309" s="2979">
        <v>0.15</v>
      </c>
      <c r="F309" s="2979">
        <v>0.14099999999999999</v>
      </c>
      <c r="G309" s="2980">
        <v>0.15</v>
      </c>
    </row>
    <row r="310" spans="1:7">
      <c r="A310" s="2989" t="s">
        <v>306</v>
      </c>
      <c r="B310" s="2978" t="s">
        <v>2985</v>
      </c>
      <c r="C310" s="2979">
        <v>0.15</v>
      </c>
      <c r="D310" s="2979">
        <v>0.15</v>
      </c>
      <c r="E310" s="2979">
        <v>0.15</v>
      </c>
      <c r="F310" s="2979">
        <v>0.15</v>
      </c>
      <c r="G310" s="2980">
        <v>0.15</v>
      </c>
    </row>
    <row r="311" spans="1:7">
      <c r="A311" s="2989" t="s">
        <v>306</v>
      </c>
      <c r="B311" s="2978" t="s">
        <v>2990</v>
      </c>
      <c r="C311" s="2979">
        <v>0.13200000000000001</v>
      </c>
      <c r="D311" s="2979">
        <v>0.13300000000000001</v>
      </c>
      <c r="E311" s="2979">
        <v>0.14499999999999999</v>
      </c>
      <c r="F311" s="2979">
        <v>0.14199999999999999</v>
      </c>
      <c r="G311" s="2980">
        <v>0.14000000000000001</v>
      </c>
    </row>
    <row r="312" spans="1:7">
      <c r="A312" s="2989" t="s">
        <v>306</v>
      </c>
      <c r="B312" s="2978" t="s">
        <v>2995</v>
      </c>
      <c r="C312" s="2979">
        <v>0.13800000000000001</v>
      </c>
      <c r="D312" s="2979">
        <v>0.14000000000000001</v>
      </c>
      <c r="E312" s="2979">
        <v>0.14599999999999999</v>
      </c>
      <c r="F312" s="2979">
        <v>0.14899999999999999</v>
      </c>
      <c r="G312" s="2980">
        <v>0.14199999999999999</v>
      </c>
    </row>
    <row r="313" spans="1:7">
      <c r="A313" s="2989" t="s">
        <v>306</v>
      </c>
      <c r="B313" s="2978" t="s">
        <v>3000</v>
      </c>
      <c r="C313" s="2979">
        <v>0.125</v>
      </c>
      <c r="D313" s="2979">
        <v>0.127</v>
      </c>
      <c r="E313" s="2979">
        <v>0.14399999999999999</v>
      </c>
      <c r="F313" s="2979">
        <v>0.115</v>
      </c>
      <c r="G313" s="2980">
        <v>0.13600000000000001</v>
      </c>
    </row>
    <row r="314" spans="1:7">
      <c r="A314" s="2989" t="s">
        <v>306</v>
      </c>
      <c r="B314" s="2978" t="s">
        <v>3209</v>
      </c>
      <c r="C314" s="2995"/>
      <c r="D314" s="2995"/>
      <c r="E314" s="2995"/>
      <c r="F314" s="2979">
        <v>0.05</v>
      </c>
      <c r="G314" s="2996"/>
    </row>
    <row r="315" spans="1:7">
      <c r="A315" s="2989" t="s">
        <v>306</v>
      </c>
      <c r="B315" s="2978" t="s">
        <v>3210</v>
      </c>
      <c r="C315" s="2995"/>
      <c r="D315" s="2995"/>
      <c r="E315" s="2995"/>
      <c r="F315" s="2979">
        <v>0.05</v>
      </c>
      <c r="G315" s="2996"/>
    </row>
    <row r="316" spans="1:7">
      <c r="A316" s="2989" t="s">
        <v>306</v>
      </c>
      <c r="B316" s="2978" t="s">
        <v>3211</v>
      </c>
      <c r="C316" s="2990"/>
      <c r="D316" s="2990"/>
      <c r="E316" s="2990"/>
      <c r="F316" s="2979">
        <v>0.05</v>
      </c>
      <c r="G316" s="2996"/>
    </row>
    <row r="317" spans="1:7">
      <c r="A317" s="2989" t="s">
        <v>306</v>
      </c>
      <c r="B317" s="2978" t="s">
        <v>3212</v>
      </c>
      <c r="C317" s="2990"/>
      <c r="D317" s="2990"/>
      <c r="E317" s="2990"/>
      <c r="F317" s="2979">
        <v>0.05</v>
      </c>
      <c r="G317" s="2996"/>
    </row>
    <row r="318" spans="1:7">
      <c r="A318" s="2989" t="s">
        <v>306</v>
      </c>
      <c r="B318" s="2978" t="s">
        <v>3213</v>
      </c>
      <c r="C318" s="2990"/>
      <c r="D318" s="2990"/>
      <c r="E318" s="2990"/>
      <c r="F318" s="2979">
        <v>0.05</v>
      </c>
      <c r="G318" s="2996"/>
    </row>
    <row r="319" spans="1:7">
      <c r="A319" s="2989" t="s">
        <v>306</v>
      </c>
      <c r="B319" s="2978" t="s">
        <v>3214</v>
      </c>
      <c r="C319" s="2990"/>
      <c r="D319" s="2990"/>
      <c r="E319" s="2990"/>
      <c r="F319" s="2979">
        <v>0.05</v>
      </c>
      <c r="G319" s="2996"/>
    </row>
    <row r="320" spans="1:7">
      <c r="A320" s="2989" t="s">
        <v>306</v>
      </c>
      <c r="B320" s="2978" t="s">
        <v>3215</v>
      </c>
      <c r="C320" s="2990"/>
      <c r="D320" s="2990"/>
      <c r="E320" s="2990"/>
      <c r="F320" s="2979">
        <v>0.05</v>
      </c>
      <c r="G320" s="2996"/>
    </row>
    <row r="321" spans="1:7">
      <c r="A321" s="2989" t="s">
        <v>306</v>
      </c>
      <c r="B321" s="2978" t="s">
        <v>3216</v>
      </c>
      <c r="C321" s="2990"/>
      <c r="D321" s="2990"/>
      <c r="E321" s="2990"/>
      <c r="F321" s="2979">
        <v>0.05</v>
      </c>
      <c r="G321" s="2996"/>
    </row>
    <row r="322" spans="1:7">
      <c r="A322" s="2989" t="s">
        <v>306</v>
      </c>
      <c r="B322" s="2978" t="s">
        <v>3217</v>
      </c>
      <c r="C322" s="2990"/>
      <c r="D322" s="2990"/>
      <c r="E322" s="2990"/>
      <c r="F322" s="2979">
        <v>0.05</v>
      </c>
      <c r="G322" s="2996"/>
    </row>
    <row r="323" spans="1:7">
      <c r="A323" s="2989" t="s">
        <v>306</v>
      </c>
      <c r="B323" s="2978" t="s">
        <v>3218</v>
      </c>
      <c r="C323" s="2990"/>
      <c r="D323" s="2990"/>
      <c r="E323" s="2990"/>
      <c r="F323" s="2979">
        <v>0.05</v>
      </c>
      <c r="G323" s="2996"/>
    </row>
    <row r="324" spans="1:7">
      <c r="A324" s="2989" t="s">
        <v>306</v>
      </c>
      <c r="B324" s="2978" t="s">
        <v>3219</v>
      </c>
      <c r="C324" s="2990"/>
      <c r="D324" s="2990"/>
      <c r="E324" s="2990"/>
      <c r="F324" s="2979">
        <v>0.05</v>
      </c>
      <c r="G324" s="2996"/>
    </row>
    <row r="325" spans="1:7">
      <c r="A325" s="2989" t="s">
        <v>306</v>
      </c>
      <c r="B325" s="2978" t="s">
        <v>3220</v>
      </c>
      <c r="C325" s="2990"/>
      <c r="D325" s="2990"/>
      <c r="E325" s="2990"/>
      <c r="F325" s="2979">
        <v>0.05</v>
      </c>
      <c r="G325" s="2996"/>
    </row>
    <row r="326" spans="1:7" ht="14.25" thickBot="1">
      <c r="A326" s="2992" t="s">
        <v>306</v>
      </c>
      <c r="B326" s="2982" t="s">
        <v>3221</v>
      </c>
      <c r="C326" s="2984"/>
      <c r="D326" s="2984"/>
      <c r="E326" s="2984"/>
      <c r="F326" s="2983">
        <v>0.05</v>
      </c>
      <c r="G326" s="2997"/>
    </row>
    <row r="327" spans="1:7">
      <c r="A327" s="2988" t="s">
        <v>307</v>
      </c>
      <c r="B327" s="2974" t="s">
        <v>2853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2865</v>
      </c>
      <c r="C329" s="2979">
        <v>0.15</v>
      </c>
      <c r="D329" s="2979">
        <v>0.15</v>
      </c>
      <c r="E329" s="2979">
        <v>0.15</v>
      </c>
      <c r="F329" s="2979">
        <v>0.15</v>
      </c>
      <c r="G329" s="2980">
        <v>0.15</v>
      </c>
    </row>
    <row r="330" spans="1:7">
      <c r="A330" s="2989" t="s">
        <v>307</v>
      </c>
      <c r="B330" s="2978" t="s">
        <v>2869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2877</v>
      </c>
      <c r="C332" s="2979">
        <v>0.15</v>
      </c>
      <c r="D332" s="2979">
        <v>0.15</v>
      </c>
      <c r="E332" s="2979">
        <v>0.15</v>
      </c>
      <c r="F332" s="2979">
        <v>0.15</v>
      </c>
      <c r="G332" s="2980">
        <v>0.15</v>
      </c>
    </row>
    <row r="333" spans="1:7">
      <c r="A333" s="2989" t="s">
        <v>307</v>
      </c>
      <c r="B333" s="2978" t="s">
        <v>2881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2887</v>
      </c>
      <c r="C336" s="2979">
        <v>0.15</v>
      </c>
      <c r="D336" s="2979">
        <v>0.15</v>
      </c>
      <c r="E336" s="2979">
        <v>0.15</v>
      </c>
      <c r="F336" s="2979">
        <v>0.14199999999999999</v>
      </c>
      <c r="G336" s="2980">
        <v>0.15</v>
      </c>
    </row>
    <row r="337" spans="1:7">
      <c r="A337" s="2989" t="s">
        <v>307</v>
      </c>
      <c r="B337" s="2978" t="s">
        <v>2892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2912</v>
      </c>
      <c r="C345" s="2979">
        <v>0.15</v>
      </c>
      <c r="D345" s="2979">
        <v>0.15</v>
      </c>
      <c r="E345" s="2979">
        <v>0.15</v>
      </c>
      <c r="F345" s="2979">
        <v>0.13800000000000001</v>
      </c>
      <c r="G345" s="2980">
        <v>0.15</v>
      </c>
    </row>
    <row r="346" spans="1:7">
      <c r="A346" s="2989" t="s">
        <v>307</v>
      </c>
      <c r="B346" s="2978" t="s">
        <v>2914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2921</v>
      </c>
      <c r="C348" s="2979">
        <v>0.15</v>
      </c>
      <c r="D348" s="2979">
        <v>0.15</v>
      </c>
      <c r="E348" s="2979">
        <v>0.15</v>
      </c>
      <c r="F348" s="2979">
        <v>0.14399999999999999</v>
      </c>
      <c r="G348" s="2980">
        <v>0.15</v>
      </c>
    </row>
    <row r="349" spans="1:7">
      <c r="A349" s="2989" t="s">
        <v>307</v>
      </c>
      <c r="B349" s="2978" t="s">
        <v>2926</v>
      </c>
      <c r="C349" s="2979">
        <v>0.15</v>
      </c>
      <c r="D349" s="2979">
        <v>0.15</v>
      </c>
      <c r="E349" s="2979">
        <v>0.15</v>
      </c>
      <c r="F349" s="2979">
        <v>0.15</v>
      </c>
      <c r="G349" s="2980">
        <v>0.15</v>
      </c>
    </row>
    <row r="350" spans="1:7">
      <c r="A350" s="2989" t="s">
        <v>307</v>
      </c>
      <c r="B350" s="2978" t="s">
        <v>2929</v>
      </c>
      <c r="C350" s="2979">
        <v>0.15</v>
      </c>
      <c r="D350" s="2979">
        <v>0.15</v>
      </c>
      <c r="E350" s="2979">
        <v>0.15</v>
      </c>
      <c r="F350" s="2979">
        <v>0.14699999999999999</v>
      </c>
      <c r="G350" s="2980">
        <v>0.15</v>
      </c>
    </row>
    <row r="351" spans="1:7">
      <c r="A351" s="2989" t="s">
        <v>307</v>
      </c>
      <c r="B351" s="2978" t="s">
        <v>2934</v>
      </c>
      <c r="C351" s="2979">
        <v>0.15</v>
      </c>
      <c r="D351" s="2979">
        <v>0.15</v>
      </c>
      <c r="E351" s="2979">
        <v>0.15</v>
      </c>
      <c r="F351" s="2979">
        <v>0.13</v>
      </c>
      <c r="G351" s="2980">
        <v>0.15</v>
      </c>
    </row>
    <row r="352" spans="1:7">
      <c r="A352" s="2989" t="s">
        <v>307</v>
      </c>
      <c r="B352" s="2978" t="s">
        <v>2939</v>
      </c>
      <c r="C352" s="2979">
        <v>0.15</v>
      </c>
      <c r="D352" s="2979">
        <v>0.15</v>
      </c>
      <c r="E352" s="2979">
        <v>0.15</v>
      </c>
      <c r="F352" s="2979">
        <v>0.14599999999999999</v>
      </c>
      <c r="G352" s="2980">
        <v>0.15</v>
      </c>
    </row>
    <row r="353" spans="1:7">
      <c r="A353" s="2989" t="s">
        <v>307</v>
      </c>
      <c r="B353" s="2978" t="s">
        <v>2946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2959</v>
      </c>
      <c r="C355" s="2979">
        <v>0.15</v>
      </c>
      <c r="D355" s="2979">
        <v>0.15</v>
      </c>
      <c r="E355" s="2979">
        <v>0.15</v>
      </c>
      <c r="F355" s="2979">
        <v>0.15</v>
      </c>
      <c r="G355" s="2980">
        <v>0.15</v>
      </c>
    </row>
    <row r="356" spans="1:7">
      <c r="A356" s="2989" t="s">
        <v>307</v>
      </c>
      <c r="B356" s="2978" t="s">
        <v>2966</v>
      </c>
      <c r="C356" s="2979">
        <v>0.15</v>
      </c>
      <c r="D356" s="2979">
        <v>0.15</v>
      </c>
      <c r="E356" s="2979">
        <v>0.15</v>
      </c>
      <c r="F356" s="2979">
        <v>0.15</v>
      </c>
      <c r="G356" s="2980">
        <v>0.15</v>
      </c>
    </row>
    <row r="357" spans="1:7" ht="14.25" thickBot="1">
      <c r="A357" s="2992" t="s">
        <v>307</v>
      </c>
      <c r="B357" s="2982" t="s">
        <v>2971</v>
      </c>
      <c r="C357" s="2983">
        <v>0.126</v>
      </c>
      <c r="D357" s="2983">
        <v>0.127</v>
      </c>
      <c r="E357" s="2983">
        <v>0.14299999999999999</v>
      </c>
      <c r="F357" s="2983">
        <v>0.125</v>
      </c>
      <c r="G357" s="2985">
        <v>0.129</v>
      </c>
    </row>
    <row r="358" spans="1:7">
      <c r="A358" s="2988" t="s">
        <v>2840</v>
      </c>
      <c r="B358" s="2974" t="s">
        <v>2854</v>
      </c>
      <c r="C358" s="2975">
        <v>0.15</v>
      </c>
      <c r="D358" s="2975">
        <v>0.15</v>
      </c>
      <c r="E358" s="2975">
        <v>0.15</v>
      </c>
      <c r="F358" s="2975">
        <v>0.15</v>
      </c>
      <c r="G358" s="2976">
        <v>0.15</v>
      </c>
    </row>
    <row r="359" spans="1:7">
      <c r="A359" s="2989" t="s">
        <v>2840</v>
      </c>
      <c r="B359" s="2978" t="s">
        <v>2860</v>
      </c>
      <c r="C359" s="2979">
        <v>0.1</v>
      </c>
      <c r="D359" s="2979">
        <v>0.1</v>
      </c>
      <c r="E359" s="2979">
        <v>0.1</v>
      </c>
      <c r="F359" s="2979">
        <v>0.1</v>
      </c>
      <c r="G359" s="2980">
        <v>0.1</v>
      </c>
    </row>
    <row r="360" spans="1:7">
      <c r="A360" s="2989" t="s">
        <v>2840</v>
      </c>
      <c r="B360" s="2978" t="s">
        <v>2866</v>
      </c>
      <c r="C360" s="2979">
        <v>0.15</v>
      </c>
      <c r="D360" s="2979">
        <v>0.15</v>
      </c>
      <c r="E360" s="2979">
        <v>0.15</v>
      </c>
      <c r="F360" s="2979">
        <v>0.14899999999999999</v>
      </c>
      <c r="G360" s="2980">
        <v>0.15</v>
      </c>
    </row>
    <row r="361" spans="1:7">
      <c r="A361" s="2989" t="s">
        <v>2840</v>
      </c>
      <c r="B361" s="2978" t="s">
        <v>153</v>
      </c>
      <c r="C361" s="2979">
        <v>0.15</v>
      </c>
      <c r="D361" s="2979">
        <v>0.15</v>
      </c>
      <c r="E361" s="2979">
        <v>0.15</v>
      </c>
      <c r="F361" s="2979">
        <v>0.115</v>
      </c>
      <c r="G361" s="2980">
        <v>0.15</v>
      </c>
    </row>
    <row r="362" spans="1:7">
      <c r="A362" s="2989" t="s">
        <v>2840</v>
      </c>
      <c r="B362" s="2978" t="s">
        <v>2873</v>
      </c>
      <c r="C362" s="2979">
        <v>0.15</v>
      </c>
      <c r="D362" s="2979">
        <v>0.15</v>
      </c>
      <c r="E362" s="2979">
        <v>0.15</v>
      </c>
      <c r="F362" s="2979">
        <v>0.106</v>
      </c>
      <c r="G362" s="2980">
        <v>0.15</v>
      </c>
    </row>
    <row r="363" spans="1:7">
      <c r="A363" s="2989" t="s">
        <v>2840</v>
      </c>
      <c r="B363" s="2978" t="s">
        <v>2878</v>
      </c>
      <c r="C363" s="2979">
        <v>0.15</v>
      </c>
      <c r="D363" s="2979">
        <v>0.15</v>
      </c>
      <c r="E363" s="2979">
        <v>0.15</v>
      </c>
      <c r="F363" s="2979">
        <v>0.14699999999999999</v>
      </c>
      <c r="G363" s="2980">
        <v>0.15</v>
      </c>
    </row>
    <row r="364" spans="1:7">
      <c r="A364" s="2989" t="s">
        <v>2840</v>
      </c>
      <c r="B364" s="2978" t="s">
        <v>2882</v>
      </c>
      <c r="C364" s="2979">
        <v>0.15</v>
      </c>
      <c r="D364" s="2979">
        <v>0.15</v>
      </c>
      <c r="E364" s="2979">
        <v>0.15</v>
      </c>
      <c r="F364" s="2979">
        <v>0.14799999999999999</v>
      </c>
      <c r="G364" s="2980">
        <v>0.15</v>
      </c>
    </row>
    <row r="365" spans="1:7">
      <c r="A365" s="2989" t="s">
        <v>2840</v>
      </c>
      <c r="B365" s="2978" t="s">
        <v>200</v>
      </c>
      <c r="C365" s="2979">
        <v>0.15</v>
      </c>
      <c r="D365" s="2979">
        <v>0.15</v>
      </c>
      <c r="E365" s="2979">
        <v>0.15</v>
      </c>
      <c r="F365" s="2979">
        <v>0.15</v>
      </c>
      <c r="G365" s="2980">
        <v>0.15</v>
      </c>
    </row>
    <row r="366" spans="1:7">
      <c r="A366" s="2989" t="s">
        <v>2840</v>
      </c>
      <c r="B366" s="2978" t="s">
        <v>2885</v>
      </c>
      <c r="C366" s="2979">
        <v>0.15</v>
      </c>
      <c r="D366" s="2979">
        <v>0.15</v>
      </c>
      <c r="E366" s="2979">
        <v>0.15</v>
      </c>
      <c r="F366" s="2979">
        <v>0.15</v>
      </c>
      <c r="G366" s="2980">
        <v>0.15</v>
      </c>
    </row>
    <row r="367" spans="1:7">
      <c r="A367" s="2989" t="s">
        <v>2840</v>
      </c>
      <c r="B367" s="2978" t="s">
        <v>2888</v>
      </c>
      <c r="C367" s="2979">
        <v>0.15</v>
      </c>
      <c r="D367" s="2979">
        <v>0.15</v>
      </c>
      <c r="E367" s="2979">
        <v>0.15</v>
      </c>
      <c r="F367" s="2979">
        <v>0.14699999999999999</v>
      </c>
      <c r="G367" s="2980">
        <v>0.15</v>
      </c>
    </row>
    <row r="368" spans="1:7">
      <c r="A368" s="2989" t="s">
        <v>2840</v>
      </c>
      <c r="B368" s="2978" t="s">
        <v>2893</v>
      </c>
      <c r="C368" s="2979">
        <v>0.15</v>
      </c>
      <c r="D368" s="2979">
        <v>0.15</v>
      </c>
      <c r="E368" s="2979">
        <v>0.15</v>
      </c>
      <c r="F368" s="2979">
        <v>0.13600000000000001</v>
      </c>
      <c r="G368" s="2980">
        <v>0.15</v>
      </c>
    </row>
    <row r="369" spans="1:7">
      <c r="A369" s="2989" t="s">
        <v>2840</v>
      </c>
      <c r="B369" s="2978" t="s">
        <v>214</v>
      </c>
      <c r="C369" s="2979">
        <v>0.15</v>
      </c>
      <c r="D369" s="2979">
        <v>0.15</v>
      </c>
      <c r="E369" s="2979">
        <v>0.15</v>
      </c>
      <c r="F369" s="2979">
        <v>0.14399999999999999</v>
      </c>
      <c r="G369" s="2980">
        <v>0.15</v>
      </c>
    </row>
    <row r="370" spans="1:7">
      <c r="A370" s="2989" t="s">
        <v>2840</v>
      </c>
      <c r="B370" s="2978" t="s">
        <v>221</v>
      </c>
      <c r="C370" s="2979">
        <v>0.15</v>
      </c>
      <c r="D370" s="2979">
        <v>0.15</v>
      </c>
      <c r="E370" s="2979">
        <v>0.15</v>
      </c>
      <c r="F370" s="2979">
        <v>0.14599999999999999</v>
      </c>
      <c r="G370" s="2980">
        <v>0.15</v>
      </c>
    </row>
    <row r="371" spans="1:7">
      <c r="A371" s="2989" t="s">
        <v>2840</v>
      </c>
      <c r="B371" s="2978" t="s">
        <v>229</v>
      </c>
      <c r="C371" s="2979">
        <v>0.15</v>
      </c>
      <c r="D371" s="2979">
        <v>0.15</v>
      </c>
      <c r="E371" s="2979">
        <v>0.15</v>
      </c>
      <c r="F371" s="2979">
        <v>0.12</v>
      </c>
      <c r="G371" s="2980">
        <v>0.15</v>
      </c>
    </row>
    <row r="372" spans="1:7">
      <c r="A372" s="2989" t="s">
        <v>2840</v>
      </c>
      <c r="B372" s="2978" t="s">
        <v>2901</v>
      </c>
      <c r="C372" s="2979">
        <v>0.15</v>
      </c>
      <c r="D372" s="2979">
        <v>0.15</v>
      </c>
      <c r="E372" s="2979">
        <v>0.15</v>
      </c>
      <c r="F372" s="2979">
        <v>0.14299999999999999</v>
      </c>
      <c r="G372" s="2980">
        <v>0.15</v>
      </c>
    </row>
    <row r="373" spans="1:7">
      <c r="A373" s="2989" t="s">
        <v>2840</v>
      </c>
      <c r="B373" s="2978" t="s">
        <v>258</v>
      </c>
      <c r="C373" s="2979">
        <v>0.15</v>
      </c>
      <c r="D373" s="2979">
        <v>0.15</v>
      </c>
      <c r="E373" s="2979">
        <v>0.15</v>
      </c>
      <c r="F373" s="2979">
        <v>0.14599999999999999</v>
      </c>
      <c r="G373" s="2980">
        <v>0.15</v>
      </c>
    </row>
    <row r="374" spans="1:7">
      <c r="A374" s="2989" t="s">
        <v>2840</v>
      </c>
      <c r="B374" s="2978" t="s">
        <v>266</v>
      </c>
      <c r="C374" s="2979">
        <v>0.15</v>
      </c>
      <c r="D374" s="2979">
        <v>0.15</v>
      </c>
      <c r="E374" s="2979">
        <v>0.15</v>
      </c>
      <c r="F374" s="2979">
        <v>0.14399999999999999</v>
      </c>
      <c r="G374" s="2980">
        <v>0.15</v>
      </c>
    </row>
    <row r="375" spans="1:7">
      <c r="A375" s="2989" t="s">
        <v>2840</v>
      </c>
      <c r="B375" s="2978" t="s">
        <v>2909</v>
      </c>
      <c r="C375" s="2979">
        <v>0.15</v>
      </c>
      <c r="D375" s="2979">
        <v>0.15</v>
      </c>
      <c r="E375" s="2979">
        <v>0.15</v>
      </c>
      <c r="F375" s="2979">
        <v>0.13</v>
      </c>
      <c r="G375" s="2980">
        <v>0.15</v>
      </c>
    </row>
    <row r="376" spans="1:7">
      <c r="A376" s="2989" t="s">
        <v>2840</v>
      </c>
      <c r="B376" s="2978" t="s">
        <v>277</v>
      </c>
      <c r="C376" s="2979">
        <v>0.15</v>
      </c>
      <c r="D376" s="2979">
        <v>0.15</v>
      </c>
      <c r="E376" s="2979">
        <v>0.15</v>
      </c>
      <c r="F376" s="2979">
        <v>0.14199999999999999</v>
      </c>
      <c r="G376" s="2980">
        <v>0.15</v>
      </c>
    </row>
    <row r="377" spans="1:7" ht="14.25" thickBot="1">
      <c r="A377" s="2992" t="s">
        <v>2840</v>
      </c>
      <c r="B377" s="2982" t="s">
        <v>2915</v>
      </c>
      <c r="C377" s="2983">
        <v>0.15</v>
      </c>
      <c r="D377" s="2983">
        <v>0.15</v>
      </c>
      <c r="E377" s="2983">
        <v>0.15</v>
      </c>
      <c r="F377" s="2983">
        <v>0.14000000000000001</v>
      </c>
      <c r="G377" s="2985">
        <v>0.15</v>
      </c>
    </row>
    <row r="378" spans="1:7">
      <c r="A378" s="2988" t="s">
        <v>2841</v>
      </c>
      <c r="B378" s="2974" t="s">
        <v>2855</v>
      </c>
      <c r="C378" s="2975">
        <v>0.15</v>
      </c>
      <c r="D378" s="2975">
        <v>0.15</v>
      </c>
      <c r="E378" s="2975">
        <v>0.15</v>
      </c>
      <c r="F378" s="2975">
        <v>0.107</v>
      </c>
      <c r="G378" s="2976">
        <v>0.15</v>
      </c>
    </row>
    <row r="379" spans="1:7">
      <c r="A379" s="2989" t="s">
        <v>2841</v>
      </c>
      <c r="B379" s="2978" t="s">
        <v>2861</v>
      </c>
      <c r="C379" s="2979">
        <v>0.15</v>
      </c>
      <c r="D379" s="2979">
        <v>0.15</v>
      </c>
      <c r="E379" s="2979">
        <v>0.15</v>
      </c>
      <c r="F379" s="2979">
        <v>0.115</v>
      </c>
      <c r="G379" s="2980">
        <v>0.14899999999999999</v>
      </c>
    </row>
    <row r="380" spans="1:7">
      <c r="A380" s="2989" t="s">
        <v>2841</v>
      </c>
      <c r="B380" s="2978" t="s">
        <v>2867</v>
      </c>
      <c r="C380" s="2979">
        <v>0.15</v>
      </c>
      <c r="D380" s="2979">
        <v>0.15</v>
      </c>
      <c r="E380" s="2979">
        <v>0.15</v>
      </c>
      <c r="F380" s="2979">
        <v>0.1</v>
      </c>
      <c r="G380" s="2980">
        <v>0.14799999999999999</v>
      </c>
    </row>
    <row r="381" spans="1:7">
      <c r="A381" s="2989" t="s">
        <v>2841</v>
      </c>
      <c r="B381" s="2978" t="s">
        <v>2870</v>
      </c>
      <c r="C381" s="2979">
        <v>0.15</v>
      </c>
      <c r="D381" s="2979">
        <v>0.15</v>
      </c>
      <c r="E381" s="2979">
        <v>0.15</v>
      </c>
      <c r="F381" s="2979">
        <v>0.126</v>
      </c>
      <c r="G381" s="2980">
        <v>0.15</v>
      </c>
    </row>
    <row r="382" spans="1:7">
      <c r="A382" s="2989" t="s">
        <v>2841</v>
      </c>
      <c r="B382" s="2978" t="s">
        <v>2874</v>
      </c>
      <c r="C382" s="2979">
        <v>0.15</v>
      </c>
      <c r="D382" s="2979">
        <v>0.15</v>
      </c>
      <c r="E382" s="2979">
        <v>0.15</v>
      </c>
      <c r="F382" s="2979">
        <v>0.15</v>
      </c>
      <c r="G382" s="2980">
        <v>0.15</v>
      </c>
    </row>
    <row r="383" spans="1:7">
      <c r="A383" s="2989" t="s">
        <v>2841</v>
      </c>
      <c r="B383" s="2978" t="s">
        <v>2879</v>
      </c>
      <c r="C383" s="2979">
        <v>0.15</v>
      </c>
      <c r="D383" s="2979">
        <v>0.15</v>
      </c>
      <c r="E383" s="2979">
        <v>0.15</v>
      </c>
      <c r="F383" s="2979">
        <v>0.14699999999999999</v>
      </c>
      <c r="G383" s="2980">
        <v>0.15</v>
      </c>
    </row>
    <row r="384" spans="1:7" ht="14.25" thickBot="1">
      <c r="A384" s="2999" t="s">
        <v>2841</v>
      </c>
      <c r="B384" s="3000" t="s">
        <v>2883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91" t="s">
        <v>3222</v>
      </c>
      <c r="B1" s="3491"/>
      <c r="C1" s="3491"/>
      <c r="D1" s="3491"/>
      <c r="E1" s="3491"/>
      <c r="F1" s="3492"/>
    </row>
    <row r="2" spans="1:6">
      <c r="A2" s="3003" t="s">
        <v>3223</v>
      </c>
    </row>
    <row r="3" spans="1:6">
      <c r="A3" s="3003" t="s">
        <v>3224</v>
      </c>
      <c r="F3" s="3004" t="s">
        <v>3225</v>
      </c>
    </row>
    <row r="4" spans="1:6">
      <c r="A4" s="3005" t="s">
        <v>672</v>
      </c>
      <c r="B4" s="3005" t="s">
        <v>673</v>
      </c>
      <c r="C4" s="3005" t="s">
        <v>21</v>
      </c>
      <c r="D4" s="3005" t="s">
        <v>674</v>
      </c>
      <c r="E4" s="3005" t="s">
        <v>3</v>
      </c>
      <c r="F4" s="3005" t="s">
        <v>3226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45898</v>
      </c>
      <c r="B1" s="2930" t="s">
        <v>3365</v>
      </c>
      <c r="C1" s="2931"/>
      <c r="D1" s="2931"/>
      <c r="E1" s="2931"/>
      <c r="F1" s="2931"/>
      <c r="G1" s="2931"/>
      <c r="H1" s="2931"/>
      <c r="I1" s="2931"/>
      <c r="J1" s="2897"/>
      <c r="K1" s="2931" t="s">
        <v>454</v>
      </c>
      <c r="L1" s="2931"/>
      <c r="M1" s="2931"/>
      <c r="N1" s="2931"/>
      <c r="O1" s="2931"/>
      <c r="P1" s="2931"/>
      <c r="Q1" s="2897"/>
      <c r="R1" s="3493" t="s">
        <v>456</v>
      </c>
      <c r="S1" s="3494"/>
      <c r="T1" s="3494"/>
      <c r="U1" s="3494"/>
      <c r="V1" s="3494"/>
      <c r="W1" s="3494"/>
      <c r="X1" s="2897"/>
      <c r="Y1" s="3493" t="s">
        <v>457</v>
      </c>
      <c r="Z1" s="3494"/>
      <c r="AA1" s="3494"/>
      <c r="AB1" s="3494"/>
      <c r="AC1" s="3494"/>
      <c r="AD1" s="3494"/>
    </row>
    <row r="2" spans="1:44" s="2010" customFormat="1" ht="14.25" thickBot="1">
      <c r="B2" s="2882"/>
      <c r="C2" s="2883"/>
      <c r="D2" s="2011" t="s">
        <v>2800</v>
      </c>
      <c r="E2" s="2012" t="s">
        <v>2801</v>
      </c>
      <c r="F2" s="2012" t="s">
        <v>2802</v>
      </c>
      <c r="G2" s="2012" t="s">
        <v>2803</v>
      </c>
      <c r="H2" s="2012" t="s">
        <v>2804</v>
      </c>
      <c r="I2" s="2012" t="s">
        <v>2621</v>
      </c>
      <c r="J2" s="2884"/>
      <c r="K2" s="2011" t="s">
        <v>2800</v>
      </c>
      <c r="L2" s="2012" t="s">
        <v>2801</v>
      </c>
      <c r="M2" s="2012" t="s">
        <v>2802</v>
      </c>
      <c r="N2" s="2012" t="s">
        <v>2803</v>
      </c>
      <c r="O2" s="2012" t="s">
        <v>2805</v>
      </c>
      <c r="P2" s="2012" t="s">
        <v>2621</v>
      </c>
      <c r="Q2" s="2884"/>
      <c r="R2" s="2011" t="s">
        <v>2800</v>
      </c>
      <c r="S2" s="2012" t="s">
        <v>2801</v>
      </c>
      <c r="T2" s="2012" t="s">
        <v>2802</v>
      </c>
      <c r="U2" s="2012" t="s">
        <v>2806</v>
      </c>
      <c r="V2" s="2012" t="s">
        <v>2807</v>
      </c>
      <c r="W2" s="2012" t="s">
        <v>2621</v>
      </c>
      <c r="X2" s="2884"/>
      <c r="Y2" s="2011" t="s">
        <v>2800</v>
      </c>
      <c r="Z2" s="2012" t="s">
        <v>2801</v>
      </c>
      <c r="AA2" s="2012" t="s">
        <v>2802</v>
      </c>
      <c r="AB2" s="2012" t="s">
        <v>2808</v>
      </c>
      <c r="AC2" s="2012" t="s">
        <v>2807</v>
      </c>
      <c r="AD2" s="2012" t="s">
        <v>2621</v>
      </c>
      <c r="AF2" t="s">
        <v>3392</v>
      </c>
      <c r="AG2" t="s">
        <v>673</v>
      </c>
      <c r="AH2" t="s">
        <v>21</v>
      </c>
      <c r="AI2" t="s">
        <v>3393</v>
      </c>
      <c r="AJ2" t="s">
        <v>3</v>
      </c>
      <c r="AK2" t="s">
        <v>3394</v>
      </c>
      <c r="AM2" t="s">
        <v>3392</v>
      </c>
      <c r="AN2" t="s">
        <v>673</v>
      </c>
      <c r="AO2" t="s">
        <v>21</v>
      </c>
      <c r="AP2" t="s">
        <v>3393</v>
      </c>
      <c r="AQ2" t="s">
        <v>3</v>
      </c>
      <c r="AR2" t="s">
        <v>3394</v>
      </c>
    </row>
    <row r="3" spans="1:44" s="2887" customFormat="1" ht="12.75">
      <c r="A3" s="2885" t="s">
        <v>2809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3391</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3390</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3389</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3397</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3396</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3369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3363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3362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3358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3357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3355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3354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3353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3351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3343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2810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2811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2812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2813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2814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3368</v>
      </c>
    </row>
    <row r="27" spans="1:44">
      <c r="I27" s="1405" t="s">
        <v>2815</v>
      </c>
    </row>
    <row r="29" spans="1:44" s="2009" customFormat="1" ht="12.75">
      <c r="B29" s="2930" t="s">
        <v>3366</v>
      </c>
      <c r="C29" s="2931"/>
      <c r="D29" s="2931"/>
      <c r="E29" s="2931"/>
      <c r="F29" s="2931"/>
      <c r="G29" s="2931"/>
      <c r="H29" s="2931"/>
      <c r="I29" s="2931"/>
      <c r="J29" s="2897"/>
      <c r="K29" s="2931" t="s">
        <v>2816</v>
      </c>
      <c r="L29" s="2931"/>
      <c r="M29" s="2931"/>
      <c r="N29" s="2931"/>
      <c r="O29" s="2931"/>
      <c r="P29" s="2931"/>
      <c r="Q29" s="2897"/>
      <c r="R29" s="3493" t="s">
        <v>2817</v>
      </c>
      <c r="S29" s="3494"/>
      <c r="T29" s="3494"/>
      <c r="U29" s="3494"/>
      <c r="V29" s="3494"/>
      <c r="W29" s="3494"/>
      <c r="X29" s="2897"/>
      <c r="Y29" s="3493" t="s">
        <v>2818</v>
      </c>
      <c r="Z29" s="3494"/>
      <c r="AA29" s="3494"/>
      <c r="AB29" s="3494"/>
      <c r="AC29" s="3494"/>
      <c r="AD29" s="3494"/>
    </row>
    <row r="30" spans="1:44" s="2010" customFormat="1" ht="14.25" thickBot="1">
      <c r="B30" s="2882"/>
      <c r="C30" s="2883"/>
      <c r="D30" s="2011" t="s">
        <v>2819</v>
      </c>
      <c r="E30" s="2012" t="s">
        <v>2820</v>
      </c>
      <c r="F30" s="2012" t="s">
        <v>2821</v>
      </c>
      <c r="G30" s="2012" t="s">
        <v>2822</v>
      </c>
      <c r="H30" s="2012"/>
      <c r="I30" s="2012" t="s">
        <v>2823</v>
      </c>
      <c r="J30" s="2884"/>
      <c r="K30" s="2011" t="s">
        <v>2819</v>
      </c>
      <c r="L30" s="2012" t="s">
        <v>2820</v>
      </c>
      <c r="M30" s="2012" t="s">
        <v>2821</v>
      </c>
      <c r="N30" s="2012" t="s">
        <v>2822</v>
      </c>
      <c r="O30" s="2012"/>
      <c r="P30" s="2012" t="s">
        <v>2823</v>
      </c>
      <c r="Q30" s="2884"/>
      <c r="R30" s="2011" t="s">
        <v>2819</v>
      </c>
      <c r="S30" s="2012" t="s">
        <v>2820</v>
      </c>
      <c r="T30" s="2012" t="s">
        <v>2821</v>
      </c>
      <c r="U30" s="2012" t="s">
        <v>2822</v>
      </c>
      <c r="V30" s="2012"/>
      <c r="W30" s="2012" t="s">
        <v>2823</v>
      </c>
      <c r="X30" s="2884"/>
      <c r="Y30" s="2011" t="s">
        <v>2819</v>
      </c>
      <c r="Z30" s="2012" t="s">
        <v>2820</v>
      </c>
      <c r="AA30" s="2012" t="s">
        <v>2821</v>
      </c>
      <c r="AB30" s="2012" t="s">
        <v>2822</v>
      </c>
      <c r="AC30" s="2012"/>
      <c r="AD30" s="2012" t="s">
        <v>2823</v>
      </c>
      <c r="AG30" t="s">
        <v>673</v>
      </c>
      <c r="AH30" t="s">
        <v>21</v>
      </c>
      <c r="AI30" t="s">
        <v>3393</v>
      </c>
      <c r="AJ30"/>
      <c r="AK30" t="s">
        <v>3394</v>
      </c>
      <c r="AN30" t="s">
        <v>673</v>
      </c>
      <c r="AO30" t="s">
        <v>21</v>
      </c>
      <c r="AP30" t="s">
        <v>3393</v>
      </c>
      <c r="AQ30"/>
      <c r="AR30" t="s">
        <v>3394</v>
      </c>
    </row>
    <row r="31" spans="1:44" s="2887" customFormat="1" ht="12.75">
      <c r="A31" s="2885" t="s">
        <v>2824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3391</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3390</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3398</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3395</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3396</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3360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3364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3361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3359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3357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3356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3354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3353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3352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3343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2825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2826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2827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2828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2814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6" t="s">
        <v>2829</v>
      </c>
      <c r="B1" s="3506"/>
      <c r="C1" s="3506"/>
      <c r="D1" s="3506"/>
      <c r="E1" s="3506"/>
      <c r="F1" s="3506"/>
      <c r="G1" s="3507"/>
      <c r="I1" s="2939" t="s">
        <v>2830</v>
      </c>
      <c r="J1" s="2940" t="s">
        <v>2831</v>
      </c>
      <c r="K1" s="2940" t="s">
        <v>2832</v>
      </c>
      <c r="L1" s="2940" t="s">
        <v>2833</v>
      </c>
      <c r="M1" s="2940" t="s">
        <v>2834</v>
      </c>
      <c r="N1" s="2940" t="s">
        <v>2835</v>
      </c>
      <c r="O1" s="2940" t="s">
        <v>2836</v>
      </c>
      <c r="P1" s="2940" t="s">
        <v>2837</v>
      </c>
      <c r="Q1" s="2940" t="s">
        <v>2838</v>
      </c>
      <c r="R1" s="2940" t="s">
        <v>2839</v>
      </c>
      <c r="S1" s="2940" t="s">
        <v>2840</v>
      </c>
      <c r="T1" s="2941" t="s">
        <v>2841</v>
      </c>
    </row>
    <row r="2" spans="1:20" ht="12" thickBot="1">
      <c r="A2" s="2942" t="s">
        <v>2842</v>
      </c>
      <c r="B2" s="2942"/>
      <c r="C2" s="2942"/>
      <c r="D2" s="2942"/>
      <c r="E2" s="2942"/>
      <c r="F2" s="2942"/>
      <c r="G2" s="2943" t="s">
        <v>2843</v>
      </c>
      <c r="I2" s="2944" t="s">
        <v>2844</v>
      </c>
      <c r="J2" s="2944" t="s">
        <v>2845</v>
      </c>
      <c r="K2" s="2944" t="s">
        <v>2846</v>
      </c>
      <c r="L2" s="2944" t="s">
        <v>2847</v>
      </c>
      <c r="M2" s="2944" t="s">
        <v>2848</v>
      </c>
      <c r="N2" s="2944" t="s">
        <v>2849</v>
      </c>
      <c r="O2" s="2944" t="s">
        <v>2850</v>
      </c>
      <c r="P2" s="2944" t="s">
        <v>2851</v>
      </c>
      <c r="Q2" s="2944" t="s">
        <v>2852</v>
      </c>
      <c r="R2" s="2944" t="s">
        <v>2853</v>
      </c>
      <c r="S2" s="2944" t="s">
        <v>2854</v>
      </c>
      <c r="T2" s="2944" t="s">
        <v>2855</v>
      </c>
    </row>
    <row r="3" spans="1:20" s="2950" customFormat="1">
      <c r="A3" s="3504" t="s">
        <v>2856</v>
      </c>
      <c r="B3" s="2945"/>
      <c r="C3" s="2946" t="s">
        <v>2801</v>
      </c>
      <c r="D3" s="2946" t="s">
        <v>2857</v>
      </c>
      <c r="E3" s="2946" t="s">
        <v>2803</v>
      </c>
      <c r="F3" s="2946" t="s">
        <v>2858</v>
      </c>
      <c r="G3" s="2946" t="s">
        <v>2621</v>
      </c>
      <c r="H3" s="2947"/>
      <c r="I3" s="2948" t="s">
        <v>2859</v>
      </c>
      <c r="J3" s="2949" t="s">
        <v>128</v>
      </c>
      <c r="K3" s="2949" t="s">
        <v>129</v>
      </c>
      <c r="L3" s="2948" t="s">
        <v>130</v>
      </c>
      <c r="M3" s="2948" t="s">
        <v>131</v>
      </c>
      <c r="N3" s="2948" t="s">
        <v>132</v>
      </c>
      <c r="O3" s="2948" t="s">
        <v>133</v>
      </c>
      <c r="P3" s="2948" t="s">
        <v>134</v>
      </c>
      <c r="Q3" s="2948" t="s">
        <v>135</v>
      </c>
      <c r="R3" s="2948" t="s">
        <v>136</v>
      </c>
      <c r="S3" s="2948" t="s">
        <v>2860</v>
      </c>
      <c r="T3" s="2948" t="s">
        <v>2861</v>
      </c>
    </row>
    <row r="4" spans="1:20" s="2950" customFormat="1" ht="12" thickBot="1">
      <c r="A4" s="3505"/>
      <c r="B4" s="2951" t="s">
        <v>2862</v>
      </c>
      <c r="C4" s="2951" t="s">
        <v>2863</v>
      </c>
      <c r="D4" s="2951" t="s">
        <v>2863</v>
      </c>
      <c r="E4" s="2951" t="s">
        <v>2863</v>
      </c>
      <c r="F4" s="2952" t="s">
        <v>2863</v>
      </c>
      <c r="G4" s="2952" t="s">
        <v>2863</v>
      </c>
      <c r="H4" s="2947"/>
      <c r="I4" s="2949" t="s">
        <v>137</v>
      </c>
      <c r="J4" s="2949" t="s">
        <v>111</v>
      </c>
      <c r="K4" s="2949" t="s">
        <v>138</v>
      </c>
      <c r="L4" s="2948" t="s">
        <v>139</v>
      </c>
      <c r="M4" s="2948" t="s">
        <v>140</v>
      </c>
      <c r="N4" s="2948" t="s">
        <v>141</v>
      </c>
      <c r="O4" s="2948" t="s">
        <v>142</v>
      </c>
      <c r="P4" s="2948" t="s">
        <v>143</v>
      </c>
      <c r="Q4" s="2948" t="s">
        <v>2864</v>
      </c>
      <c r="R4" s="2948" t="s">
        <v>2865</v>
      </c>
      <c r="S4" s="2948" t="s">
        <v>2866</v>
      </c>
      <c r="T4" s="2948" t="s">
        <v>2867</v>
      </c>
    </row>
    <row r="5" spans="1:20">
      <c r="A5" s="2953" t="s">
        <v>2830</v>
      </c>
      <c r="B5" s="2944" t="s">
        <v>2844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2868</v>
      </c>
      <c r="R5" s="2948" t="s">
        <v>2869</v>
      </c>
      <c r="S5" s="2948" t="s">
        <v>153</v>
      </c>
      <c r="T5" s="2948" t="s">
        <v>2870</v>
      </c>
    </row>
    <row r="6" spans="1:20" ht="12" thickBot="1">
      <c r="A6" s="2948" t="s">
        <v>144</v>
      </c>
      <c r="B6" s="2948" t="s">
        <v>2859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2871</v>
      </c>
      <c r="Q6" s="2948" t="s">
        <v>2872</v>
      </c>
      <c r="R6" s="2948" t="s">
        <v>161</v>
      </c>
      <c r="S6" s="2948" t="s">
        <v>2873</v>
      </c>
      <c r="T6" s="2948" t="s">
        <v>2874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2875</v>
      </c>
      <c r="Q7" s="2948" t="s">
        <v>2876</v>
      </c>
      <c r="R7" s="2948" t="s">
        <v>2877</v>
      </c>
      <c r="S7" s="2948" t="s">
        <v>2878</v>
      </c>
      <c r="T7" s="2948" t="s">
        <v>2879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2880</v>
      </c>
      <c r="Q8" s="2948" t="s">
        <v>174</v>
      </c>
      <c r="R8" s="2948" t="s">
        <v>2881</v>
      </c>
      <c r="S8" s="2948" t="s">
        <v>2882</v>
      </c>
      <c r="T8" s="2955" t="s">
        <v>2883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2884</v>
      </c>
      <c r="Q9" s="2948" t="s">
        <v>182</v>
      </c>
      <c r="R9" s="2948" t="s">
        <v>183</v>
      </c>
      <c r="S9" s="2948" t="s">
        <v>200</v>
      </c>
    </row>
    <row r="10" spans="1:20">
      <c r="A10" s="2953" t="s">
        <v>184</v>
      </c>
      <c r="B10" s="2944" t="s">
        <v>2845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2886</v>
      </c>
      <c r="P11" s="2948" t="s">
        <v>191</v>
      </c>
      <c r="Q11" s="2948" t="s">
        <v>199</v>
      </c>
      <c r="R11" s="2948" t="s">
        <v>2887</v>
      </c>
      <c r="S11" s="2948" t="s">
        <v>2888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2889</v>
      </c>
      <c r="P12" s="2948" t="s">
        <v>2890</v>
      </c>
      <c r="Q12" s="2948" t="s">
        <v>2891</v>
      </c>
      <c r="R12" s="2948" t="s">
        <v>2892</v>
      </c>
      <c r="S12" s="2948" t="s">
        <v>2893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2895</v>
      </c>
      <c r="K14" s="2949" t="s">
        <v>215</v>
      </c>
      <c r="L14" s="2948" t="s">
        <v>216</v>
      </c>
      <c r="M14" s="2948" t="s">
        <v>217</v>
      </c>
      <c r="N14" s="2948" t="s">
        <v>218</v>
      </c>
      <c r="O14" s="2948" t="s">
        <v>240</v>
      </c>
      <c r="P14" s="2948" t="s">
        <v>213</v>
      </c>
      <c r="Q14" s="2948" t="s">
        <v>2896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2897</v>
      </c>
      <c r="P15" s="2948" t="s">
        <v>2898</v>
      </c>
      <c r="Q15" s="2948" t="s">
        <v>242</v>
      </c>
      <c r="R15" s="2948" t="s">
        <v>2899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2900</v>
      </c>
      <c r="P16" s="2948" t="s">
        <v>227</v>
      </c>
      <c r="Q16" s="2948" t="s">
        <v>250</v>
      </c>
      <c r="R16" s="2948" t="s">
        <v>207</v>
      </c>
      <c r="S16" s="2948" t="s">
        <v>2901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2902</v>
      </c>
      <c r="P17" s="2948" t="s">
        <v>2903</v>
      </c>
      <c r="Q17" s="2948" t="s">
        <v>256</v>
      </c>
      <c r="R17" s="2948" t="s">
        <v>2904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2905</v>
      </c>
      <c r="P18" s="2948" t="s">
        <v>241</v>
      </c>
      <c r="Q18" s="2948" t="s">
        <v>2906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2907</v>
      </c>
      <c r="P19" s="2948" t="s">
        <v>249</v>
      </c>
      <c r="Q19" s="2948" t="s">
        <v>2908</v>
      </c>
      <c r="R19" s="2948" t="s">
        <v>265</v>
      </c>
      <c r="S19" s="2948" t="s">
        <v>2909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2910</v>
      </c>
      <c r="P20" s="2948" t="s">
        <v>2911</v>
      </c>
      <c r="Q20" s="2948" t="s">
        <v>290</v>
      </c>
      <c r="R20" s="2948" t="s">
        <v>2912</v>
      </c>
      <c r="S20" s="2948" t="s">
        <v>277</v>
      </c>
    </row>
    <row r="21" spans="1:19" ht="14.25" customHeight="1" thickBot="1">
      <c r="A21" s="2948" t="s">
        <v>184</v>
      </c>
      <c r="B21" s="2949" t="s">
        <v>208</v>
      </c>
      <c r="C21" s="2948">
        <v>32370</v>
      </c>
      <c r="D21" s="2948">
        <v>26730</v>
      </c>
      <c r="E21" s="2948">
        <v>26640</v>
      </c>
      <c r="F21" s="2948"/>
      <c r="G21" s="2948">
        <v>19440</v>
      </c>
      <c r="J21" s="2955" t="s">
        <v>2913</v>
      </c>
      <c r="K21" s="2949" t="s">
        <v>267</v>
      </c>
      <c r="L21" s="2948" t="s">
        <v>268</v>
      </c>
      <c r="M21" s="2948" t="s">
        <v>269</v>
      </c>
      <c r="N21" s="2948" t="s">
        <v>270</v>
      </c>
      <c r="O21" s="2948" t="s">
        <v>264</v>
      </c>
      <c r="P21" s="2948" t="s">
        <v>283</v>
      </c>
      <c r="Q21" s="2948" t="s">
        <v>293</v>
      </c>
      <c r="R21" s="2948" t="s">
        <v>2914</v>
      </c>
      <c r="S21" s="2955" t="s">
        <v>2915</v>
      </c>
    </row>
    <row r="22" spans="1:19" ht="14.25" customHeight="1">
      <c r="A22" s="2948" t="s">
        <v>184</v>
      </c>
      <c r="B22" s="2949" t="s">
        <v>2895</v>
      </c>
      <c r="C22" s="2948">
        <v>29830</v>
      </c>
      <c r="D22" s="2948">
        <v>27600</v>
      </c>
      <c r="E22" s="2948">
        <v>28150</v>
      </c>
      <c r="F22" s="2948"/>
      <c r="G22" s="2948">
        <v>20080</v>
      </c>
      <c r="K22" s="2949" t="s">
        <v>2916</v>
      </c>
      <c r="L22" s="2948" t="s">
        <v>272</v>
      </c>
      <c r="M22" s="2948" t="s">
        <v>273</v>
      </c>
      <c r="N22" s="2948" t="s">
        <v>274</v>
      </c>
      <c r="O22" s="2948" t="s">
        <v>2917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2918</v>
      </c>
      <c r="L23" s="2948" t="s">
        <v>278</v>
      </c>
      <c r="M23" s="2948" t="s">
        <v>279</v>
      </c>
      <c r="N23" s="2948" t="s">
        <v>2919</v>
      </c>
      <c r="O23" s="2948" t="s">
        <v>2920</v>
      </c>
      <c r="P23" s="2948" t="s">
        <v>289</v>
      </c>
      <c r="Q23" s="2948" t="s">
        <v>298</v>
      </c>
      <c r="R23" s="2948" t="s">
        <v>2921</v>
      </c>
    </row>
    <row r="24" spans="1:19" ht="14.25" customHeight="1">
      <c r="A24" s="2948" t="s">
        <v>184</v>
      </c>
      <c r="B24" s="2949" t="s">
        <v>230</v>
      </c>
      <c r="C24" s="2948">
        <v>27930</v>
      </c>
      <c r="D24" s="2948">
        <v>32260</v>
      </c>
      <c r="E24" s="2948">
        <v>32120</v>
      </c>
      <c r="F24" s="2948"/>
      <c r="G24" s="2948">
        <v>23470</v>
      </c>
      <c r="K24" s="2949" t="s">
        <v>2922</v>
      </c>
      <c r="L24" s="2948" t="s">
        <v>281</v>
      </c>
      <c r="M24" s="2948" t="s">
        <v>282</v>
      </c>
      <c r="N24" s="2948" t="s">
        <v>2923</v>
      </c>
      <c r="O24" s="2948" t="s">
        <v>285</v>
      </c>
      <c r="P24" s="2948" t="s">
        <v>2924</v>
      </c>
      <c r="Q24" s="2957" t="s">
        <v>2925</v>
      </c>
      <c r="R24" s="2948" t="s">
        <v>2926</v>
      </c>
    </row>
    <row r="25" spans="1:19" ht="14.25" customHeight="1">
      <c r="A25" s="2948" t="s">
        <v>184</v>
      </c>
      <c r="B25" s="2949" t="s">
        <v>235</v>
      </c>
      <c r="C25" s="2948">
        <v>32230</v>
      </c>
      <c r="D25" s="2948">
        <v>29640</v>
      </c>
      <c r="E25" s="2948">
        <v>29510</v>
      </c>
      <c r="F25" s="2948"/>
      <c r="G25" s="2948">
        <v>21560</v>
      </c>
      <c r="K25" s="2949" t="s">
        <v>2927</v>
      </c>
      <c r="L25" s="2948" t="s">
        <v>2928</v>
      </c>
      <c r="M25" s="2948" t="s">
        <v>284</v>
      </c>
      <c r="N25" s="2948" t="s">
        <v>292</v>
      </c>
      <c r="O25" s="2948" t="s">
        <v>288</v>
      </c>
      <c r="P25" s="2948" t="s">
        <v>275</v>
      </c>
      <c r="Q25" s="2957" t="s">
        <v>271</v>
      </c>
      <c r="R25" s="2948" t="s">
        <v>2929</v>
      </c>
    </row>
    <row r="26" spans="1:19" ht="14.25" customHeight="1" thickBot="1">
      <c r="A26" s="2948" t="s">
        <v>184</v>
      </c>
      <c r="B26" s="2949" t="s">
        <v>244</v>
      </c>
      <c r="C26" s="2948">
        <v>31690</v>
      </c>
      <c r="D26" s="2948">
        <v>27650</v>
      </c>
      <c r="E26" s="2948">
        <v>28200</v>
      </c>
      <c r="F26" s="2948"/>
      <c r="G26" s="2948">
        <v>20110</v>
      </c>
      <c r="K26" s="2954" t="s">
        <v>2930</v>
      </c>
      <c r="L26" s="2948" t="s">
        <v>2931</v>
      </c>
      <c r="M26" s="2948" t="s">
        <v>287</v>
      </c>
      <c r="N26" s="2948" t="s">
        <v>294</v>
      </c>
      <c r="O26" s="2948" t="s">
        <v>2932</v>
      </c>
      <c r="P26" s="2948" t="s">
        <v>2933</v>
      </c>
      <c r="Q26" s="2957" t="s">
        <v>276</v>
      </c>
      <c r="R26" s="2948" t="s">
        <v>2934</v>
      </c>
    </row>
    <row r="27" spans="1:19" ht="14.25" customHeight="1">
      <c r="A27" s="2948" t="s">
        <v>184</v>
      </c>
      <c r="B27" s="2949" t="s">
        <v>251</v>
      </c>
      <c r="C27" s="2948">
        <v>29610</v>
      </c>
      <c r="D27" s="2948">
        <v>27770</v>
      </c>
      <c r="E27" s="2948">
        <v>28300</v>
      </c>
      <c r="F27" s="2948"/>
      <c r="G27" s="2948">
        <v>20210</v>
      </c>
      <c r="L27" s="2948" t="s">
        <v>2935</v>
      </c>
      <c r="M27" s="2948" t="s">
        <v>291</v>
      </c>
      <c r="N27" s="2948" t="s">
        <v>297</v>
      </c>
      <c r="O27" s="2948" t="s">
        <v>2936</v>
      </c>
      <c r="P27" s="2948" t="s">
        <v>2937</v>
      </c>
      <c r="Q27" s="2948" t="s">
        <v>2938</v>
      </c>
      <c r="R27" s="2948" t="s">
        <v>2939</v>
      </c>
    </row>
    <row r="28" spans="1:19" ht="14.25" customHeight="1">
      <c r="A28" s="2948" t="s">
        <v>184</v>
      </c>
      <c r="B28" s="2949" t="s">
        <v>259</v>
      </c>
      <c r="C28" s="2948"/>
      <c r="D28" s="2948">
        <v>31520</v>
      </c>
      <c r="E28" s="2948">
        <v>31410</v>
      </c>
      <c r="F28" s="2948"/>
      <c r="G28" s="2948">
        <v>22940</v>
      </c>
      <c r="L28" s="2948" t="s">
        <v>2940</v>
      </c>
      <c r="M28" s="2948" t="s">
        <v>2941</v>
      </c>
      <c r="N28" s="2948" t="s">
        <v>2942</v>
      </c>
      <c r="O28" s="2948" t="s">
        <v>2943</v>
      </c>
      <c r="P28" s="2948" t="s">
        <v>2944</v>
      </c>
      <c r="Q28" s="2948" t="s">
        <v>2945</v>
      </c>
      <c r="R28" s="2948" t="s">
        <v>2946</v>
      </c>
    </row>
    <row r="29" spans="1:19" ht="14.25" customHeight="1" thickBot="1">
      <c r="A29" s="2956" t="s">
        <v>184</v>
      </c>
      <c r="B29" s="2958" t="s">
        <v>2913</v>
      </c>
      <c r="C29" s="2959"/>
      <c r="D29" s="2959">
        <v>29460</v>
      </c>
      <c r="E29" s="2959">
        <v>28640</v>
      </c>
      <c r="F29" s="2959"/>
      <c r="G29" s="2959">
        <v>21430</v>
      </c>
      <c r="L29" s="2948" t="s">
        <v>2947</v>
      </c>
      <c r="M29" s="2948" t="s">
        <v>2948</v>
      </c>
      <c r="N29" s="2948" t="s">
        <v>2949</v>
      </c>
      <c r="O29" s="2948" t="s">
        <v>2950</v>
      </c>
      <c r="P29" s="2948" t="s">
        <v>2951</v>
      </c>
      <c r="Q29" s="2948" t="s">
        <v>2952</v>
      </c>
      <c r="R29" s="2948" t="s">
        <v>280</v>
      </c>
    </row>
    <row r="30" spans="1:19" ht="14.25" customHeight="1">
      <c r="A30" s="2953" t="s">
        <v>296</v>
      </c>
      <c r="B30" s="2944" t="s">
        <v>2846</v>
      </c>
      <c r="C30" s="2944">
        <v>26890</v>
      </c>
      <c r="D30" s="2944">
        <v>26770</v>
      </c>
      <c r="E30" s="2944">
        <v>25700</v>
      </c>
      <c r="F30" s="2944">
        <v>8180</v>
      </c>
      <c r="G30" s="2960">
        <v>18740</v>
      </c>
      <c r="L30" s="2948" t="s">
        <v>2953</v>
      </c>
      <c r="M30" s="2948" t="s">
        <v>2954</v>
      </c>
      <c r="N30" s="2948" t="s">
        <v>2955</v>
      </c>
      <c r="O30" s="2948" t="s">
        <v>2956</v>
      </c>
      <c r="P30" s="2948" t="s">
        <v>2957</v>
      </c>
      <c r="Q30" s="2948" t="s">
        <v>2958</v>
      </c>
      <c r="R30" s="2948" t="s">
        <v>2959</v>
      </c>
    </row>
    <row r="31" spans="1:19" ht="14.25" customHeight="1">
      <c r="A31" s="2948" t="s">
        <v>296</v>
      </c>
      <c r="B31" s="2949" t="s">
        <v>129</v>
      </c>
      <c r="C31" s="2948">
        <v>24550</v>
      </c>
      <c r="D31" s="2948">
        <v>23990</v>
      </c>
      <c r="E31" s="2948">
        <v>22930</v>
      </c>
      <c r="F31" s="2948">
        <v>7470</v>
      </c>
      <c r="G31" s="2961">
        <v>16790</v>
      </c>
      <c r="L31" s="2948" t="s">
        <v>2960</v>
      </c>
      <c r="M31" s="2948" t="s">
        <v>2961</v>
      </c>
      <c r="N31" s="2948" t="s">
        <v>2962</v>
      </c>
      <c r="O31" s="2948" t="s">
        <v>2963</v>
      </c>
      <c r="P31" s="2948" t="s">
        <v>2964</v>
      </c>
      <c r="Q31" s="2948" t="s">
        <v>2965</v>
      </c>
      <c r="R31" s="2948" t="s">
        <v>2966</v>
      </c>
    </row>
    <row r="32" spans="1:19" ht="14.25" customHeight="1" thickBot="1">
      <c r="A32" s="2948" t="s">
        <v>296</v>
      </c>
      <c r="B32" s="2949" t="s">
        <v>138</v>
      </c>
      <c r="C32" s="2948">
        <v>27210</v>
      </c>
      <c r="D32" s="2948">
        <v>23240</v>
      </c>
      <c r="E32" s="2948">
        <v>23260</v>
      </c>
      <c r="F32" s="2948">
        <v>7130</v>
      </c>
      <c r="G32" s="2961">
        <v>16270</v>
      </c>
      <c r="L32" s="2948" t="s">
        <v>2967</v>
      </c>
      <c r="M32" s="2948" t="s">
        <v>2968</v>
      </c>
      <c r="N32" s="2948" t="s">
        <v>300</v>
      </c>
      <c r="O32" s="2948" t="s">
        <v>2969</v>
      </c>
      <c r="P32" s="2948" t="s">
        <v>299</v>
      </c>
      <c r="Q32" s="2948" t="s">
        <v>2970</v>
      </c>
      <c r="R32" s="2955" t="s">
        <v>2971</v>
      </c>
    </row>
    <row r="33" spans="1:17" ht="14.25" customHeight="1" thickBot="1">
      <c r="A33" s="2948" t="s">
        <v>296</v>
      </c>
      <c r="B33" s="2949" t="s">
        <v>147</v>
      </c>
      <c r="C33" s="2948">
        <v>27300</v>
      </c>
      <c r="D33" s="2948">
        <v>22980</v>
      </c>
      <c r="E33" s="2948">
        <v>24260</v>
      </c>
      <c r="F33" s="2948">
        <v>5860</v>
      </c>
      <c r="G33" s="2961">
        <v>16090</v>
      </c>
      <c r="L33" s="2955" t="s">
        <v>2972</v>
      </c>
      <c r="M33" s="2948" t="s">
        <v>2973</v>
      </c>
      <c r="N33" s="2948" t="s">
        <v>301</v>
      </c>
      <c r="O33" s="2948" t="s">
        <v>2974</v>
      </c>
      <c r="P33" s="2948" t="s">
        <v>2975</v>
      </c>
      <c r="Q33" s="2948" t="s">
        <v>2976</v>
      </c>
    </row>
    <row r="34" spans="1:17" ht="14.25" customHeight="1">
      <c r="A34" s="2948" t="s">
        <v>296</v>
      </c>
      <c r="B34" s="2949" t="s">
        <v>156</v>
      </c>
      <c r="C34" s="2948">
        <v>23090</v>
      </c>
      <c r="D34" s="2948">
        <v>23390</v>
      </c>
      <c r="E34" s="2948">
        <v>23510</v>
      </c>
      <c r="F34" s="2948">
        <v>6700</v>
      </c>
      <c r="G34" s="2961">
        <v>16370</v>
      </c>
      <c r="M34" s="2948" t="s">
        <v>2977</v>
      </c>
      <c r="N34" s="2948" t="s">
        <v>302</v>
      </c>
      <c r="O34" s="2948" t="s">
        <v>2978</v>
      </c>
      <c r="P34" s="2948" t="s">
        <v>2979</v>
      </c>
      <c r="Q34" s="2948" t="s">
        <v>2980</v>
      </c>
    </row>
    <row r="35" spans="1:17" ht="14.25" customHeight="1">
      <c r="A35" s="2948" t="s">
        <v>296</v>
      </c>
      <c r="B35" s="2949" t="s">
        <v>163</v>
      </c>
      <c r="C35" s="2948">
        <v>27270</v>
      </c>
      <c r="D35" s="2948">
        <v>24270</v>
      </c>
      <c r="E35" s="2948">
        <v>24950</v>
      </c>
      <c r="F35" s="2948">
        <v>6600</v>
      </c>
      <c r="G35" s="2961">
        <v>16990</v>
      </c>
      <c r="M35" s="2948" t="s">
        <v>2981</v>
      </c>
      <c r="N35" s="2948" t="s">
        <v>2982</v>
      </c>
      <c r="O35" s="2948" t="s">
        <v>2983</v>
      </c>
      <c r="P35" s="2948" t="s">
        <v>2984</v>
      </c>
      <c r="Q35" s="2948" t="s">
        <v>2985</v>
      </c>
    </row>
    <row r="36" spans="1:17" ht="14.25" customHeight="1">
      <c r="A36" s="2948" t="s">
        <v>296</v>
      </c>
      <c r="B36" s="2949" t="s">
        <v>169</v>
      </c>
      <c r="C36" s="2948">
        <v>23490</v>
      </c>
      <c r="D36" s="2948">
        <v>23020</v>
      </c>
      <c r="E36" s="2948">
        <v>25230</v>
      </c>
      <c r="F36" s="2948">
        <v>6780</v>
      </c>
      <c r="G36" s="2961">
        <v>16120</v>
      </c>
      <c r="M36" s="2948" t="s">
        <v>2986</v>
      </c>
      <c r="N36" s="2948" t="s">
        <v>2987</v>
      </c>
      <c r="O36" s="2948" t="s">
        <v>2988</v>
      </c>
      <c r="P36" s="2948" t="s">
        <v>2989</v>
      </c>
      <c r="Q36" s="2948" t="s">
        <v>2990</v>
      </c>
    </row>
    <row r="37" spans="1:17" ht="14.25" customHeight="1">
      <c r="A37" s="2948" t="s">
        <v>296</v>
      </c>
      <c r="B37" s="2949" t="s">
        <v>176</v>
      </c>
      <c r="C37" s="2948">
        <v>24380</v>
      </c>
      <c r="D37" s="2948">
        <v>22240</v>
      </c>
      <c r="E37" s="2948">
        <v>25980</v>
      </c>
      <c r="F37" s="2948">
        <v>8160</v>
      </c>
      <c r="G37" s="2961">
        <v>15570</v>
      </c>
      <c r="M37" s="2948" t="s">
        <v>2991</v>
      </c>
      <c r="N37" s="2948" t="s">
        <v>2992</v>
      </c>
      <c r="O37" s="2948" t="s">
        <v>2993</v>
      </c>
      <c r="P37" s="2948" t="s">
        <v>2994</v>
      </c>
      <c r="Q37" s="2948" t="s">
        <v>2995</v>
      </c>
    </row>
    <row r="38" spans="1:17" ht="14.25" customHeight="1">
      <c r="A38" s="2948" t="s">
        <v>296</v>
      </c>
      <c r="B38" s="2949" t="s">
        <v>186</v>
      </c>
      <c r="C38" s="2948">
        <v>23120</v>
      </c>
      <c r="D38" s="2948">
        <v>24630</v>
      </c>
      <c r="E38" s="2948">
        <v>25030</v>
      </c>
      <c r="F38" s="2948">
        <v>7710</v>
      </c>
      <c r="G38" s="2961">
        <v>17240</v>
      </c>
      <c r="M38" s="2948" t="s">
        <v>2996</v>
      </c>
      <c r="N38" s="2948" t="s">
        <v>2997</v>
      </c>
      <c r="O38" s="2948" t="s">
        <v>2998</v>
      </c>
      <c r="P38" s="2948" t="s">
        <v>2999</v>
      </c>
      <c r="Q38" s="2948" t="s">
        <v>3000</v>
      </c>
    </row>
    <row r="39" spans="1:17" ht="14.25" customHeight="1">
      <c r="A39" s="2948" t="s">
        <v>296</v>
      </c>
      <c r="B39" s="2949" t="s">
        <v>195</v>
      </c>
      <c r="C39" s="2948">
        <v>22330</v>
      </c>
      <c r="D39" s="2948">
        <v>21140</v>
      </c>
      <c r="E39" s="2948">
        <v>23970</v>
      </c>
      <c r="F39" s="2948">
        <v>7940</v>
      </c>
      <c r="G39" s="2961">
        <v>14790</v>
      </c>
      <c r="M39" s="2948" t="s">
        <v>3001</v>
      </c>
      <c r="N39" s="2948" t="s">
        <v>3002</v>
      </c>
      <c r="O39" s="2948" t="s">
        <v>3003</v>
      </c>
      <c r="P39" s="2948" t="s">
        <v>3004</v>
      </c>
      <c r="Q39" s="2948" t="s">
        <v>3005</v>
      </c>
    </row>
    <row r="40" spans="1:17" ht="14.25" customHeight="1">
      <c r="A40" s="2948" t="s">
        <v>296</v>
      </c>
      <c r="B40" s="2949" t="s">
        <v>202</v>
      </c>
      <c r="C40" s="2948">
        <v>24740</v>
      </c>
      <c r="D40" s="2948">
        <v>24690</v>
      </c>
      <c r="E40" s="2948">
        <v>22610</v>
      </c>
      <c r="F40" s="2948"/>
      <c r="G40" s="2961">
        <v>17280</v>
      </c>
      <c r="M40" s="2948" t="s">
        <v>3006</v>
      </c>
      <c r="N40" s="2948" t="s">
        <v>3007</v>
      </c>
      <c r="O40" s="2948" t="s">
        <v>3008</v>
      </c>
      <c r="P40" s="2948" t="s">
        <v>3009</v>
      </c>
      <c r="Q40" s="2948" t="s">
        <v>3010</v>
      </c>
    </row>
    <row r="41" spans="1:17" ht="14.25" customHeight="1" thickBot="1">
      <c r="A41" s="2948" t="s">
        <v>296</v>
      </c>
      <c r="B41" s="2949" t="s">
        <v>209</v>
      </c>
      <c r="C41" s="2948">
        <v>21220</v>
      </c>
      <c r="D41" s="2948">
        <v>21120</v>
      </c>
      <c r="E41" s="2948">
        <v>22590</v>
      </c>
      <c r="F41" s="2948"/>
      <c r="G41" s="2961">
        <v>14780</v>
      </c>
      <c r="M41" s="2955" t="s">
        <v>3011</v>
      </c>
      <c r="N41" s="2948" t="s">
        <v>3012</v>
      </c>
      <c r="O41" s="2948" t="s">
        <v>3013</v>
      </c>
      <c r="P41" s="2948" t="s">
        <v>3014</v>
      </c>
      <c r="Q41" s="2948" t="s">
        <v>3015</v>
      </c>
    </row>
    <row r="42" spans="1:17" ht="14.25" customHeight="1">
      <c r="A42" s="2948" t="s">
        <v>296</v>
      </c>
      <c r="B42" s="2949" t="s">
        <v>215</v>
      </c>
      <c r="C42" s="2948">
        <v>24800</v>
      </c>
      <c r="D42" s="2948">
        <v>22280</v>
      </c>
      <c r="E42" s="2948">
        <v>24350</v>
      </c>
      <c r="F42" s="2948"/>
      <c r="G42" s="2961">
        <v>15590</v>
      </c>
      <c r="N42" s="2948" t="s">
        <v>3016</v>
      </c>
      <c r="O42" s="2948" t="s">
        <v>3017</v>
      </c>
      <c r="P42" s="2948" t="s">
        <v>3018</v>
      </c>
      <c r="Q42" s="2948" t="s">
        <v>3019</v>
      </c>
    </row>
    <row r="43" spans="1:17" ht="14.25" customHeight="1">
      <c r="A43" s="2948" t="s">
        <v>3020</v>
      </c>
      <c r="B43" s="2949" t="s">
        <v>223</v>
      </c>
      <c r="C43" s="2948">
        <v>21210</v>
      </c>
      <c r="D43" s="2948">
        <v>21160</v>
      </c>
      <c r="E43" s="2948">
        <v>22650</v>
      </c>
      <c r="F43" s="2948"/>
      <c r="G43" s="2961">
        <v>14800</v>
      </c>
      <c r="N43" s="2948" t="s">
        <v>3021</v>
      </c>
      <c r="O43" s="2948" t="s">
        <v>3022</v>
      </c>
      <c r="P43" s="2948" t="s">
        <v>3023</v>
      </c>
      <c r="Q43" s="2948" t="s">
        <v>3024</v>
      </c>
    </row>
    <row r="44" spans="1:17" ht="14.25" customHeight="1" thickBot="1">
      <c r="A44" s="2948" t="s">
        <v>296</v>
      </c>
      <c r="B44" s="2949" t="s">
        <v>231</v>
      </c>
      <c r="C44" s="2948">
        <v>22370</v>
      </c>
      <c r="D44" s="2948">
        <v>23140</v>
      </c>
      <c r="E44" s="2948">
        <v>25090</v>
      </c>
      <c r="F44" s="2948"/>
      <c r="G44" s="2961">
        <v>16190</v>
      </c>
      <c r="N44" s="2948" t="s">
        <v>3025</v>
      </c>
      <c r="O44" s="2948" t="s">
        <v>3026</v>
      </c>
      <c r="P44" s="2955" t="s">
        <v>3027</v>
      </c>
      <c r="Q44" s="2948" t="s">
        <v>3028</v>
      </c>
    </row>
    <row r="45" spans="1:17" ht="14.25" customHeight="1" thickBot="1">
      <c r="A45" s="2948" t="s">
        <v>296</v>
      </c>
      <c r="B45" s="2949" t="s">
        <v>236</v>
      </c>
      <c r="C45" s="2948">
        <v>21240</v>
      </c>
      <c r="D45" s="2948">
        <v>27050</v>
      </c>
      <c r="E45" s="2948">
        <v>28000</v>
      </c>
      <c r="F45" s="2948"/>
      <c r="G45" s="2961">
        <v>18940</v>
      </c>
      <c r="N45" s="2948" t="s">
        <v>3029</v>
      </c>
      <c r="O45" s="2955" t="s">
        <v>3030</v>
      </c>
      <c r="Q45" s="2948" t="s">
        <v>3031</v>
      </c>
    </row>
    <row r="46" spans="1:17" ht="14.25" customHeight="1">
      <c r="A46" s="2948" t="s">
        <v>296</v>
      </c>
      <c r="B46" s="2949" t="s">
        <v>245</v>
      </c>
      <c r="C46" s="2948">
        <v>23240</v>
      </c>
      <c r="D46" s="2948">
        <v>23000</v>
      </c>
      <c r="E46" s="2948">
        <v>24980</v>
      </c>
      <c r="F46" s="2948"/>
      <c r="G46" s="2961">
        <v>16100</v>
      </c>
      <c r="N46" s="2948" t="s">
        <v>3032</v>
      </c>
      <c r="Q46" s="2948" t="s">
        <v>3033</v>
      </c>
    </row>
    <row r="47" spans="1:17" ht="14.25" customHeight="1">
      <c r="A47" s="2948" t="s">
        <v>296</v>
      </c>
      <c r="B47" s="2949" t="s">
        <v>252</v>
      </c>
      <c r="C47" s="2948">
        <v>27150</v>
      </c>
      <c r="D47" s="2948">
        <v>23310</v>
      </c>
      <c r="E47" s="2948">
        <v>25150</v>
      </c>
      <c r="F47" s="2948"/>
      <c r="G47" s="2961">
        <v>16310</v>
      </c>
      <c r="N47" s="2948" t="s">
        <v>3034</v>
      </c>
      <c r="Q47" s="2948" t="s">
        <v>3035</v>
      </c>
    </row>
    <row r="48" spans="1:17" ht="14.25" customHeight="1">
      <c r="A48" s="2948" t="s">
        <v>296</v>
      </c>
      <c r="B48" s="2949" t="s">
        <v>260</v>
      </c>
      <c r="C48" s="2948">
        <v>23100</v>
      </c>
      <c r="D48" s="2948">
        <v>21110</v>
      </c>
      <c r="E48" s="2948">
        <v>23080</v>
      </c>
      <c r="F48" s="2948"/>
      <c r="G48" s="2961">
        <v>14780</v>
      </c>
      <c r="N48" s="2948" t="s">
        <v>3036</v>
      </c>
      <c r="Q48" s="2948" t="s">
        <v>3037</v>
      </c>
    </row>
    <row r="49" spans="1:17" ht="14.25" customHeight="1">
      <c r="A49" s="2948" t="s">
        <v>296</v>
      </c>
      <c r="B49" s="2949" t="s">
        <v>267</v>
      </c>
      <c r="C49" s="2948">
        <v>23400</v>
      </c>
      <c r="D49" s="2948">
        <v>22920</v>
      </c>
      <c r="E49" s="2948">
        <v>24900</v>
      </c>
      <c r="F49" s="2948"/>
      <c r="G49" s="2961">
        <v>16040</v>
      </c>
      <c r="N49" s="2948" t="s">
        <v>3038</v>
      </c>
      <c r="Q49" s="2948" t="s">
        <v>3039</v>
      </c>
    </row>
    <row r="50" spans="1:17" ht="14.25" customHeight="1">
      <c r="A50" s="2948" t="s">
        <v>296</v>
      </c>
      <c r="B50" s="2949" t="s">
        <v>2916</v>
      </c>
      <c r="C50" s="2948">
        <v>21200</v>
      </c>
      <c r="D50" s="2948">
        <v>26540</v>
      </c>
      <c r="E50" s="2948">
        <v>23200</v>
      </c>
      <c r="F50" s="2948"/>
      <c r="G50" s="2961">
        <v>18580</v>
      </c>
      <c r="N50" s="2948" t="s">
        <v>3040</v>
      </c>
      <c r="Q50" s="2949" t="s">
        <v>3041</v>
      </c>
    </row>
    <row r="51" spans="1:17" ht="14.25" customHeight="1" thickBot="1">
      <c r="A51" s="2948" t="s">
        <v>296</v>
      </c>
      <c r="B51" s="2949" t="s">
        <v>2918</v>
      </c>
      <c r="C51" s="2948">
        <v>23000</v>
      </c>
      <c r="D51" s="2948">
        <v>23460</v>
      </c>
      <c r="E51" s="2948">
        <v>25290</v>
      </c>
      <c r="F51" s="2948"/>
      <c r="G51" s="2961">
        <v>16420</v>
      </c>
      <c r="N51" s="2948" t="s">
        <v>3042</v>
      </c>
      <c r="Q51" s="2955" t="s">
        <v>3043</v>
      </c>
    </row>
    <row r="52" spans="1:17" ht="14.25" customHeight="1">
      <c r="A52" s="2948" t="s">
        <v>296</v>
      </c>
      <c r="B52" s="2949" t="s">
        <v>2922</v>
      </c>
      <c r="C52" s="2948">
        <v>26660</v>
      </c>
      <c r="D52" s="2948">
        <v>22350</v>
      </c>
      <c r="E52" s="2948">
        <v>22920</v>
      </c>
      <c r="F52" s="2948"/>
      <c r="G52" s="2961">
        <v>15640</v>
      </c>
      <c r="N52" s="2948" t="s">
        <v>3044</v>
      </c>
    </row>
    <row r="53" spans="1:17" ht="14.25" customHeight="1">
      <c r="A53" s="2948" t="s">
        <v>296</v>
      </c>
      <c r="B53" s="2949" t="s">
        <v>2927</v>
      </c>
      <c r="C53" s="2948">
        <v>23580</v>
      </c>
      <c r="D53" s="2948"/>
      <c r="E53" s="2948">
        <v>24280</v>
      </c>
      <c r="F53" s="2948"/>
      <c r="G53" s="2961"/>
      <c r="N53" s="2948" t="s">
        <v>3045</v>
      </c>
    </row>
    <row r="54" spans="1:17" ht="14.25" customHeight="1" thickBot="1">
      <c r="A54" s="2962" t="s">
        <v>296</v>
      </c>
      <c r="B54" s="2954" t="s">
        <v>2930</v>
      </c>
      <c r="C54" s="2955">
        <v>22460</v>
      </c>
      <c r="D54" s="2955"/>
      <c r="E54" s="2955"/>
      <c r="F54" s="2955"/>
      <c r="G54" s="2963"/>
      <c r="N54" s="2948" t="s">
        <v>3046</v>
      </c>
    </row>
    <row r="55" spans="1:17" ht="14.25" customHeight="1">
      <c r="A55" s="2953" t="s">
        <v>110</v>
      </c>
      <c r="B55" s="2944" t="s">
        <v>3047</v>
      </c>
      <c r="C55" s="2948">
        <v>21970</v>
      </c>
      <c r="D55" s="2948">
        <v>20370</v>
      </c>
      <c r="E55" s="2948">
        <v>20180</v>
      </c>
      <c r="F55" s="2948">
        <v>5730</v>
      </c>
      <c r="G55" s="2948">
        <v>13820</v>
      </c>
      <c r="N55" s="2948" t="s">
        <v>3048</v>
      </c>
    </row>
    <row r="56" spans="1:17" ht="14.25" customHeight="1">
      <c r="A56" s="2948" t="s">
        <v>110</v>
      </c>
      <c r="B56" s="2948" t="s">
        <v>130</v>
      </c>
      <c r="C56" s="2948">
        <v>20470</v>
      </c>
      <c r="D56" s="2948">
        <v>20700</v>
      </c>
      <c r="E56" s="2948">
        <v>20380</v>
      </c>
      <c r="F56" s="2948">
        <v>4760</v>
      </c>
      <c r="G56" s="2948">
        <v>14050</v>
      </c>
      <c r="N56" s="2948" t="s">
        <v>3049</v>
      </c>
    </row>
    <row r="57" spans="1:17" ht="14.25" customHeight="1">
      <c r="A57" s="2948" t="s">
        <v>110</v>
      </c>
      <c r="B57" s="2948" t="s">
        <v>139</v>
      </c>
      <c r="C57" s="2948">
        <v>20790</v>
      </c>
      <c r="D57" s="2948">
        <v>21370</v>
      </c>
      <c r="E57" s="2948">
        <v>20890</v>
      </c>
      <c r="F57" s="2948">
        <v>4910</v>
      </c>
      <c r="G57" s="2948">
        <v>14510</v>
      </c>
      <c r="N57" s="2948" t="s">
        <v>3050</v>
      </c>
    </row>
    <row r="58" spans="1:17" ht="14.25" customHeight="1">
      <c r="A58" s="2948" t="s">
        <v>110</v>
      </c>
      <c r="B58" s="2948" t="s">
        <v>148</v>
      </c>
      <c r="C58" s="2948">
        <v>21460</v>
      </c>
      <c r="D58" s="2948">
        <v>20920</v>
      </c>
      <c r="E58" s="2948">
        <v>23410</v>
      </c>
      <c r="F58" s="2948">
        <v>5100</v>
      </c>
      <c r="G58" s="2948">
        <v>14200</v>
      </c>
      <c r="N58" s="2948" t="s">
        <v>3051</v>
      </c>
    </row>
    <row r="59" spans="1:17" ht="14.25" customHeight="1">
      <c r="A59" s="2948" t="s">
        <v>110</v>
      </c>
      <c r="B59" s="2948" t="s">
        <v>157</v>
      </c>
      <c r="C59" s="2948">
        <v>21000</v>
      </c>
      <c r="D59" s="2948">
        <v>21550</v>
      </c>
      <c r="E59" s="2948">
        <v>21150</v>
      </c>
      <c r="F59" s="2948">
        <v>5250</v>
      </c>
      <c r="G59" s="2948">
        <v>14630</v>
      </c>
      <c r="N59" s="2948" t="s">
        <v>3052</v>
      </c>
    </row>
    <row r="60" spans="1:17" ht="14.25" customHeight="1">
      <c r="A60" s="2948" t="s">
        <v>110</v>
      </c>
      <c r="B60" s="2948" t="s">
        <v>164</v>
      </c>
      <c r="C60" s="2948">
        <v>21640</v>
      </c>
      <c r="D60" s="2948">
        <v>21260</v>
      </c>
      <c r="E60" s="2948">
        <v>24040</v>
      </c>
      <c r="F60" s="2948">
        <v>4470</v>
      </c>
      <c r="G60" s="2948">
        <v>14430</v>
      </c>
      <c r="N60" s="2948" t="s">
        <v>3053</v>
      </c>
    </row>
    <row r="61" spans="1:17" ht="14.25" customHeight="1">
      <c r="A61" s="2948" t="s">
        <v>110</v>
      </c>
      <c r="B61" s="2948" t="s">
        <v>170</v>
      </c>
      <c r="C61" s="2948">
        <v>21330</v>
      </c>
      <c r="D61" s="2948">
        <v>18640</v>
      </c>
      <c r="E61" s="2948">
        <v>21190</v>
      </c>
      <c r="F61" s="2948">
        <v>4180</v>
      </c>
      <c r="G61" s="2948">
        <v>12650</v>
      </c>
      <c r="N61" s="2948" t="s">
        <v>3054</v>
      </c>
    </row>
    <row r="62" spans="1:17" ht="14.25" customHeight="1">
      <c r="A62" s="2948" t="s">
        <v>110</v>
      </c>
      <c r="B62" s="2948" t="s">
        <v>177</v>
      </c>
      <c r="C62" s="2948">
        <v>18710</v>
      </c>
      <c r="D62" s="2948">
        <v>19400</v>
      </c>
      <c r="E62" s="2948">
        <v>23750</v>
      </c>
      <c r="F62" s="2948">
        <v>4860</v>
      </c>
      <c r="G62" s="2948">
        <v>13170</v>
      </c>
      <c r="N62" s="2948" t="s">
        <v>3055</v>
      </c>
    </row>
    <row r="63" spans="1:17" ht="14.25" customHeight="1">
      <c r="A63" s="2948" t="s">
        <v>110</v>
      </c>
      <c r="B63" s="2948" t="s">
        <v>187</v>
      </c>
      <c r="C63" s="2948">
        <v>19480</v>
      </c>
      <c r="D63" s="2948">
        <v>16830</v>
      </c>
      <c r="E63" s="2948">
        <v>21590</v>
      </c>
      <c r="F63" s="2948">
        <v>4560</v>
      </c>
      <c r="G63" s="2948">
        <v>11420</v>
      </c>
      <c r="N63" s="2948" t="s">
        <v>3056</v>
      </c>
    </row>
    <row r="64" spans="1:17" ht="14.25" customHeight="1" thickBot="1">
      <c r="A64" s="2948" t="s">
        <v>110</v>
      </c>
      <c r="B64" s="2948" t="s">
        <v>196</v>
      </c>
      <c r="C64" s="2948">
        <v>16920</v>
      </c>
      <c r="D64" s="2948">
        <v>19190</v>
      </c>
      <c r="E64" s="2948">
        <v>22200</v>
      </c>
      <c r="F64" s="2948">
        <v>4390</v>
      </c>
      <c r="G64" s="2948">
        <v>13030</v>
      </c>
      <c r="N64" s="2955" t="s">
        <v>3057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2928</v>
      </c>
      <c r="C78" s="2948">
        <v>19820</v>
      </c>
      <c r="D78" s="2948">
        <v>19780</v>
      </c>
      <c r="E78" s="2948">
        <v>18560</v>
      </c>
      <c r="F78" s="2948"/>
      <c r="G78" s="2948">
        <v>13430</v>
      </c>
    </row>
    <row r="79" spans="1:7" s="2782" customFormat="1" ht="14.25" customHeight="1">
      <c r="A79" s="2948" t="s">
        <v>110</v>
      </c>
      <c r="B79" s="2948" t="s">
        <v>2931</v>
      </c>
      <c r="C79" s="2948">
        <v>21660</v>
      </c>
      <c r="D79" s="2948">
        <v>18000</v>
      </c>
      <c r="E79" s="2948">
        <v>22570</v>
      </c>
      <c r="F79" s="2948"/>
      <c r="G79" s="2948">
        <v>12220</v>
      </c>
    </row>
    <row r="80" spans="1:7" s="2782" customFormat="1" ht="14.25" customHeight="1">
      <c r="A80" s="2948" t="s">
        <v>110</v>
      </c>
      <c r="B80" s="2948" t="s">
        <v>2935</v>
      </c>
      <c r="C80" s="2948">
        <v>19850</v>
      </c>
      <c r="D80" s="2948"/>
      <c r="E80" s="2948">
        <v>21700</v>
      </c>
      <c r="F80" s="2948"/>
      <c r="G80" s="2948"/>
    </row>
    <row r="81" spans="1:7" s="2782" customFormat="1" ht="14.25" customHeight="1">
      <c r="A81" s="2948" t="s">
        <v>110</v>
      </c>
      <c r="B81" s="2948" t="s">
        <v>2940</v>
      </c>
      <c r="C81" s="2948">
        <v>18080</v>
      </c>
      <c r="D81" s="2948"/>
      <c r="E81" s="2948">
        <v>20900</v>
      </c>
      <c r="F81" s="2948"/>
      <c r="G81" s="2948"/>
    </row>
    <row r="82" spans="1:7" s="2782" customFormat="1" ht="14.25" customHeight="1">
      <c r="A82" s="2948" t="s">
        <v>110</v>
      </c>
      <c r="B82" s="2948" t="s">
        <v>2947</v>
      </c>
      <c r="C82" s="2948"/>
      <c r="D82" s="2948"/>
      <c r="E82" s="2948">
        <v>20840</v>
      </c>
      <c r="F82" s="2948"/>
      <c r="G82" s="2948"/>
    </row>
    <row r="83" spans="1:7" s="2782" customFormat="1" ht="14.25" customHeight="1">
      <c r="A83" s="2948" t="s">
        <v>110</v>
      </c>
      <c r="B83" s="2948" t="s">
        <v>3058</v>
      </c>
      <c r="C83" s="2948"/>
      <c r="D83" s="2948"/>
      <c r="E83" s="2948"/>
      <c r="F83" s="2948">
        <v>4770</v>
      </c>
      <c r="G83" s="2948"/>
    </row>
    <row r="84" spans="1:7" s="2782" customFormat="1" ht="14.25" customHeight="1">
      <c r="A84" s="2948" t="s">
        <v>110</v>
      </c>
      <c r="B84" s="2948" t="s">
        <v>3059</v>
      </c>
      <c r="C84" s="2948"/>
      <c r="D84" s="2948"/>
      <c r="E84" s="2948"/>
      <c r="F84" s="2948">
        <v>4600</v>
      </c>
      <c r="G84" s="2948"/>
    </row>
    <row r="85" spans="1:7" s="2782" customFormat="1" ht="14.25" customHeight="1">
      <c r="A85" s="2948" t="s">
        <v>110</v>
      </c>
      <c r="B85" s="2948" t="s">
        <v>3060</v>
      </c>
      <c r="C85" s="2948"/>
      <c r="D85" s="2948"/>
      <c r="E85" s="2948"/>
      <c r="F85" s="2948">
        <v>4680</v>
      </c>
      <c r="G85" s="2948"/>
    </row>
    <row r="86" spans="1:7" s="2782" customFormat="1" ht="14.25" customHeight="1" thickBot="1">
      <c r="A86" s="2956" t="s">
        <v>110</v>
      </c>
      <c r="B86" s="2958" t="s">
        <v>3061</v>
      </c>
      <c r="C86" s="2959">
        <v>16610</v>
      </c>
      <c r="D86" s="2959">
        <v>16540</v>
      </c>
      <c r="E86" s="2959">
        <v>18850</v>
      </c>
      <c r="F86" s="2959"/>
      <c r="G86" s="2959">
        <v>11220</v>
      </c>
    </row>
    <row r="87" spans="1:7" s="2782" customFormat="1" ht="14.25" customHeight="1">
      <c r="A87" s="2953" t="s">
        <v>303</v>
      </c>
      <c r="B87" s="2944" t="s">
        <v>3062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2941</v>
      </c>
      <c r="C113" s="2948">
        <v>15520</v>
      </c>
      <c r="D113" s="2948">
        <v>15450</v>
      </c>
      <c r="E113" s="2948"/>
      <c r="F113" s="2948"/>
      <c r="G113" s="2961">
        <v>10210</v>
      </c>
    </row>
    <row r="114" spans="1:7" s="2782" customFormat="1" ht="14.25" customHeight="1">
      <c r="A114" s="2948" t="s">
        <v>303</v>
      </c>
      <c r="B114" s="2948" t="s">
        <v>2948</v>
      </c>
      <c r="C114" s="2948">
        <v>13110</v>
      </c>
      <c r="D114" s="2948">
        <v>13050</v>
      </c>
      <c r="E114" s="2948"/>
      <c r="F114" s="2948"/>
      <c r="G114" s="2961">
        <v>8620</v>
      </c>
    </row>
    <row r="115" spans="1:7" s="2782" customFormat="1" ht="14.25" customHeight="1">
      <c r="A115" s="2948" t="s">
        <v>303</v>
      </c>
      <c r="B115" s="2948" t="s">
        <v>2954</v>
      </c>
      <c r="C115" s="2948">
        <v>12460</v>
      </c>
      <c r="D115" s="2948">
        <v>12390</v>
      </c>
      <c r="E115" s="2948"/>
      <c r="F115" s="2948"/>
      <c r="G115" s="2961">
        <v>8190</v>
      </c>
    </row>
    <row r="116" spans="1:7" s="2782" customFormat="1" ht="14.25" customHeight="1">
      <c r="A116" s="2948" t="s">
        <v>303</v>
      </c>
      <c r="B116" s="2948" t="s">
        <v>2961</v>
      </c>
      <c r="C116" s="2948">
        <v>13580</v>
      </c>
      <c r="D116" s="2948">
        <v>13520</v>
      </c>
      <c r="E116" s="2948"/>
      <c r="F116" s="2948"/>
      <c r="G116" s="2961">
        <v>8930</v>
      </c>
    </row>
    <row r="117" spans="1:7" s="2782" customFormat="1" ht="14.25" customHeight="1">
      <c r="A117" s="2948" t="s">
        <v>303</v>
      </c>
      <c r="B117" s="2948" t="s">
        <v>2968</v>
      </c>
      <c r="C117" s="2948">
        <v>17120</v>
      </c>
      <c r="D117" s="2948">
        <v>17040</v>
      </c>
      <c r="E117" s="2948"/>
      <c r="F117" s="2948"/>
      <c r="G117" s="2961">
        <v>11260</v>
      </c>
    </row>
    <row r="118" spans="1:7" s="2782" customFormat="1" ht="14.25" customHeight="1">
      <c r="A118" s="2948" t="s">
        <v>303</v>
      </c>
      <c r="B118" s="2948" t="s">
        <v>2973</v>
      </c>
      <c r="C118" s="2948">
        <v>14860</v>
      </c>
      <c r="D118" s="2948">
        <v>14790</v>
      </c>
      <c r="E118" s="2948"/>
      <c r="F118" s="2948"/>
      <c r="G118" s="2961">
        <v>9780</v>
      </c>
    </row>
    <row r="119" spans="1:7" s="2782" customFormat="1" ht="14.25" customHeight="1">
      <c r="A119" s="2948" t="s">
        <v>303</v>
      </c>
      <c r="B119" s="2948" t="s">
        <v>2977</v>
      </c>
      <c r="C119" s="2948">
        <v>16470</v>
      </c>
      <c r="D119" s="2948">
        <v>16400</v>
      </c>
      <c r="E119" s="2948"/>
      <c r="F119" s="2948"/>
      <c r="G119" s="2961">
        <v>10840</v>
      </c>
    </row>
    <row r="120" spans="1:7" s="2782" customFormat="1" ht="14.25" customHeight="1">
      <c r="A120" s="2948" t="s">
        <v>303</v>
      </c>
      <c r="B120" s="2948" t="s">
        <v>3063</v>
      </c>
      <c r="C120" s="2948"/>
      <c r="D120" s="2948"/>
      <c r="E120" s="2948"/>
      <c r="F120" s="2948">
        <v>4160</v>
      </c>
      <c r="G120" s="2961"/>
    </row>
    <row r="121" spans="1:7" s="2782" customFormat="1" ht="14.25" customHeight="1">
      <c r="A121" s="2948" t="s">
        <v>303</v>
      </c>
      <c r="B121" s="2948" t="s">
        <v>3064</v>
      </c>
      <c r="C121" s="2948"/>
      <c r="D121" s="2948"/>
      <c r="E121" s="2948"/>
      <c r="F121" s="2948">
        <v>3880</v>
      </c>
      <c r="G121" s="2961"/>
    </row>
    <row r="122" spans="1:7" s="2782" customFormat="1" ht="14.25" customHeight="1">
      <c r="A122" s="2948" t="s">
        <v>303</v>
      </c>
      <c r="B122" s="2948" t="s">
        <v>3065</v>
      </c>
      <c r="C122" s="2948">
        <v>13750</v>
      </c>
      <c r="D122" s="2948">
        <v>13680</v>
      </c>
      <c r="E122" s="2948">
        <v>16460</v>
      </c>
      <c r="F122" s="2948">
        <v>2880</v>
      </c>
      <c r="G122" s="2961">
        <v>9040</v>
      </c>
    </row>
    <row r="123" spans="1:7" s="2782" customFormat="1" ht="14.25" customHeight="1">
      <c r="A123" s="2948" t="s">
        <v>303</v>
      </c>
      <c r="B123" s="2948" t="s">
        <v>2996</v>
      </c>
      <c r="C123" s="2948">
        <v>13590</v>
      </c>
      <c r="D123" s="2948">
        <v>13520</v>
      </c>
      <c r="E123" s="2948">
        <v>16290</v>
      </c>
      <c r="F123" s="2948">
        <v>2790</v>
      </c>
      <c r="G123" s="2961">
        <v>8930</v>
      </c>
    </row>
    <row r="124" spans="1:7" s="2782" customFormat="1" ht="14.25" customHeight="1">
      <c r="A124" s="2948" t="s">
        <v>303</v>
      </c>
      <c r="B124" s="2948" t="s">
        <v>3001</v>
      </c>
      <c r="C124" s="2948">
        <v>13400</v>
      </c>
      <c r="D124" s="2948">
        <v>13320</v>
      </c>
      <c r="E124" s="2948">
        <v>16100</v>
      </c>
      <c r="F124" s="2948">
        <v>2320</v>
      </c>
      <c r="G124" s="2961">
        <v>8800</v>
      </c>
    </row>
    <row r="125" spans="1:7" s="2782" customFormat="1" ht="14.25" customHeight="1">
      <c r="A125" s="2948" t="s">
        <v>303</v>
      </c>
      <c r="B125" s="2948" t="s">
        <v>3006</v>
      </c>
      <c r="C125" s="2948">
        <v>12860</v>
      </c>
      <c r="D125" s="2948">
        <v>12790</v>
      </c>
      <c r="E125" s="2948">
        <v>15370</v>
      </c>
      <c r="F125" s="2948">
        <v>2280</v>
      </c>
      <c r="G125" s="2961">
        <v>8450</v>
      </c>
    </row>
    <row r="126" spans="1:7" s="2782" customFormat="1" ht="14.25" customHeight="1" thickBot="1">
      <c r="A126" s="2962" t="s">
        <v>303</v>
      </c>
      <c r="B126" s="2955" t="s">
        <v>3011</v>
      </c>
      <c r="C126" s="2955">
        <v>12960</v>
      </c>
      <c r="D126" s="2955">
        <v>12890</v>
      </c>
      <c r="E126" s="2955">
        <v>15530</v>
      </c>
      <c r="F126" s="2955">
        <v>2910</v>
      </c>
      <c r="G126" s="2963">
        <v>8520</v>
      </c>
    </row>
    <row r="127" spans="1:7" s="2782" customFormat="1" ht="14.25" customHeight="1">
      <c r="A127" s="2953" t="s">
        <v>29</v>
      </c>
      <c r="B127" s="2944" t="s">
        <v>3066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3067</v>
      </c>
      <c r="C148" s="2948">
        <v>10370</v>
      </c>
      <c r="D148" s="2948">
        <v>10310</v>
      </c>
      <c r="E148" s="2948">
        <v>12970</v>
      </c>
      <c r="F148" s="2948"/>
      <c r="G148" s="2948">
        <v>6630</v>
      </c>
    </row>
    <row r="149" spans="1:7" s="2782" customFormat="1" ht="14.25" customHeight="1">
      <c r="A149" s="2948" t="s">
        <v>29</v>
      </c>
      <c r="B149" s="2948" t="s">
        <v>3068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2942</v>
      </c>
      <c r="C153" s="2948">
        <v>10880</v>
      </c>
      <c r="D153" s="2948">
        <v>10820</v>
      </c>
      <c r="E153" s="2948">
        <v>13660</v>
      </c>
      <c r="F153" s="2948">
        <v>2260</v>
      </c>
      <c r="G153" s="2948">
        <v>6970</v>
      </c>
    </row>
    <row r="154" spans="1:7" s="2782" customFormat="1" ht="14.25" customHeight="1">
      <c r="A154" s="2948" t="s">
        <v>29</v>
      </c>
      <c r="B154" s="2948" t="s">
        <v>3069</v>
      </c>
      <c r="C154" s="2948">
        <v>11220</v>
      </c>
      <c r="D154" s="2948">
        <v>11160</v>
      </c>
      <c r="E154" s="2948">
        <v>14130</v>
      </c>
      <c r="F154" s="2948">
        <v>2230</v>
      </c>
      <c r="G154" s="2948">
        <v>7180</v>
      </c>
    </row>
    <row r="155" spans="1:7" s="2782" customFormat="1" ht="14.25" customHeight="1">
      <c r="A155" s="2948" t="s">
        <v>29</v>
      </c>
      <c r="B155" s="2948" t="s">
        <v>2955</v>
      </c>
      <c r="C155" s="2948">
        <v>10430</v>
      </c>
      <c r="D155" s="2948">
        <v>10380</v>
      </c>
      <c r="E155" s="2948">
        <v>13140</v>
      </c>
      <c r="F155" s="2948">
        <v>2080</v>
      </c>
      <c r="G155" s="2948">
        <v>6650</v>
      </c>
    </row>
    <row r="156" spans="1:7" s="2782" customFormat="1" ht="14.25" customHeight="1">
      <c r="A156" s="2948" t="s">
        <v>29</v>
      </c>
      <c r="B156" s="2948" t="s">
        <v>3070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3071</v>
      </c>
      <c r="C160" s="2948">
        <v>11180</v>
      </c>
      <c r="D160" s="2948">
        <v>11140</v>
      </c>
      <c r="E160" s="2948">
        <v>14050</v>
      </c>
      <c r="F160" s="2948">
        <v>2270</v>
      </c>
      <c r="G160" s="2948">
        <v>7170</v>
      </c>
    </row>
    <row r="161" spans="1:7" s="2782" customFormat="1" ht="14.25" customHeight="1">
      <c r="A161" s="2948" t="s">
        <v>29</v>
      </c>
      <c r="B161" s="2948" t="s">
        <v>2987</v>
      </c>
      <c r="C161" s="2948">
        <v>11160</v>
      </c>
      <c r="D161" s="2948">
        <v>11120</v>
      </c>
      <c r="E161" s="2948">
        <v>14020</v>
      </c>
      <c r="F161" s="2948">
        <v>2150</v>
      </c>
      <c r="G161" s="2948">
        <v>7160</v>
      </c>
    </row>
    <row r="162" spans="1:7" s="2782" customFormat="1" ht="14.25" customHeight="1">
      <c r="A162" s="2948" t="s">
        <v>29</v>
      </c>
      <c r="B162" s="2948" t="s">
        <v>2992</v>
      </c>
      <c r="C162" s="2948">
        <v>9620</v>
      </c>
      <c r="D162" s="2948">
        <v>9570</v>
      </c>
      <c r="E162" s="2948">
        <v>12320</v>
      </c>
      <c r="F162" s="2948">
        <v>2010</v>
      </c>
      <c r="G162" s="2948">
        <v>6160</v>
      </c>
    </row>
    <row r="163" spans="1:7" s="2782" customFormat="1" ht="14.25" customHeight="1">
      <c r="A163" s="2948" t="s">
        <v>29</v>
      </c>
      <c r="B163" s="2948" t="s">
        <v>2997</v>
      </c>
      <c r="C163" s="2948">
        <v>9320</v>
      </c>
      <c r="D163" s="2948">
        <v>9270</v>
      </c>
      <c r="E163" s="2948">
        <v>11790</v>
      </c>
      <c r="F163" s="2948">
        <v>1920</v>
      </c>
      <c r="G163" s="2948">
        <v>5960</v>
      </c>
    </row>
    <row r="164" spans="1:7" s="2782" customFormat="1" ht="14.25" customHeight="1">
      <c r="A164" s="2948" t="s">
        <v>29</v>
      </c>
      <c r="B164" s="2948" t="s">
        <v>3002</v>
      </c>
      <c r="C164" s="2948"/>
      <c r="D164" s="2948"/>
      <c r="E164" s="2948"/>
      <c r="F164" s="2948">
        <v>1980</v>
      </c>
      <c r="G164" s="2948"/>
    </row>
    <row r="165" spans="1:7" s="2782" customFormat="1" ht="14.25" customHeight="1">
      <c r="A165" s="2948" t="s">
        <v>29</v>
      </c>
      <c r="B165" s="2948" t="s">
        <v>3072</v>
      </c>
      <c r="C165" s="2948">
        <v>11060</v>
      </c>
      <c r="D165" s="2948">
        <v>11030</v>
      </c>
      <c r="E165" s="2948">
        <v>13850</v>
      </c>
      <c r="F165" s="2948">
        <v>2170</v>
      </c>
      <c r="G165" s="2948">
        <v>7090</v>
      </c>
    </row>
    <row r="166" spans="1:7" s="2782" customFormat="1" ht="14.25" customHeight="1">
      <c r="A166" s="2948" t="s">
        <v>29</v>
      </c>
      <c r="B166" s="2948" t="s">
        <v>3012</v>
      </c>
      <c r="C166" s="2948">
        <v>11050</v>
      </c>
      <c r="D166" s="2948">
        <v>11010</v>
      </c>
      <c r="E166" s="2948">
        <v>13920</v>
      </c>
      <c r="F166" s="2948">
        <v>2140</v>
      </c>
      <c r="G166" s="2948">
        <v>7080</v>
      </c>
    </row>
    <row r="167" spans="1:7" s="2782" customFormat="1" ht="14.25" customHeight="1">
      <c r="A167" s="2948" t="s">
        <v>29</v>
      </c>
      <c r="B167" s="2948" t="s">
        <v>3016</v>
      </c>
      <c r="C167" s="2948">
        <v>10930</v>
      </c>
      <c r="D167" s="2948">
        <v>10890</v>
      </c>
      <c r="E167" s="2948">
        <v>13790</v>
      </c>
      <c r="F167" s="2948">
        <v>2010</v>
      </c>
      <c r="G167" s="2948">
        <v>7000</v>
      </c>
    </row>
    <row r="168" spans="1:7" s="2782" customFormat="1" ht="14.25" customHeight="1">
      <c r="A168" s="2948" t="s">
        <v>29</v>
      </c>
      <c r="B168" s="2948" t="s">
        <v>3021</v>
      </c>
      <c r="C168" s="2948">
        <v>9420</v>
      </c>
      <c r="D168" s="2948">
        <v>9380</v>
      </c>
      <c r="E168" s="2948">
        <v>11970</v>
      </c>
      <c r="F168" s="2948"/>
      <c r="G168" s="2948">
        <v>6040</v>
      </c>
    </row>
    <row r="169" spans="1:7" s="2782" customFormat="1" ht="14.25" customHeight="1">
      <c r="A169" s="2948" t="s">
        <v>29</v>
      </c>
      <c r="B169" s="2948" t="s">
        <v>3073</v>
      </c>
      <c r="C169" s="2948"/>
      <c r="D169" s="2948"/>
      <c r="E169" s="2948"/>
      <c r="F169" s="2948">
        <v>2880</v>
      </c>
      <c r="G169" s="2948"/>
    </row>
    <row r="170" spans="1:7" s="2782" customFormat="1" ht="14.25" customHeight="1">
      <c r="A170" s="2948" t="s">
        <v>29</v>
      </c>
      <c r="B170" s="2948" t="s">
        <v>3029</v>
      </c>
      <c r="C170" s="2948"/>
      <c r="D170" s="2948"/>
      <c r="E170" s="2948"/>
      <c r="F170" s="2948">
        <v>2880</v>
      </c>
      <c r="G170" s="2948"/>
    </row>
    <row r="171" spans="1:7" s="2782" customFormat="1" ht="14.25" customHeight="1">
      <c r="A171" s="2948" t="s">
        <v>29</v>
      </c>
      <c r="B171" s="2948" t="s">
        <v>3032</v>
      </c>
      <c r="C171" s="2948"/>
      <c r="D171" s="2948"/>
      <c r="E171" s="2948"/>
      <c r="F171" s="2948">
        <v>2880</v>
      </c>
      <c r="G171" s="2948"/>
    </row>
    <row r="172" spans="1:7" s="2782" customFormat="1" ht="14.25" customHeight="1">
      <c r="A172" s="2948" t="s">
        <v>29</v>
      </c>
      <c r="B172" s="2948" t="s">
        <v>3034</v>
      </c>
      <c r="C172" s="2948"/>
      <c r="D172" s="2948"/>
      <c r="E172" s="2948"/>
      <c r="F172" s="2948">
        <v>2880</v>
      </c>
      <c r="G172" s="2948"/>
    </row>
    <row r="173" spans="1:7" s="2782" customFormat="1" ht="14.25" customHeight="1">
      <c r="A173" s="2948" t="s">
        <v>29</v>
      </c>
      <c r="B173" s="2948" t="s">
        <v>3036</v>
      </c>
      <c r="C173" s="2948"/>
      <c r="D173" s="2948"/>
      <c r="E173" s="2948"/>
      <c r="F173" s="2948">
        <v>2150</v>
      </c>
      <c r="G173" s="2948"/>
    </row>
    <row r="174" spans="1:7" s="2782" customFormat="1" ht="14.25" customHeight="1">
      <c r="A174" s="2948" t="s">
        <v>29</v>
      </c>
      <c r="B174" s="2948" t="s">
        <v>3038</v>
      </c>
      <c r="C174" s="2948"/>
      <c r="D174" s="2948"/>
      <c r="E174" s="2948"/>
      <c r="F174" s="2948">
        <v>2030</v>
      </c>
      <c r="G174" s="2948"/>
    </row>
    <row r="175" spans="1:7" s="2782" customFormat="1" ht="14.25" customHeight="1">
      <c r="A175" s="2948" t="s">
        <v>29</v>
      </c>
      <c r="B175" s="2948" t="s">
        <v>3040</v>
      </c>
      <c r="C175" s="2948"/>
      <c r="D175" s="2948"/>
      <c r="E175" s="2948"/>
      <c r="F175" s="2948">
        <v>2780</v>
      </c>
      <c r="G175" s="2948"/>
    </row>
    <row r="176" spans="1:7" s="2782" customFormat="1" ht="14.25" customHeight="1">
      <c r="A176" s="2948" t="s">
        <v>29</v>
      </c>
      <c r="B176" s="2948" t="s">
        <v>3042</v>
      </c>
      <c r="C176" s="2948"/>
      <c r="D176" s="2948"/>
      <c r="E176" s="2948"/>
      <c r="F176" s="2948">
        <v>2780</v>
      </c>
      <c r="G176" s="2948"/>
    </row>
    <row r="177" spans="1:7" s="2782" customFormat="1" ht="14.25" customHeight="1">
      <c r="A177" s="2948" t="s">
        <v>29</v>
      </c>
      <c r="B177" s="2948" t="s">
        <v>3074</v>
      </c>
      <c r="C177" s="2948"/>
      <c r="D177" s="2948"/>
      <c r="E177" s="2948"/>
      <c r="F177" s="2948">
        <v>2780</v>
      </c>
      <c r="G177" s="2948"/>
    </row>
    <row r="178" spans="1:7" s="2782" customFormat="1" ht="14.25" customHeight="1">
      <c r="A178" s="2948" t="s">
        <v>29</v>
      </c>
      <c r="B178" s="2948" t="s">
        <v>3075</v>
      </c>
      <c r="C178" s="2948"/>
      <c r="D178" s="2948"/>
      <c r="E178" s="2948"/>
      <c r="F178" s="2948">
        <v>2060</v>
      </c>
      <c r="G178" s="2948"/>
    </row>
    <row r="179" spans="1:7" s="2782" customFormat="1" ht="14.25" customHeight="1">
      <c r="A179" s="2948" t="s">
        <v>29</v>
      </c>
      <c r="B179" s="2948" t="s">
        <v>3076</v>
      </c>
      <c r="C179" s="2948"/>
      <c r="D179" s="2948"/>
      <c r="E179" s="2948"/>
      <c r="F179" s="2948">
        <v>2120</v>
      </c>
      <c r="G179" s="2948"/>
    </row>
    <row r="180" spans="1:7" s="2782" customFormat="1" ht="14.25" customHeight="1">
      <c r="A180" s="2948" t="s">
        <v>29</v>
      </c>
      <c r="B180" s="2948" t="s">
        <v>3048</v>
      </c>
      <c r="C180" s="2948"/>
      <c r="D180" s="2948"/>
      <c r="E180" s="2948"/>
      <c r="F180" s="2948">
        <v>2340</v>
      </c>
      <c r="G180" s="2948"/>
    </row>
    <row r="181" spans="1:7" s="2782" customFormat="1" ht="14.25" customHeight="1">
      <c r="A181" s="2948" t="s">
        <v>29</v>
      </c>
      <c r="B181" s="2948" t="s">
        <v>3049</v>
      </c>
      <c r="C181" s="2948"/>
      <c r="D181" s="2948"/>
      <c r="E181" s="2948"/>
      <c r="F181" s="2948">
        <v>2340</v>
      </c>
      <c r="G181" s="2948"/>
    </row>
    <row r="182" spans="1:7" s="2782" customFormat="1" ht="14.25" customHeight="1">
      <c r="A182" s="2948" t="s">
        <v>29</v>
      </c>
      <c r="B182" s="2948" t="s">
        <v>3050</v>
      </c>
      <c r="C182" s="2948"/>
      <c r="D182" s="2948"/>
      <c r="E182" s="2948"/>
      <c r="F182" s="2948">
        <v>2340</v>
      </c>
      <c r="G182" s="2948"/>
    </row>
    <row r="183" spans="1:7" s="2782" customFormat="1" ht="14.25" customHeight="1">
      <c r="A183" s="2948" t="s">
        <v>29</v>
      </c>
      <c r="B183" s="2948" t="s">
        <v>3051</v>
      </c>
      <c r="C183" s="2948"/>
      <c r="D183" s="2948"/>
      <c r="E183" s="2948"/>
      <c r="F183" s="2948">
        <v>2340</v>
      </c>
      <c r="G183" s="2948"/>
    </row>
    <row r="184" spans="1:7" s="2782" customFormat="1" ht="14.25" customHeight="1">
      <c r="A184" s="2948" t="s">
        <v>29</v>
      </c>
      <c r="B184" s="2948" t="s">
        <v>3052</v>
      </c>
      <c r="C184" s="2948"/>
      <c r="D184" s="2948"/>
      <c r="E184" s="2948"/>
      <c r="F184" s="2948">
        <v>2340</v>
      </c>
      <c r="G184" s="2948"/>
    </row>
    <row r="185" spans="1:7" s="2782" customFormat="1" ht="14.25" customHeight="1">
      <c r="A185" s="2948" t="s">
        <v>29</v>
      </c>
      <c r="B185" s="2948" t="s">
        <v>3053</v>
      </c>
      <c r="C185" s="2948"/>
      <c r="D185" s="2948"/>
      <c r="E185" s="2948"/>
      <c r="F185" s="2948">
        <v>2530</v>
      </c>
      <c r="G185" s="2948"/>
    </row>
    <row r="186" spans="1:7" s="2782" customFormat="1" ht="14.25" customHeight="1">
      <c r="A186" s="2948" t="s">
        <v>29</v>
      </c>
      <c r="B186" s="2948" t="s">
        <v>3054</v>
      </c>
      <c r="C186" s="2948"/>
      <c r="D186" s="2948"/>
      <c r="E186" s="2948"/>
      <c r="F186" s="2948">
        <v>2550</v>
      </c>
      <c r="G186" s="2948"/>
    </row>
    <row r="187" spans="1:7" s="2782" customFormat="1" ht="14.25" customHeight="1">
      <c r="A187" s="2948" t="s">
        <v>29</v>
      </c>
      <c r="B187" s="2948" t="s">
        <v>3055</v>
      </c>
      <c r="C187" s="2948"/>
      <c r="D187" s="2948"/>
      <c r="E187" s="2948"/>
      <c r="F187" s="2948">
        <v>2070</v>
      </c>
      <c r="G187" s="2948"/>
    </row>
    <row r="188" spans="1:7" s="2782" customFormat="1" ht="14.25" customHeight="1">
      <c r="A188" s="2948" t="s">
        <v>29</v>
      </c>
      <c r="B188" s="2948" t="s">
        <v>3056</v>
      </c>
      <c r="C188" s="2948"/>
      <c r="D188" s="2948"/>
      <c r="E188" s="2948"/>
      <c r="F188" s="2948">
        <v>2340</v>
      </c>
      <c r="G188" s="2948"/>
    </row>
    <row r="189" spans="1:7" s="2782" customFormat="1" ht="14.25" customHeight="1" thickBot="1">
      <c r="A189" s="2956" t="s">
        <v>29</v>
      </c>
      <c r="B189" s="2959" t="s">
        <v>3057</v>
      </c>
      <c r="C189" s="2959"/>
      <c r="D189" s="2959"/>
      <c r="E189" s="2959"/>
      <c r="F189" s="2959">
        <v>2050</v>
      </c>
      <c r="G189" s="2959"/>
    </row>
    <row r="190" spans="1:7" s="2782" customFormat="1" ht="14.25" customHeight="1">
      <c r="A190" s="2953" t="s">
        <v>304</v>
      </c>
      <c r="B190" s="2944" t="s">
        <v>3077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3078</v>
      </c>
      <c r="C199" s="2948">
        <v>8690</v>
      </c>
      <c r="D199" s="2948">
        <v>8630</v>
      </c>
      <c r="E199" s="2948">
        <v>11350</v>
      </c>
      <c r="F199" s="2948">
        <v>1600</v>
      </c>
      <c r="G199" s="2961">
        <v>5450</v>
      </c>
    </row>
    <row r="200" spans="1:7" s="2782" customFormat="1" ht="14.25" customHeight="1">
      <c r="A200" s="2948" t="s">
        <v>304</v>
      </c>
      <c r="B200" s="2948" t="s">
        <v>2889</v>
      </c>
      <c r="C200" s="2948"/>
      <c r="D200" s="2948"/>
      <c r="E200" s="2948"/>
      <c r="F200" s="2948">
        <v>1510</v>
      </c>
      <c r="G200" s="2961"/>
    </row>
    <row r="201" spans="1:7" s="2782" customFormat="1" ht="14.25" customHeight="1">
      <c r="A201" s="2948" t="s">
        <v>304</v>
      </c>
      <c r="B201" s="2948" t="s">
        <v>3079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3080</v>
      </c>
      <c r="C203" s="2948">
        <v>8130</v>
      </c>
      <c r="D203" s="2948">
        <v>8070</v>
      </c>
      <c r="E203" s="2948">
        <v>10820</v>
      </c>
      <c r="F203" s="2948">
        <v>1690</v>
      </c>
      <c r="G203" s="2961">
        <v>5100</v>
      </c>
    </row>
    <row r="204" spans="1:7" s="2782" customFormat="1" ht="14.25" customHeight="1">
      <c r="A204" s="2948" t="s">
        <v>304</v>
      </c>
      <c r="B204" s="2948" t="s">
        <v>2900</v>
      </c>
      <c r="C204" s="2948">
        <v>8350</v>
      </c>
      <c r="D204" s="2948">
        <v>8290</v>
      </c>
      <c r="E204" s="2948">
        <v>11080</v>
      </c>
      <c r="F204" s="2948">
        <v>1450</v>
      </c>
      <c r="G204" s="2961">
        <v>5240</v>
      </c>
    </row>
    <row r="205" spans="1:7" s="2782" customFormat="1" ht="14.25" customHeight="1">
      <c r="A205" s="2948" t="s">
        <v>304</v>
      </c>
      <c r="B205" s="2948" t="s">
        <v>2902</v>
      </c>
      <c r="C205" s="2948">
        <v>7190</v>
      </c>
      <c r="D205" s="2948">
        <v>7130</v>
      </c>
      <c r="E205" s="2948">
        <v>9490</v>
      </c>
      <c r="F205" s="2948">
        <v>1470</v>
      </c>
      <c r="G205" s="2961">
        <v>4510</v>
      </c>
    </row>
    <row r="206" spans="1:7" s="2782" customFormat="1" ht="14.25" customHeight="1">
      <c r="A206" s="2948" t="s">
        <v>304</v>
      </c>
      <c r="B206" s="2948" t="s">
        <v>2905</v>
      </c>
      <c r="C206" s="2948">
        <v>7000</v>
      </c>
      <c r="D206" s="2948">
        <v>6950</v>
      </c>
      <c r="E206" s="2948">
        <v>9170</v>
      </c>
      <c r="F206" s="2948">
        <v>1400</v>
      </c>
      <c r="G206" s="2961">
        <v>4380</v>
      </c>
    </row>
    <row r="207" spans="1:7" s="2782" customFormat="1" ht="14.25" customHeight="1">
      <c r="A207" s="2948" t="s">
        <v>304</v>
      </c>
      <c r="B207" s="2948" t="s">
        <v>2907</v>
      </c>
      <c r="C207" s="2948">
        <v>6950</v>
      </c>
      <c r="D207" s="2948">
        <v>6900</v>
      </c>
      <c r="E207" s="2948">
        <v>9110</v>
      </c>
      <c r="F207" s="2948">
        <v>1790</v>
      </c>
      <c r="G207" s="2961">
        <v>4360</v>
      </c>
    </row>
    <row r="208" spans="1:7" s="2782" customFormat="1" ht="14.25" customHeight="1">
      <c r="A208" s="2948" t="s">
        <v>304</v>
      </c>
      <c r="B208" s="2948" t="s">
        <v>3081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2917</v>
      </c>
      <c r="C210" s="2948">
        <v>8710</v>
      </c>
      <c r="D210" s="2948">
        <v>8660</v>
      </c>
      <c r="E210" s="2948">
        <v>11440</v>
      </c>
      <c r="F210" s="2948">
        <v>1740</v>
      </c>
      <c r="G210" s="2961">
        <v>5470</v>
      </c>
    </row>
    <row r="211" spans="1:7" s="2782" customFormat="1" ht="14.25" customHeight="1">
      <c r="A211" s="2948" t="s">
        <v>304</v>
      </c>
      <c r="B211" s="2948" t="s">
        <v>3082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3083</v>
      </c>
      <c r="C214" s="2948">
        <v>8090</v>
      </c>
      <c r="D214" s="2948">
        <v>8030</v>
      </c>
      <c r="E214" s="2948">
        <v>10780</v>
      </c>
      <c r="F214" s="2948">
        <v>1570</v>
      </c>
      <c r="G214" s="2961">
        <v>5070</v>
      </c>
    </row>
    <row r="215" spans="1:7" s="2782" customFormat="1" ht="14.25" customHeight="1">
      <c r="A215" s="2948" t="s">
        <v>304</v>
      </c>
      <c r="B215" s="2948" t="s">
        <v>3084</v>
      </c>
      <c r="C215" s="2948">
        <v>7950</v>
      </c>
      <c r="D215" s="2948">
        <v>7900</v>
      </c>
      <c r="E215" s="2948">
        <v>10560</v>
      </c>
      <c r="F215" s="2948">
        <v>1630</v>
      </c>
      <c r="G215" s="2961">
        <v>4990</v>
      </c>
    </row>
    <row r="216" spans="1:7" s="2782" customFormat="1" ht="14.25" customHeight="1">
      <c r="A216" s="2948" t="s">
        <v>304</v>
      </c>
      <c r="B216" s="2948" t="s">
        <v>3085</v>
      </c>
      <c r="C216" s="2948">
        <v>8490</v>
      </c>
      <c r="D216" s="2948">
        <v>8440</v>
      </c>
      <c r="E216" s="2948">
        <v>11260</v>
      </c>
      <c r="F216" s="2948">
        <v>1690</v>
      </c>
      <c r="G216" s="2961">
        <v>5330</v>
      </c>
    </row>
    <row r="217" spans="1:7" s="2782" customFormat="1" ht="14.25" customHeight="1">
      <c r="A217" s="2948" t="s">
        <v>304</v>
      </c>
      <c r="B217" s="2948" t="s">
        <v>2950</v>
      </c>
      <c r="C217" s="2948">
        <v>8200</v>
      </c>
      <c r="D217" s="2948">
        <v>8150</v>
      </c>
      <c r="E217" s="2948">
        <v>10910</v>
      </c>
      <c r="F217" s="2948">
        <v>1670</v>
      </c>
      <c r="G217" s="2961">
        <v>5150</v>
      </c>
    </row>
    <row r="218" spans="1:7" s="2782" customFormat="1" ht="14.25" customHeight="1">
      <c r="A218" s="2948" t="s">
        <v>304</v>
      </c>
      <c r="B218" s="2948" t="s">
        <v>3086</v>
      </c>
      <c r="C218" s="2948"/>
      <c r="D218" s="2948"/>
      <c r="E218" s="2948"/>
      <c r="F218" s="2948">
        <v>2040</v>
      </c>
      <c r="G218" s="2961"/>
    </row>
    <row r="219" spans="1:7" s="2782" customFormat="1" ht="14.25" customHeight="1">
      <c r="A219" s="2948" t="s">
        <v>304</v>
      </c>
      <c r="B219" s="2948" t="s">
        <v>3087</v>
      </c>
      <c r="C219" s="2948"/>
      <c r="D219" s="2948"/>
      <c r="E219" s="2948"/>
      <c r="F219" s="2948">
        <v>2040</v>
      </c>
      <c r="G219" s="2961"/>
    </row>
    <row r="220" spans="1:7" s="2782" customFormat="1" ht="14.25" customHeight="1">
      <c r="A220" s="2948" t="s">
        <v>304</v>
      </c>
      <c r="B220" s="2948" t="s">
        <v>3088</v>
      </c>
      <c r="C220" s="2948"/>
      <c r="D220" s="2948"/>
      <c r="E220" s="2948"/>
      <c r="F220" s="2948">
        <v>2040</v>
      </c>
      <c r="G220" s="2961"/>
    </row>
    <row r="221" spans="1:7" s="2782" customFormat="1" ht="14.25" customHeight="1">
      <c r="A221" s="2948" t="s">
        <v>304</v>
      </c>
      <c r="B221" s="2948" t="s">
        <v>3089</v>
      </c>
      <c r="C221" s="2948"/>
      <c r="D221" s="2948"/>
      <c r="E221" s="2948"/>
      <c r="F221" s="2948">
        <v>2040</v>
      </c>
      <c r="G221" s="2961"/>
    </row>
    <row r="222" spans="1:7" s="2782" customFormat="1" ht="14.25" customHeight="1">
      <c r="A222" s="2948" t="s">
        <v>304</v>
      </c>
      <c r="B222" s="2948" t="s">
        <v>3090</v>
      </c>
      <c r="C222" s="2948"/>
      <c r="D222" s="2948"/>
      <c r="E222" s="2948"/>
      <c r="F222" s="2948">
        <v>2040</v>
      </c>
      <c r="G222" s="2961"/>
    </row>
    <row r="223" spans="1:7" s="2782" customFormat="1" ht="14.25" customHeight="1">
      <c r="A223" s="2948" t="s">
        <v>304</v>
      </c>
      <c r="B223" s="2948" t="s">
        <v>3091</v>
      </c>
      <c r="C223" s="2948"/>
      <c r="D223" s="2948"/>
      <c r="E223" s="2948"/>
      <c r="F223" s="2948">
        <v>1930</v>
      </c>
      <c r="G223" s="2961"/>
    </row>
    <row r="224" spans="1:7" s="2782" customFormat="1" ht="14.25" customHeight="1">
      <c r="A224" s="2948" t="s">
        <v>304</v>
      </c>
      <c r="B224" s="2948" t="s">
        <v>3092</v>
      </c>
      <c r="C224" s="2948"/>
      <c r="D224" s="2948"/>
      <c r="E224" s="2948"/>
      <c r="F224" s="2948">
        <v>1930</v>
      </c>
      <c r="G224" s="2961"/>
    </row>
    <row r="225" spans="1:7" s="2782" customFormat="1" ht="14.25" customHeight="1">
      <c r="A225" s="2948" t="s">
        <v>304</v>
      </c>
      <c r="B225" s="2948" t="s">
        <v>3093</v>
      </c>
      <c r="C225" s="2948"/>
      <c r="D225" s="2948"/>
      <c r="E225" s="2948"/>
      <c r="F225" s="2948">
        <v>1930</v>
      </c>
      <c r="G225" s="2961"/>
    </row>
    <row r="226" spans="1:7" s="2782" customFormat="1" ht="14.25" customHeight="1">
      <c r="A226" s="2948" t="s">
        <v>304</v>
      </c>
      <c r="B226" s="2948" t="s">
        <v>3094</v>
      </c>
      <c r="C226" s="2948"/>
      <c r="D226" s="2948"/>
      <c r="E226" s="2948"/>
      <c r="F226" s="2948">
        <v>1700</v>
      </c>
      <c r="G226" s="2961"/>
    </row>
    <row r="227" spans="1:7" s="2782" customFormat="1" ht="14.25" customHeight="1">
      <c r="A227" s="2948" t="s">
        <v>304</v>
      </c>
      <c r="B227" s="2948" t="s">
        <v>3095</v>
      </c>
      <c r="C227" s="2948"/>
      <c r="D227" s="2948"/>
      <c r="E227" s="2948"/>
      <c r="F227" s="2948">
        <v>1520</v>
      </c>
      <c r="G227" s="2961"/>
    </row>
    <row r="228" spans="1:7" s="2782" customFormat="1" ht="14.25" customHeight="1">
      <c r="A228" s="2948" t="s">
        <v>304</v>
      </c>
      <c r="B228" s="2948" t="s">
        <v>3096</v>
      </c>
      <c r="C228" s="2948"/>
      <c r="D228" s="2948"/>
      <c r="E228" s="2948"/>
      <c r="F228" s="2948">
        <v>1520</v>
      </c>
      <c r="G228" s="2961"/>
    </row>
    <row r="229" spans="1:7" s="2782" customFormat="1" ht="14.25" customHeight="1">
      <c r="A229" s="2948" t="s">
        <v>304</v>
      </c>
      <c r="B229" s="2948" t="s">
        <v>3013</v>
      </c>
      <c r="C229" s="2948"/>
      <c r="D229" s="2948"/>
      <c r="E229" s="2948"/>
      <c r="F229" s="2948">
        <v>1520</v>
      </c>
      <c r="G229" s="2961"/>
    </row>
    <row r="230" spans="1:7" s="2782" customFormat="1" ht="14.25" customHeight="1">
      <c r="A230" s="2948" t="s">
        <v>304</v>
      </c>
      <c r="B230" s="2948" t="s">
        <v>3097</v>
      </c>
      <c r="C230" s="2948"/>
      <c r="D230" s="2948"/>
      <c r="E230" s="2948"/>
      <c r="F230" s="2948">
        <v>1820</v>
      </c>
      <c r="G230" s="2961"/>
    </row>
    <row r="231" spans="1:7" s="2782" customFormat="1" ht="14.25" customHeight="1">
      <c r="A231" s="2948" t="s">
        <v>304</v>
      </c>
      <c r="B231" s="2948" t="s">
        <v>3098</v>
      </c>
      <c r="C231" s="2948"/>
      <c r="D231" s="2948"/>
      <c r="E231" s="2948"/>
      <c r="F231" s="2948">
        <v>1760</v>
      </c>
      <c r="G231" s="2961"/>
    </row>
    <row r="232" spans="1:7" s="2782" customFormat="1" ht="14.25" customHeight="1">
      <c r="A232" s="2948" t="s">
        <v>304</v>
      </c>
      <c r="B232" s="2948" t="s">
        <v>3099</v>
      </c>
      <c r="C232" s="2948"/>
      <c r="D232" s="2948"/>
      <c r="E232" s="2948"/>
      <c r="F232" s="2948">
        <v>1840</v>
      </c>
      <c r="G232" s="2961"/>
    </row>
    <row r="233" spans="1:7" s="2782" customFormat="1" ht="14.25" customHeight="1" thickBot="1">
      <c r="A233" s="2962" t="s">
        <v>304</v>
      </c>
      <c r="B233" s="2955" t="s">
        <v>3030</v>
      </c>
      <c r="C233" s="2955"/>
      <c r="D233" s="2955"/>
      <c r="E233" s="2955"/>
      <c r="F233" s="2955">
        <v>1770</v>
      </c>
      <c r="G233" s="2963"/>
    </row>
    <row r="234" spans="1:7" s="2782" customFormat="1" ht="14.25" customHeight="1">
      <c r="A234" s="2953" t="s">
        <v>305</v>
      </c>
      <c r="B234" s="2944" t="s">
        <v>3100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2871</v>
      </c>
      <c r="C238" s="2948">
        <v>6920</v>
      </c>
      <c r="D238" s="2948">
        <v>6890</v>
      </c>
      <c r="E238" s="2948">
        <v>8640</v>
      </c>
      <c r="F238" s="2948">
        <v>1310</v>
      </c>
      <c r="G238" s="2948">
        <v>4230</v>
      </c>
    </row>
    <row r="239" spans="1:7" s="2782" customFormat="1" ht="14.25" customHeight="1">
      <c r="A239" s="2948" t="s">
        <v>305</v>
      </c>
      <c r="B239" s="2948" t="s">
        <v>3101</v>
      </c>
      <c r="C239" s="2948">
        <v>6780</v>
      </c>
      <c r="D239" s="2948">
        <v>6750</v>
      </c>
      <c r="E239" s="2948">
        <v>8440</v>
      </c>
      <c r="F239" s="2948">
        <v>1160</v>
      </c>
      <c r="G239" s="2948">
        <v>4140</v>
      </c>
    </row>
    <row r="240" spans="1:7" s="2782" customFormat="1" ht="14.25" customHeight="1">
      <c r="A240" s="2948" t="s">
        <v>305</v>
      </c>
      <c r="B240" s="2948" t="s">
        <v>3102</v>
      </c>
      <c r="C240" s="2948">
        <v>5420</v>
      </c>
      <c r="D240" s="2948">
        <v>5380</v>
      </c>
      <c r="E240" s="2948">
        <v>6640</v>
      </c>
      <c r="F240" s="2948">
        <v>1020</v>
      </c>
      <c r="G240" s="2948">
        <v>3300</v>
      </c>
    </row>
    <row r="241" spans="1:7" s="2782" customFormat="1" ht="14.25" customHeight="1">
      <c r="A241" s="2948" t="s">
        <v>305</v>
      </c>
      <c r="B241" s="2948" t="s">
        <v>3103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2933</v>
      </c>
      <c r="C258" s="2948">
        <v>6190</v>
      </c>
      <c r="D258" s="2948">
        <v>6160</v>
      </c>
      <c r="E258" s="2948">
        <v>7680</v>
      </c>
      <c r="F258" s="2948">
        <v>1170</v>
      </c>
      <c r="G258" s="2948">
        <v>3780</v>
      </c>
    </row>
    <row r="259" spans="1:7" s="2782" customFormat="1" ht="14.25" customHeight="1">
      <c r="A259" s="2948" t="s">
        <v>305</v>
      </c>
      <c r="B259" s="2948" t="s">
        <v>3109</v>
      </c>
      <c r="C259" s="2948">
        <v>7610</v>
      </c>
      <c r="D259" s="2948">
        <v>7570</v>
      </c>
      <c r="E259" s="2948">
        <v>9350</v>
      </c>
      <c r="F259" s="2948">
        <v>1350</v>
      </c>
      <c r="G259" s="2948">
        <v>4650</v>
      </c>
    </row>
    <row r="260" spans="1:7" s="2782" customFormat="1" ht="14.25" customHeight="1">
      <c r="A260" s="2948" t="s">
        <v>305</v>
      </c>
      <c r="B260" s="2948" t="s">
        <v>3110</v>
      </c>
      <c r="C260" s="2948">
        <v>6920</v>
      </c>
      <c r="D260" s="2948">
        <v>6880</v>
      </c>
      <c r="E260" s="2948">
        <v>8380</v>
      </c>
      <c r="F260" s="2948">
        <v>1160</v>
      </c>
      <c r="G260" s="2948">
        <v>4220</v>
      </c>
    </row>
    <row r="261" spans="1:7" s="2782" customFormat="1" ht="14.25" customHeight="1">
      <c r="A261" s="2948" t="s">
        <v>305</v>
      </c>
      <c r="B261" s="2948" t="s">
        <v>3111</v>
      </c>
      <c r="C261" s="2948">
        <v>6850</v>
      </c>
      <c r="D261" s="2948">
        <v>6810</v>
      </c>
      <c r="E261" s="2948">
        <v>8290</v>
      </c>
      <c r="F261" s="2948">
        <v>1130</v>
      </c>
      <c r="G261" s="2948">
        <v>4180</v>
      </c>
    </row>
    <row r="262" spans="1:7" s="2782" customFormat="1" ht="14.25" customHeight="1">
      <c r="A262" s="2948" t="s">
        <v>305</v>
      </c>
      <c r="B262" s="2948" t="s">
        <v>3112</v>
      </c>
      <c r="C262" s="2948">
        <v>5860</v>
      </c>
      <c r="D262" s="2948">
        <v>5820</v>
      </c>
      <c r="E262" s="2948">
        <v>7640</v>
      </c>
      <c r="F262" s="2948">
        <v>1070</v>
      </c>
      <c r="G262" s="2948">
        <v>3570</v>
      </c>
    </row>
    <row r="263" spans="1:7" s="2782" customFormat="1" ht="14.25" customHeight="1">
      <c r="A263" s="2948" t="s">
        <v>305</v>
      </c>
      <c r="B263" s="2948" t="s">
        <v>3113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3114</v>
      </c>
      <c r="C265" s="2948"/>
      <c r="D265" s="2948"/>
      <c r="E265" s="2948"/>
      <c r="F265" s="2948">
        <v>1500</v>
      </c>
      <c r="G265" s="2948"/>
    </row>
    <row r="266" spans="1:7" s="2782" customFormat="1" ht="14.25" customHeight="1">
      <c r="A266" s="2948" t="s">
        <v>305</v>
      </c>
      <c r="B266" s="2948" t="s">
        <v>3115</v>
      </c>
      <c r="C266" s="2948"/>
      <c r="D266" s="2948"/>
      <c r="E266" s="2948"/>
      <c r="F266" s="2948">
        <v>1500</v>
      </c>
      <c r="G266" s="2948"/>
    </row>
    <row r="267" spans="1:7" s="2782" customFormat="1" ht="14.25" customHeight="1">
      <c r="A267" s="2948" t="s">
        <v>305</v>
      </c>
      <c r="B267" s="2948" t="s">
        <v>3116</v>
      </c>
      <c r="C267" s="2948"/>
      <c r="D267" s="2948"/>
      <c r="E267" s="2948"/>
      <c r="F267" s="2948">
        <v>1500</v>
      </c>
      <c r="G267" s="2948"/>
    </row>
    <row r="268" spans="1:7" s="2782" customFormat="1" ht="14.25" customHeight="1">
      <c r="A268" s="2948" t="s">
        <v>305</v>
      </c>
      <c r="B268" s="2948" t="s">
        <v>3117</v>
      </c>
      <c r="C268" s="2948"/>
      <c r="D268" s="2948"/>
      <c r="E268" s="2948"/>
      <c r="F268" s="2948">
        <v>1290</v>
      </c>
      <c r="G268" s="2948"/>
    </row>
    <row r="269" spans="1:7" s="2782" customFormat="1" ht="14.25" customHeight="1">
      <c r="A269" s="2948" t="s">
        <v>305</v>
      </c>
      <c r="B269" s="2948" t="s">
        <v>3118</v>
      </c>
      <c r="C269" s="2948"/>
      <c r="D269" s="2948"/>
      <c r="E269" s="2948"/>
      <c r="F269" s="2948">
        <v>1150</v>
      </c>
      <c r="G269" s="2948"/>
    </row>
    <row r="270" spans="1:7" s="2782" customFormat="1" ht="14.25" customHeight="1">
      <c r="A270" s="2948" t="s">
        <v>305</v>
      </c>
      <c r="B270" s="2948" t="s">
        <v>3119</v>
      </c>
      <c r="C270" s="2948"/>
      <c r="D270" s="2948"/>
      <c r="E270" s="2948"/>
      <c r="F270" s="2948">
        <v>1380</v>
      </c>
      <c r="G270" s="2948"/>
    </row>
    <row r="271" spans="1:7" s="2782" customFormat="1" ht="14.25" customHeight="1">
      <c r="A271" s="2948" t="s">
        <v>305</v>
      </c>
      <c r="B271" s="2948" t="s">
        <v>3120</v>
      </c>
      <c r="C271" s="2948"/>
      <c r="D271" s="2948"/>
      <c r="E271" s="2948"/>
      <c r="F271" s="2948">
        <v>1460</v>
      </c>
      <c r="G271" s="2948"/>
    </row>
    <row r="272" spans="1:7" s="2782" customFormat="1" ht="14.25" customHeight="1">
      <c r="A272" s="2948" t="s">
        <v>305</v>
      </c>
      <c r="B272" s="2948" t="s">
        <v>3121</v>
      </c>
      <c r="C272" s="2948"/>
      <c r="D272" s="2948"/>
      <c r="E272" s="2948"/>
      <c r="F272" s="2948">
        <v>1460</v>
      </c>
      <c r="G272" s="2948"/>
    </row>
    <row r="273" spans="1:7" s="2782" customFormat="1" ht="14.25" customHeight="1">
      <c r="A273" s="2948" t="s">
        <v>305</v>
      </c>
      <c r="B273" s="2948" t="s">
        <v>3014</v>
      </c>
      <c r="C273" s="2948"/>
      <c r="D273" s="2948"/>
      <c r="E273" s="2948"/>
      <c r="F273" s="2948">
        <v>1490</v>
      </c>
      <c r="G273" s="2948"/>
    </row>
    <row r="274" spans="1:7" s="2782" customFormat="1" ht="14.25" customHeight="1">
      <c r="A274" s="2948" t="s">
        <v>305</v>
      </c>
      <c r="B274" s="2948" t="s">
        <v>3122</v>
      </c>
      <c r="C274" s="2948"/>
      <c r="D274" s="2948"/>
      <c r="E274" s="2948"/>
      <c r="F274" s="2948">
        <v>1490</v>
      </c>
      <c r="G274" s="2948"/>
    </row>
    <row r="275" spans="1:7" s="2782" customFormat="1" ht="14.25" customHeight="1">
      <c r="A275" s="2948" t="s">
        <v>305</v>
      </c>
      <c r="B275" s="2948" t="s">
        <v>3123</v>
      </c>
      <c r="C275" s="2948"/>
      <c r="D275" s="2948"/>
      <c r="E275" s="2948"/>
      <c r="F275" s="2948">
        <v>1220</v>
      </c>
      <c r="G275" s="2948"/>
    </row>
    <row r="276" spans="1:7" s="2782" customFormat="1" ht="14.25" customHeight="1" thickBot="1">
      <c r="A276" s="2956" t="s">
        <v>305</v>
      </c>
      <c r="B276" s="2958" t="s">
        <v>3124</v>
      </c>
      <c r="C276" s="2959"/>
      <c r="D276" s="2959"/>
      <c r="E276" s="2959"/>
      <c r="F276" s="2959">
        <v>1380</v>
      </c>
      <c r="G276" s="2959"/>
    </row>
    <row r="277" spans="1:7" s="2782" customFormat="1" ht="14.25" customHeight="1">
      <c r="A277" s="2953" t="s">
        <v>306</v>
      </c>
      <c r="B277" s="2944" t="s">
        <v>3125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3126</v>
      </c>
      <c r="C279" s="2948">
        <v>4760</v>
      </c>
      <c r="D279" s="2948">
        <v>4720</v>
      </c>
      <c r="E279" s="2948">
        <v>5540</v>
      </c>
      <c r="F279" s="2948">
        <v>810</v>
      </c>
      <c r="G279" s="2961">
        <v>2850</v>
      </c>
    </row>
    <row r="280" spans="1:7" s="2782" customFormat="1" ht="14.25" customHeight="1">
      <c r="A280" s="2948" t="s">
        <v>306</v>
      </c>
      <c r="B280" s="2948" t="s">
        <v>3127</v>
      </c>
      <c r="C280" s="2948">
        <v>4010</v>
      </c>
      <c r="D280" s="2948">
        <v>3950</v>
      </c>
      <c r="E280" s="2948">
        <v>4710</v>
      </c>
      <c r="F280" s="2948">
        <v>800</v>
      </c>
      <c r="G280" s="2961">
        <v>2390</v>
      </c>
    </row>
    <row r="281" spans="1:7" s="2782" customFormat="1" ht="14.25" customHeight="1">
      <c r="A281" s="2948" t="s">
        <v>306</v>
      </c>
      <c r="B281" s="2948" t="s">
        <v>3128</v>
      </c>
      <c r="C281" s="2948">
        <v>4480</v>
      </c>
      <c r="D281" s="2948">
        <v>4420</v>
      </c>
      <c r="E281" s="2948">
        <v>5230</v>
      </c>
      <c r="F281" s="2948">
        <v>870</v>
      </c>
      <c r="G281" s="2961">
        <v>2660</v>
      </c>
    </row>
    <row r="282" spans="1:7" s="2782" customFormat="1" ht="14.25" customHeight="1">
      <c r="A282" s="2948" t="s">
        <v>306</v>
      </c>
      <c r="B282" s="2948" t="s">
        <v>3129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2906</v>
      </c>
      <c r="C293" s="2948">
        <v>5320</v>
      </c>
      <c r="D293" s="2948">
        <v>5270</v>
      </c>
      <c r="E293" s="2948">
        <v>6160</v>
      </c>
      <c r="F293" s="2948">
        <v>990</v>
      </c>
      <c r="G293" s="2961">
        <v>3170</v>
      </c>
    </row>
    <row r="294" spans="1:7" s="2782" customFormat="1" ht="14.25" customHeight="1">
      <c r="A294" s="2948" t="s">
        <v>306</v>
      </c>
      <c r="B294" s="2948" t="s">
        <v>3132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3133</v>
      </c>
      <c r="C302" s="2948">
        <v>5520</v>
      </c>
      <c r="D302" s="2948">
        <v>5470</v>
      </c>
      <c r="E302" s="2948">
        <v>6410</v>
      </c>
      <c r="F302" s="2948">
        <v>950</v>
      </c>
      <c r="G302" s="2961">
        <v>3300</v>
      </c>
    </row>
    <row r="303" spans="1:7" s="2782" customFormat="1" ht="14.25" customHeight="1">
      <c r="A303" s="2948" t="s">
        <v>306</v>
      </c>
      <c r="B303" s="2948" t="s">
        <v>2945</v>
      </c>
      <c r="C303" s="2948">
        <v>5630</v>
      </c>
      <c r="D303" s="2948">
        <v>5590</v>
      </c>
      <c r="E303" s="2948">
        <v>6550</v>
      </c>
      <c r="F303" s="2948">
        <v>1010</v>
      </c>
      <c r="G303" s="2961">
        <v>3370</v>
      </c>
    </row>
    <row r="304" spans="1:7" s="2782" customFormat="1" ht="14.25" customHeight="1">
      <c r="A304" s="2948" t="s">
        <v>306</v>
      </c>
      <c r="B304" s="2948" t="s">
        <v>2952</v>
      </c>
      <c r="C304" s="2948">
        <v>5680</v>
      </c>
      <c r="D304" s="2948">
        <v>5620</v>
      </c>
      <c r="E304" s="2948">
        <v>6620</v>
      </c>
      <c r="F304" s="2948">
        <v>1050</v>
      </c>
      <c r="G304" s="2961">
        <v>3390</v>
      </c>
    </row>
    <row r="305" spans="1:7" s="2782" customFormat="1" ht="14.25" customHeight="1">
      <c r="A305" s="2948" t="s">
        <v>306</v>
      </c>
      <c r="B305" s="2948" t="s">
        <v>2958</v>
      </c>
      <c r="C305" s="2948">
        <v>5590</v>
      </c>
      <c r="D305" s="2948">
        <v>5530</v>
      </c>
      <c r="E305" s="2948">
        <v>6460</v>
      </c>
      <c r="F305" s="2948">
        <v>900</v>
      </c>
      <c r="G305" s="2961">
        <v>3340</v>
      </c>
    </row>
    <row r="306" spans="1:7" s="2782" customFormat="1" ht="14.25" customHeight="1">
      <c r="A306" s="2948" t="s">
        <v>306</v>
      </c>
      <c r="B306" s="2948" t="s">
        <v>3134</v>
      </c>
      <c r="C306" s="2948">
        <v>5560</v>
      </c>
      <c r="D306" s="2948">
        <v>5510</v>
      </c>
      <c r="E306" s="2948">
        <v>6440</v>
      </c>
      <c r="F306" s="2948">
        <v>900</v>
      </c>
      <c r="G306" s="2961">
        <v>3320</v>
      </c>
    </row>
    <row r="307" spans="1:7" s="2782" customFormat="1" ht="14.25" customHeight="1">
      <c r="A307" s="2948" t="s">
        <v>306</v>
      </c>
      <c r="B307" s="2948" t="s">
        <v>2970</v>
      </c>
      <c r="C307" s="2948">
        <v>5650</v>
      </c>
      <c r="D307" s="2948">
        <v>5600</v>
      </c>
      <c r="E307" s="2948">
        <v>6590</v>
      </c>
      <c r="F307" s="2948">
        <v>930</v>
      </c>
      <c r="G307" s="2961">
        <v>3380</v>
      </c>
    </row>
    <row r="308" spans="1:7" s="2782" customFormat="1" ht="14.25" customHeight="1">
      <c r="A308" s="2948" t="s">
        <v>306</v>
      </c>
      <c r="B308" s="2948" t="s">
        <v>3135</v>
      </c>
      <c r="C308" s="2948">
        <v>5620</v>
      </c>
      <c r="D308" s="2948">
        <v>5580</v>
      </c>
      <c r="E308" s="2948">
        <v>6540</v>
      </c>
      <c r="F308" s="2948">
        <v>910</v>
      </c>
      <c r="G308" s="2961">
        <v>3370</v>
      </c>
    </row>
    <row r="309" spans="1:7" s="2782" customFormat="1" ht="14.25" customHeight="1">
      <c r="A309" s="2948" t="s">
        <v>306</v>
      </c>
      <c r="B309" s="2948" t="s">
        <v>3136</v>
      </c>
      <c r="C309" s="2948">
        <v>5060</v>
      </c>
      <c r="D309" s="2948">
        <v>5020</v>
      </c>
      <c r="E309" s="2948">
        <v>6370</v>
      </c>
      <c r="F309" s="2948">
        <v>800</v>
      </c>
      <c r="G309" s="2961">
        <v>3020</v>
      </c>
    </row>
    <row r="310" spans="1:7" s="2782" customFormat="1" ht="14.25" customHeight="1">
      <c r="A310" s="2948" t="s">
        <v>306</v>
      </c>
      <c r="B310" s="2948" t="s">
        <v>2985</v>
      </c>
      <c r="C310" s="2948">
        <v>5150</v>
      </c>
      <c r="D310" s="2948">
        <v>5110</v>
      </c>
      <c r="E310" s="2948">
        <v>6500</v>
      </c>
      <c r="F310" s="2948">
        <v>880</v>
      </c>
      <c r="G310" s="2961">
        <v>3080</v>
      </c>
    </row>
    <row r="311" spans="1:7" s="2782" customFormat="1" ht="14.25" customHeight="1">
      <c r="A311" s="2948" t="s">
        <v>306</v>
      </c>
      <c r="B311" s="2948" t="s">
        <v>3137</v>
      </c>
      <c r="C311" s="2948">
        <v>4750</v>
      </c>
      <c r="D311" s="2948">
        <v>4710</v>
      </c>
      <c r="E311" s="2948">
        <v>5510</v>
      </c>
      <c r="F311" s="2948">
        <v>880</v>
      </c>
      <c r="G311" s="2961">
        <v>2840</v>
      </c>
    </row>
    <row r="312" spans="1:7" s="2782" customFormat="1" ht="14.25" customHeight="1">
      <c r="A312" s="2948" t="s">
        <v>306</v>
      </c>
      <c r="B312" s="2948" t="s">
        <v>2995</v>
      </c>
      <c r="C312" s="2948">
        <v>4690</v>
      </c>
      <c r="D312" s="2948">
        <v>4640</v>
      </c>
      <c r="E312" s="2948">
        <v>5420</v>
      </c>
      <c r="F312" s="2948">
        <v>800</v>
      </c>
      <c r="G312" s="2961">
        <v>2800</v>
      </c>
    </row>
    <row r="313" spans="1:7" s="2782" customFormat="1" ht="14.25" customHeight="1">
      <c r="A313" s="2948" t="s">
        <v>306</v>
      </c>
      <c r="B313" s="2948" t="s">
        <v>3000</v>
      </c>
      <c r="C313" s="2948">
        <v>4810</v>
      </c>
      <c r="D313" s="2948">
        <v>4760</v>
      </c>
      <c r="E313" s="2948">
        <v>5550</v>
      </c>
      <c r="F313" s="2948">
        <v>920</v>
      </c>
      <c r="G313" s="2961">
        <v>2870</v>
      </c>
    </row>
    <row r="314" spans="1:7" s="2782" customFormat="1" ht="14.25" customHeight="1">
      <c r="A314" s="2948" t="s">
        <v>306</v>
      </c>
      <c r="B314" s="2948" t="s">
        <v>3138</v>
      </c>
      <c r="C314" s="2948"/>
      <c r="D314" s="2948"/>
      <c r="E314" s="2948"/>
      <c r="F314" s="2948">
        <v>1020</v>
      </c>
      <c r="G314" s="2961"/>
    </row>
    <row r="315" spans="1:7" s="2782" customFormat="1" ht="14.25" customHeight="1">
      <c r="A315" s="2948" t="s">
        <v>306</v>
      </c>
      <c r="B315" s="2948" t="s">
        <v>3139</v>
      </c>
      <c r="C315" s="2948"/>
      <c r="D315" s="2948"/>
      <c r="E315" s="2948"/>
      <c r="F315" s="2948">
        <v>1050</v>
      </c>
      <c r="G315" s="2961"/>
    </row>
    <row r="316" spans="1:7" s="2782" customFormat="1" ht="14.25" customHeight="1">
      <c r="A316" s="2948" t="s">
        <v>306</v>
      </c>
      <c r="B316" s="2948" t="s">
        <v>3015</v>
      </c>
      <c r="C316" s="2948"/>
      <c r="D316" s="2948"/>
      <c r="E316" s="2948"/>
      <c r="F316" s="2948">
        <v>900</v>
      </c>
      <c r="G316" s="2961"/>
    </row>
    <row r="317" spans="1:7" s="2782" customFormat="1" ht="14.25" customHeight="1">
      <c r="A317" s="2948" t="s">
        <v>306</v>
      </c>
      <c r="B317" s="2948" t="s">
        <v>3140</v>
      </c>
      <c r="C317" s="2948"/>
      <c r="D317" s="2948"/>
      <c r="E317" s="2948"/>
      <c r="F317" s="2948">
        <v>920</v>
      </c>
      <c r="G317" s="2961"/>
    </row>
    <row r="318" spans="1:7" s="2782" customFormat="1" ht="14.25" customHeight="1">
      <c r="A318" s="2948" t="s">
        <v>306</v>
      </c>
      <c r="B318" s="2948" t="s">
        <v>3141</v>
      </c>
      <c r="C318" s="2948"/>
      <c r="D318" s="2948"/>
      <c r="E318" s="2948"/>
      <c r="F318" s="2948">
        <v>1080</v>
      </c>
      <c r="G318" s="2961"/>
    </row>
    <row r="319" spans="1:7" s="2782" customFormat="1" ht="14.25" customHeight="1">
      <c r="A319" s="2948" t="s">
        <v>306</v>
      </c>
      <c r="B319" s="2948" t="s">
        <v>3028</v>
      </c>
      <c r="C319" s="2948"/>
      <c r="D319" s="2948"/>
      <c r="E319" s="2948"/>
      <c r="F319" s="2948">
        <v>1020</v>
      </c>
      <c r="G319" s="2961"/>
    </row>
    <row r="320" spans="1:7" s="2782" customFormat="1" ht="14.25" customHeight="1">
      <c r="A320" s="2948" t="s">
        <v>306</v>
      </c>
      <c r="B320" s="2948" t="s">
        <v>3031</v>
      </c>
      <c r="C320" s="2948"/>
      <c r="D320" s="2948"/>
      <c r="E320" s="2948"/>
      <c r="F320" s="2948">
        <v>1050</v>
      </c>
      <c r="G320" s="2961"/>
    </row>
    <row r="321" spans="1:7" s="2782" customFormat="1" ht="14.25" customHeight="1">
      <c r="A321" s="2948" t="s">
        <v>306</v>
      </c>
      <c r="B321" s="2948" t="s">
        <v>3033</v>
      </c>
      <c r="C321" s="2948"/>
      <c r="D321" s="2948"/>
      <c r="E321" s="2948"/>
      <c r="F321" s="2948">
        <v>960</v>
      </c>
      <c r="G321" s="2961"/>
    </row>
    <row r="322" spans="1:7" s="2782" customFormat="1" ht="14.25" customHeight="1">
      <c r="A322" s="2948" t="s">
        <v>306</v>
      </c>
      <c r="B322" s="2948" t="s">
        <v>3035</v>
      </c>
      <c r="C322" s="2948"/>
      <c r="D322" s="2948"/>
      <c r="E322" s="2948"/>
      <c r="F322" s="2948">
        <v>960</v>
      </c>
      <c r="G322" s="2961"/>
    </row>
    <row r="323" spans="1:7" s="2782" customFormat="1" ht="14.25" customHeight="1">
      <c r="A323" s="2948" t="s">
        <v>306</v>
      </c>
      <c r="B323" s="2948" t="s">
        <v>3037</v>
      </c>
      <c r="C323" s="2948"/>
      <c r="D323" s="2948"/>
      <c r="E323" s="2948"/>
      <c r="F323" s="2948">
        <v>880</v>
      </c>
      <c r="G323" s="2961"/>
    </row>
    <row r="324" spans="1:7" s="2782" customFormat="1" ht="14.25" customHeight="1">
      <c r="A324" s="2948" t="s">
        <v>306</v>
      </c>
      <c r="B324" s="2948" t="s">
        <v>3039</v>
      </c>
      <c r="C324" s="2948"/>
      <c r="D324" s="2948"/>
      <c r="E324" s="2948"/>
      <c r="F324" s="2948">
        <v>930</v>
      </c>
      <c r="G324" s="2961"/>
    </row>
    <row r="325" spans="1:7" s="2782" customFormat="1" ht="14.25" customHeight="1">
      <c r="A325" s="2948" t="s">
        <v>306</v>
      </c>
      <c r="B325" s="2949" t="s">
        <v>3041</v>
      </c>
      <c r="C325" s="2948"/>
      <c r="D325" s="2948"/>
      <c r="E325" s="2948"/>
      <c r="F325" s="2948">
        <v>900</v>
      </c>
      <c r="G325" s="2961"/>
    </row>
    <row r="326" spans="1:7" s="2782" customFormat="1" ht="14.25" customHeight="1" thickBot="1">
      <c r="A326" s="2962" t="s">
        <v>306</v>
      </c>
      <c r="B326" s="2955" t="s">
        <v>3043</v>
      </c>
      <c r="C326" s="2955"/>
      <c r="D326" s="2955"/>
      <c r="E326" s="2955"/>
      <c r="F326" s="2955">
        <v>790</v>
      </c>
      <c r="G326" s="2963"/>
    </row>
    <row r="327" spans="1:7" s="2782" customFormat="1" ht="14.25" customHeight="1">
      <c r="A327" s="2953" t="s">
        <v>307</v>
      </c>
      <c r="B327" s="2944" t="s">
        <v>3142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3143</v>
      </c>
      <c r="C329" s="2948">
        <v>2730</v>
      </c>
      <c r="D329" s="2948">
        <v>2690</v>
      </c>
      <c r="E329" s="2948">
        <v>3100</v>
      </c>
      <c r="F329" s="2948">
        <v>660</v>
      </c>
      <c r="G329" s="2948">
        <v>1610</v>
      </c>
    </row>
    <row r="330" spans="1:7" s="2782" customFormat="1" ht="14.25" customHeight="1">
      <c r="A330" s="2948" t="s">
        <v>307</v>
      </c>
      <c r="B330" s="2948" t="s">
        <v>3144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2877</v>
      </c>
      <c r="C332" s="2948">
        <v>3520</v>
      </c>
      <c r="D332" s="2948">
        <v>3480</v>
      </c>
      <c r="E332" s="2948">
        <v>3830</v>
      </c>
      <c r="F332" s="2948">
        <v>720</v>
      </c>
      <c r="G332" s="2948">
        <v>2090</v>
      </c>
    </row>
    <row r="333" spans="1:7" s="2782" customFormat="1" ht="14.25" customHeight="1">
      <c r="A333" s="2948" t="s">
        <v>307</v>
      </c>
      <c r="B333" s="2948" t="s">
        <v>3145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2887</v>
      </c>
      <c r="C336" s="2948">
        <v>3570</v>
      </c>
      <c r="D336" s="2948">
        <v>3530</v>
      </c>
      <c r="E336" s="2948">
        <v>3880</v>
      </c>
      <c r="F336" s="2948">
        <v>770</v>
      </c>
      <c r="G336" s="2948">
        <v>2110</v>
      </c>
    </row>
    <row r="337" spans="1:10" s="2782" customFormat="1" ht="14.25" customHeight="1">
      <c r="A337" s="2948" t="s">
        <v>307</v>
      </c>
      <c r="B337" s="2948" t="s">
        <v>3146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2912</v>
      </c>
      <c r="C345" s="2948">
        <v>3190</v>
      </c>
      <c r="D345" s="2948">
        <v>3140</v>
      </c>
      <c r="E345" s="2948">
        <v>3450</v>
      </c>
      <c r="F345" s="2948">
        <v>720</v>
      </c>
      <c r="G345" s="2948">
        <v>1880</v>
      </c>
      <c r="J345" s="2782"/>
    </row>
    <row r="346" spans="1:10">
      <c r="A346" s="2948" t="s">
        <v>307</v>
      </c>
      <c r="B346" s="2948" t="s">
        <v>3149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2921</v>
      </c>
      <c r="C348" s="2948">
        <v>4000</v>
      </c>
      <c r="D348" s="2948">
        <v>3950</v>
      </c>
      <c r="E348" s="2948">
        <v>4430</v>
      </c>
      <c r="F348" s="2948">
        <v>760</v>
      </c>
      <c r="G348" s="2948">
        <v>2360</v>
      </c>
      <c r="J348" s="2782"/>
    </row>
    <row r="349" spans="1:10">
      <c r="A349" s="2948" t="s">
        <v>307</v>
      </c>
      <c r="B349" s="2948" t="s">
        <v>2926</v>
      </c>
      <c r="C349" s="2948">
        <v>3820</v>
      </c>
      <c r="D349" s="2948">
        <v>3780</v>
      </c>
      <c r="E349" s="2948">
        <v>4170</v>
      </c>
      <c r="F349" s="2948">
        <v>710</v>
      </c>
      <c r="G349" s="2948">
        <v>2260</v>
      </c>
      <c r="J349" s="2782"/>
    </row>
    <row r="350" spans="1:10">
      <c r="A350" s="2948" t="s">
        <v>307</v>
      </c>
      <c r="B350" s="2948" t="s">
        <v>3150</v>
      </c>
      <c r="C350" s="2948">
        <v>3760</v>
      </c>
      <c r="D350" s="2948">
        <v>3730</v>
      </c>
      <c r="E350" s="2948">
        <v>4100</v>
      </c>
      <c r="F350" s="2948">
        <v>800</v>
      </c>
      <c r="G350" s="2948">
        <v>2230</v>
      </c>
      <c r="J350" s="2782"/>
    </row>
    <row r="351" spans="1:10">
      <c r="A351" s="2948" t="s">
        <v>307</v>
      </c>
      <c r="B351" s="2948" t="s">
        <v>2934</v>
      </c>
      <c r="C351" s="2948">
        <v>3610</v>
      </c>
      <c r="D351" s="2948">
        <v>3580</v>
      </c>
      <c r="E351" s="2948">
        <v>3930</v>
      </c>
      <c r="F351" s="2948">
        <v>700</v>
      </c>
      <c r="G351" s="2948">
        <v>2140</v>
      </c>
      <c r="J351" s="2782"/>
    </row>
    <row r="352" spans="1:10">
      <c r="A352" s="2948" t="s">
        <v>307</v>
      </c>
      <c r="B352" s="2948" t="s">
        <v>2939</v>
      </c>
      <c r="C352" s="2948">
        <v>3670</v>
      </c>
      <c r="D352" s="2948">
        <v>3630</v>
      </c>
      <c r="E352" s="2948">
        <v>4000</v>
      </c>
      <c r="F352" s="2948">
        <v>750</v>
      </c>
      <c r="G352" s="2948">
        <v>2180</v>
      </c>
    </row>
    <row r="353" spans="1:7" s="2783" customFormat="1">
      <c r="A353" s="2948" t="s">
        <v>307</v>
      </c>
      <c r="B353" s="2948" t="s">
        <v>3151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2959</v>
      </c>
      <c r="C355" s="2948">
        <v>3650</v>
      </c>
      <c r="D355" s="2948">
        <v>3610</v>
      </c>
      <c r="E355" s="2948">
        <v>4200</v>
      </c>
      <c r="F355" s="2948">
        <v>640</v>
      </c>
      <c r="G355" s="2948">
        <v>2160</v>
      </c>
    </row>
    <row r="356" spans="1:7" s="2783" customFormat="1">
      <c r="A356" s="2948" t="s">
        <v>307</v>
      </c>
      <c r="B356" s="2948" t="s">
        <v>2966</v>
      </c>
      <c r="C356" s="2948">
        <v>3260</v>
      </c>
      <c r="D356" s="2948">
        <v>3230</v>
      </c>
      <c r="E356" s="2948">
        <v>3740</v>
      </c>
      <c r="F356" s="2948">
        <v>600</v>
      </c>
      <c r="G356" s="2948">
        <v>1930</v>
      </c>
    </row>
    <row r="357" spans="1:7" s="2783" customFormat="1" ht="12" thickBot="1">
      <c r="A357" s="2956" t="s">
        <v>307</v>
      </c>
      <c r="B357" s="2959" t="s">
        <v>3152</v>
      </c>
      <c r="C357" s="2959">
        <v>3690</v>
      </c>
      <c r="D357" s="2959">
        <v>3650</v>
      </c>
      <c r="E357" s="2959">
        <v>4020</v>
      </c>
      <c r="F357" s="2959">
        <v>700</v>
      </c>
      <c r="G357" s="2959">
        <v>2190</v>
      </c>
    </row>
    <row r="358" spans="1:7" s="2783" customFormat="1">
      <c r="A358" s="2953" t="s">
        <v>3153</v>
      </c>
      <c r="B358" s="2944" t="s">
        <v>3154</v>
      </c>
      <c r="C358" s="2944">
        <v>2080</v>
      </c>
      <c r="D358" s="2944">
        <v>2040</v>
      </c>
      <c r="E358" s="2944">
        <v>2010</v>
      </c>
      <c r="F358" s="2944">
        <v>530</v>
      </c>
      <c r="G358" s="2960">
        <v>1230</v>
      </c>
    </row>
    <row r="359" spans="1:7" s="2783" customFormat="1">
      <c r="A359" s="2948" t="s">
        <v>3153</v>
      </c>
      <c r="B359" s="2948" t="s">
        <v>3155</v>
      </c>
      <c r="C359" s="2948">
        <v>1850</v>
      </c>
      <c r="D359" s="2948">
        <v>1820</v>
      </c>
      <c r="E359" s="2948">
        <v>1780</v>
      </c>
      <c r="F359" s="2948">
        <v>520</v>
      </c>
      <c r="G359" s="2961">
        <v>1100</v>
      </c>
    </row>
    <row r="360" spans="1:7" s="2783" customFormat="1">
      <c r="A360" s="2948" t="s">
        <v>3153</v>
      </c>
      <c r="B360" s="2948" t="s">
        <v>3156</v>
      </c>
      <c r="C360" s="2948">
        <v>2020</v>
      </c>
      <c r="D360" s="2948">
        <v>1990</v>
      </c>
      <c r="E360" s="2948">
        <v>1950</v>
      </c>
      <c r="F360" s="2948">
        <v>500</v>
      </c>
      <c r="G360" s="2961">
        <v>1200</v>
      </c>
    </row>
    <row r="361" spans="1:7" s="2783" customFormat="1">
      <c r="A361" s="2948" t="s">
        <v>3153</v>
      </c>
      <c r="B361" s="2948" t="s">
        <v>153</v>
      </c>
      <c r="C361" s="2948">
        <v>2260</v>
      </c>
      <c r="D361" s="2948">
        <v>2220</v>
      </c>
      <c r="E361" s="2948">
        <v>2180</v>
      </c>
      <c r="F361" s="2948">
        <v>580</v>
      </c>
      <c r="G361" s="2961">
        <v>1340</v>
      </c>
    </row>
    <row r="362" spans="1:7" s="2783" customFormat="1">
      <c r="A362" s="2948" t="s">
        <v>3153</v>
      </c>
      <c r="B362" s="2948" t="s">
        <v>3157</v>
      </c>
      <c r="C362" s="2948">
        <v>2650</v>
      </c>
      <c r="D362" s="2948">
        <v>2610</v>
      </c>
      <c r="E362" s="2948">
        <v>2570</v>
      </c>
      <c r="F362" s="2948">
        <v>630</v>
      </c>
      <c r="G362" s="2961">
        <v>1570</v>
      </c>
    </row>
    <row r="363" spans="1:7" s="2783" customFormat="1">
      <c r="A363" s="2948" t="s">
        <v>3153</v>
      </c>
      <c r="B363" s="2948" t="s">
        <v>2878</v>
      </c>
      <c r="C363" s="2948">
        <v>2390</v>
      </c>
      <c r="D363" s="2948">
        <v>2360</v>
      </c>
      <c r="E363" s="2948">
        <v>2320</v>
      </c>
      <c r="F363" s="2948">
        <v>600</v>
      </c>
      <c r="G363" s="2961">
        <v>1420</v>
      </c>
    </row>
    <row r="364" spans="1:7" s="2783" customFormat="1">
      <c r="A364" s="2948" t="s">
        <v>3153</v>
      </c>
      <c r="B364" s="2948" t="s">
        <v>3158</v>
      </c>
      <c r="C364" s="2948">
        <v>2050</v>
      </c>
      <c r="D364" s="2948">
        <v>2030</v>
      </c>
      <c r="E364" s="2948">
        <v>1990</v>
      </c>
      <c r="F364" s="2948">
        <v>550</v>
      </c>
      <c r="G364" s="2961">
        <v>1220</v>
      </c>
    </row>
    <row r="365" spans="1:7" s="2783" customFormat="1">
      <c r="A365" s="2948" t="s">
        <v>3153</v>
      </c>
      <c r="B365" s="2948" t="s">
        <v>200</v>
      </c>
      <c r="C365" s="2948">
        <v>2140</v>
      </c>
      <c r="D365" s="2948">
        <v>2100</v>
      </c>
      <c r="E365" s="2948">
        <v>2060</v>
      </c>
      <c r="F365" s="2948">
        <v>540</v>
      </c>
      <c r="G365" s="2961">
        <v>1270</v>
      </c>
    </row>
    <row r="366" spans="1:7" s="2783" customFormat="1">
      <c r="A366" s="2948" t="s">
        <v>3153</v>
      </c>
      <c r="B366" s="2948" t="s">
        <v>2885</v>
      </c>
      <c r="C366" s="2948">
        <v>2410</v>
      </c>
      <c r="D366" s="2948">
        <v>2370</v>
      </c>
      <c r="E366" s="2948">
        <v>2330</v>
      </c>
      <c r="F366" s="2948">
        <v>570</v>
      </c>
      <c r="G366" s="2961">
        <v>1440</v>
      </c>
    </row>
    <row r="367" spans="1:7" s="2783" customFormat="1">
      <c r="A367" s="2948" t="s">
        <v>3153</v>
      </c>
      <c r="B367" s="2948" t="s">
        <v>3159</v>
      </c>
      <c r="C367" s="2948">
        <v>2300</v>
      </c>
      <c r="D367" s="2948">
        <v>2260</v>
      </c>
      <c r="E367" s="2948">
        <v>2220</v>
      </c>
      <c r="F367" s="2948">
        <v>560</v>
      </c>
      <c r="G367" s="2961">
        <v>1370</v>
      </c>
    </row>
    <row r="368" spans="1:7" s="2783" customFormat="1">
      <c r="A368" s="2948" t="s">
        <v>3153</v>
      </c>
      <c r="B368" s="2948" t="s">
        <v>3160</v>
      </c>
      <c r="C368" s="2948">
        <v>2430</v>
      </c>
      <c r="D368" s="2948">
        <v>2390</v>
      </c>
      <c r="E368" s="2948">
        <v>2350</v>
      </c>
      <c r="F368" s="2948">
        <v>570</v>
      </c>
      <c r="G368" s="2961">
        <v>1450</v>
      </c>
    </row>
    <row r="369" spans="1:7" s="2783" customFormat="1">
      <c r="A369" s="2948" t="s">
        <v>3153</v>
      </c>
      <c r="B369" s="2948" t="s">
        <v>214</v>
      </c>
      <c r="C369" s="2948">
        <v>2320</v>
      </c>
      <c r="D369" s="2948">
        <v>2290</v>
      </c>
      <c r="E369" s="2948">
        <v>2250</v>
      </c>
      <c r="F369" s="2948">
        <v>550</v>
      </c>
      <c r="G369" s="2961">
        <v>1380</v>
      </c>
    </row>
    <row r="370" spans="1:7" s="2783" customFormat="1">
      <c r="A370" s="2948" t="s">
        <v>3153</v>
      </c>
      <c r="B370" s="2948" t="s">
        <v>221</v>
      </c>
      <c r="C370" s="2948">
        <v>2190</v>
      </c>
      <c r="D370" s="2948">
        <v>2170</v>
      </c>
      <c r="E370" s="2948">
        <v>2130</v>
      </c>
      <c r="F370" s="2948">
        <v>530</v>
      </c>
      <c r="G370" s="2961">
        <v>1310</v>
      </c>
    </row>
    <row r="371" spans="1:7" s="2783" customFormat="1">
      <c r="A371" s="2948" t="s">
        <v>3153</v>
      </c>
      <c r="B371" s="2948" t="s">
        <v>229</v>
      </c>
      <c r="C371" s="2948">
        <v>2460</v>
      </c>
      <c r="D371" s="2948">
        <v>2420</v>
      </c>
      <c r="E371" s="2948">
        <v>2370</v>
      </c>
      <c r="F371" s="2948">
        <v>560</v>
      </c>
      <c r="G371" s="2961">
        <v>1470</v>
      </c>
    </row>
    <row r="372" spans="1:7" s="2783" customFormat="1">
      <c r="A372" s="2948" t="s">
        <v>3153</v>
      </c>
      <c r="B372" s="2948" t="s">
        <v>3161</v>
      </c>
      <c r="C372" s="2948">
        <v>2250</v>
      </c>
      <c r="D372" s="2948">
        <v>2210</v>
      </c>
      <c r="E372" s="2948">
        <v>2180</v>
      </c>
      <c r="F372" s="2948">
        <v>550</v>
      </c>
      <c r="G372" s="2961">
        <v>1340</v>
      </c>
    </row>
    <row r="373" spans="1:7" s="2783" customFormat="1">
      <c r="A373" s="2948" t="s">
        <v>3153</v>
      </c>
      <c r="B373" s="2948" t="s">
        <v>258</v>
      </c>
      <c r="C373" s="2948">
        <v>2210</v>
      </c>
      <c r="D373" s="2948">
        <v>2190</v>
      </c>
      <c r="E373" s="2948">
        <v>2150</v>
      </c>
      <c r="F373" s="2948">
        <v>530</v>
      </c>
      <c r="G373" s="2961">
        <v>1320</v>
      </c>
    </row>
    <row r="374" spans="1:7" s="2783" customFormat="1">
      <c r="A374" s="2948" t="s">
        <v>3153</v>
      </c>
      <c r="B374" s="2948" t="s">
        <v>266</v>
      </c>
      <c r="C374" s="2948">
        <v>2320</v>
      </c>
      <c r="D374" s="2948">
        <v>2280</v>
      </c>
      <c r="E374" s="2948">
        <v>2230</v>
      </c>
      <c r="F374" s="2948">
        <v>580</v>
      </c>
      <c r="G374" s="2961">
        <v>1380</v>
      </c>
    </row>
    <row r="375" spans="1:7" s="2783" customFormat="1">
      <c r="A375" s="2948" t="s">
        <v>3153</v>
      </c>
      <c r="B375" s="2948" t="s">
        <v>3162</v>
      </c>
      <c r="C375" s="2948">
        <v>2090</v>
      </c>
      <c r="D375" s="2948">
        <v>2050</v>
      </c>
      <c r="E375" s="2948">
        <v>2020</v>
      </c>
      <c r="F375" s="2948">
        <v>520</v>
      </c>
      <c r="G375" s="2961">
        <v>1240</v>
      </c>
    </row>
    <row r="376" spans="1:7" s="2783" customFormat="1">
      <c r="A376" s="2948" t="s">
        <v>3153</v>
      </c>
      <c r="B376" s="2948" t="s">
        <v>277</v>
      </c>
      <c r="C376" s="2948">
        <v>2010</v>
      </c>
      <c r="D376" s="2948">
        <v>1980</v>
      </c>
      <c r="E376" s="2948">
        <v>1940</v>
      </c>
      <c r="F376" s="2948">
        <v>540</v>
      </c>
      <c r="G376" s="2961">
        <v>1190</v>
      </c>
    </row>
    <row r="377" spans="1:7" s="2783" customFormat="1" ht="12" thickBot="1">
      <c r="A377" s="2956" t="s">
        <v>3153</v>
      </c>
      <c r="B377" s="2959" t="s">
        <v>2915</v>
      </c>
      <c r="C377" s="2959">
        <v>1930</v>
      </c>
      <c r="D377" s="2959">
        <v>1890</v>
      </c>
      <c r="E377" s="2959">
        <v>1860</v>
      </c>
      <c r="F377" s="2959">
        <v>530</v>
      </c>
      <c r="G377" s="2964">
        <v>1150</v>
      </c>
    </row>
    <row r="378" spans="1:7" s="2783" customFormat="1">
      <c r="A378" s="2965" t="s">
        <v>3163</v>
      </c>
      <c r="B378" s="2944" t="s">
        <v>3164</v>
      </c>
      <c r="C378" s="2944">
        <v>1520</v>
      </c>
      <c r="D378" s="2944">
        <v>1490</v>
      </c>
      <c r="E378" s="2944">
        <v>1460</v>
      </c>
      <c r="F378" s="2944">
        <v>460</v>
      </c>
      <c r="G378" s="2960">
        <v>940</v>
      </c>
    </row>
    <row r="379" spans="1:7" s="2783" customFormat="1">
      <c r="A379" s="2966" t="s">
        <v>3163</v>
      </c>
      <c r="B379" s="2948" t="s">
        <v>3165</v>
      </c>
      <c r="C379" s="2948">
        <v>1500</v>
      </c>
      <c r="D379" s="2948">
        <v>1470</v>
      </c>
      <c r="E379" s="2948">
        <v>1430</v>
      </c>
      <c r="F379" s="2948">
        <v>460</v>
      </c>
      <c r="G379" s="2961">
        <v>920</v>
      </c>
    </row>
    <row r="380" spans="1:7" s="2783" customFormat="1">
      <c r="A380" s="2966" t="s">
        <v>3163</v>
      </c>
      <c r="B380" s="2948" t="s">
        <v>3166</v>
      </c>
      <c r="C380" s="2948">
        <v>1620</v>
      </c>
      <c r="D380" s="2948">
        <v>1590</v>
      </c>
      <c r="E380" s="2948">
        <v>1560</v>
      </c>
      <c r="F380" s="2948">
        <v>480</v>
      </c>
      <c r="G380" s="2961">
        <v>1000</v>
      </c>
    </row>
    <row r="381" spans="1:7" s="2783" customFormat="1">
      <c r="A381" s="2966" t="s">
        <v>3163</v>
      </c>
      <c r="B381" s="2948" t="s">
        <v>3167</v>
      </c>
      <c r="C381" s="2948">
        <v>1460</v>
      </c>
      <c r="D381" s="2948">
        <v>1430</v>
      </c>
      <c r="E381" s="2948">
        <v>1390</v>
      </c>
      <c r="F381" s="2948">
        <v>450</v>
      </c>
      <c r="G381" s="2961">
        <v>900</v>
      </c>
    </row>
    <row r="382" spans="1:7" s="2783" customFormat="1">
      <c r="A382" s="2966" t="s">
        <v>3163</v>
      </c>
      <c r="B382" s="2948" t="s">
        <v>3168</v>
      </c>
      <c r="C382" s="2948">
        <v>1310</v>
      </c>
      <c r="D382" s="2948">
        <v>1280</v>
      </c>
      <c r="E382" s="2948">
        <v>1250</v>
      </c>
      <c r="F382" s="2948">
        <v>440</v>
      </c>
      <c r="G382" s="2961">
        <v>800</v>
      </c>
    </row>
    <row r="383" spans="1:7" s="2783" customFormat="1">
      <c r="A383" s="2966" t="s">
        <v>3163</v>
      </c>
      <c r="B383" s="2948" t="s">
        <v>3169</v>
      </c>
      <c r="C383" s="2948">
        <v>1260</v>
      </c>
      <c r="D383" s="2948">
        <v>1230</v>
      </c>
      <c r="E383" s="2948">
        <v>1200</v>
      </c>
      <c r="F383" s="2948">
        <v>420</v>
      </c>
      <c r="G383" s="2961">
        <v>770</v>
      </c>
    </row>
    <row r="384" spans="1:7" s="2783" customFormat="1" ht="12" thickBot="1">
      <c r="A384" s="2967" t="s">
        <v>3163</v>
      </c>
      <c r="B384" s="2955" t="s">
        <v>3170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45898</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
      <c r="A3" s="3185"/>
      <c r="B3" s="3185"/>
      <c r="C3" s="3185"/>
      <c r="D3" s="801" t="s">
        <v>925</v>
      </c>
      <c r="E3" s="801" t="s">
        <v>931</v>
      </c>
      <c r="F3" s="801" t="s">
        <v>925</v>
      </c>
      <c r="G3" s="801" t="s">
        <v>926</v>
      </c>
      <c r="H3" s="801" t="s">
        <v>925</v>
      </c>
      <c r="I3" s="801" t="s">
        <v>926</v>
      </c>
    </row>
    <row r="4" spans="1:9" ht="15">
      <c r="A4" s="1403" t="str">
        <f>项目基本情况!S2</f>
        <v>北京市房地产</v>
      </c>
      <c r="B4" s="801">
        <f>项目基本情况!C17</f>
        <v>1240.3</v>
      </c>
      <c r="C4" s="801">
        <f>项目基本情况!C18</f>
        <v>548</v>
      </c>
      <c r="D4" s="801">
        <f ca="1">结果表!D118</f>
        <v>136</v>
      </c>
      <c r="E4" s="801">
        <f ca="1">结果表!E118</f>
        <v>1097</v>
      </c>
      <c r="F4" s="801">
        <f ca="1">结果表!F118</f>
        <v>401</v>
      </c>
      <c r="G4" s="801">
        <f ca="1">结果表!G118</f>
        <v>3233</v>
      </c>
      <c r="H4" s="801">
        <f ca="1">结果表!H118</f>
        <v>537</v>
      </c>
      <c r="I4" s="801">
        <f ca="1">结果表!I118</f>
        <v>4330</v>
      </c>
    </row>
    <row r="5" spans="1:9" ht="30" customHeight="1">
      <c r="A5" s="3185" t="s">
        <v>927</v>
      </c>
      <c r="B5" s="3185"/>
      <c r="C5" s="3185"/>
      <c r="D5" s="3185" t="str">
        <f ca="1">结果表!D119</f>
        <v>壹佰叁拾陆万元整</v>
      </c>
      <c r="E5" s="3185"/>
      <c r="F5" s="3185" t="str">
        <f ca="1">结果表!F119</f>
        <v>肆佰零壹万元整</v>
      </c>
      <c r="G5" s="3185"/>
      <c r="H5" s="3185" t="str">
        <f ca="1">结果表!H119</f>
        <v>伍佰叁拾柒万元整</v>
      </c>
      <c r="I5" s="3185"/>
    </row>
    <row r="6" spans="1:9" ht="15.75">
      <c r="A6" s="3184" t="str">
        <f>结果表!A120</f>
        <v>估价师知悉的法定优先受偿款</v>
      </c>
      <c r="B6" s="3184"/>
      <c r="C6" s="3184"/>
      <c r="D6" s="3184">
        <f>结果表!D120</f>
        <v>0</v>
      </c>
      <c r="E6" s="3184"/>
      <c r="F6" s="3184"/>
      <c r="G6" s="3184"/>
      <c r="H6" s="3184"/>
      <c r="I6" s="3184"/>
    </row>
    <row r="7" spans="1:9" ht="15">
      <c r="A7" s="3185" t="s">
        <v>927</v>
      </c>
      <c r="B7" s="3185"/>
      <c r="C7" s="3185"/>
      <c r="D7" s="3186" t="str">
        <f>结果表!D121</f>
        <v>零元整</v>
      </c>
      <c r="E7" s="3187"/>
      <c r="F7" s="3187"/>
      <c r="G7" s="3187"/>
      <c r="H7" s="3187"/>
      <c r="I7" s="3188"/>
    </row>
    <row r="8" spans="1:9" ht="15.75">
      <c r="A8" s="3184" t="str">
        <f>结果表!A122</f>
        <v>房地产抵押价值</v>
      </c>
      <c r="B8" s="3184"/>
      <c r="C8" s="3184"/>
      <c r="D8" s="3184">
        <f ca="1">结果表!D122</f>
        <v>537</v>
      </c>
      <c r="E8" s="3184"/>
      <c r="F8" s="3184"/>
      <c r="G8" s="3184"/>
      <c r="H8" s="3184"/>
      <c r="I8" s="3184"/>
    </row>
    <row r="9" spans="1:9" ht="15">
      <c r="A9" s="3185" t="s">
        <v>927</v>
      </c>
      <c r="B9" s="3185"/>
      <c r="C9" s="3185"/>
      <c r="D9" s="3185" t="str">
        <f ca="1">结果表!D123</f>
        <v>伍佰叁拾柒万元整</v>
      </c>
      <c r="E9" s="3185"/>
      <c r="F9" s="3185"/>
      <c r="G9" s="3185"/>
      <c r="H9" s="3185"/>
      <c r="I9" s="3185"/>
    </row>
    <row r="10" spans="1:9" ht="15.75">
      <c r="A10" s="3184" t="str">
        <f>结果表!A124</f>
        <v/>
      </c>
      <c r="B10" s="3184"/>
      <c r="C10" s="3184"/>
      <c r="D10" s="3184" t="str">
        <f>结果表!D124</f>
        <v>——</v>
      </c>
      <c r="E10" s="3184"/>
      <c r="F10" s="3184"/>
      <c r="G10" s="3184"/>
      <c r="H10" s="3184"/>
      <c r="I10" s="3184"/>
    </row>
    <row r="11" spans="1:9" ht="15">
      <c r="A11" s="3185" t="s">
        <v>927</v>
      </c>
      <c r="B11" s="3185"/>
      <c r="C11" s="3185"/>
      <c r="D11" s="3185" t="e">
        <f>结果表!D125</f>
        <v>#VALUE!</v>
      </c>
      <c r="E11" s="3185"/>
      <c r="F11" s="3185"/>
      <c r="G11" s="3185"/>
      <c r="H11" s="3185"/>
      <c r="I11" s="3185"/>
    </row>
    <row r="12" spans="1:9" ht="15.75">
      <c r="A12" s="3184" t="str">
        <f>结果表!A126</f>
        <v/>
      </c>
      <c r="B12" s="3184"/>
      <c r="C12" s="3184"/>
      <c r="D12" s="3184" t="str">
        <f>结果表!D126</f>
        <v>——</v>
      </c>
      <c r="E12" s="3184"/>
      <c r="F12" s="3184"/>
      <c r="G12" s="3184"/>
      <c r="H12" s="3184"/>
      <c r="I12" s="3184"/>
    </row>
    <row r="13" spans="1:9" ht="15.75" thickBot="1">
      <c r="A13" s="3182" t="s">
        <v>927</v>
      </c>
      <c r="B13" s="3182"/>
      <c r="C13" s="3182"/>
      <c r="D13" s="3182" t="e">
        <f>结果表!D127</f>
        <v>#VALUE!</v>
      </c>
      <c r="E13" s="3182"/>
      <c r="F13" s="3182"/>
      <c r="G13" s="3182"/>
      <c r="H13" s="3182"/>
      <c r="I13" s="3182"/>
    </row>
    <row r="14" spans="1:9" ht="15" thickTop="1">
      <c r="A14" s="3183" t="s">
        <v>932</v>
      </c>
      <c r="B14" s="3183"/>
      <c r="C14" s="3183"/>
      <c r="D14" s="3183"/>
      <c r="E14" s="3183"/>
      <c r="F14" s="3183"/>
      <c r="G14" s="3183"/>
      <c r="H14" s="3183"/>
      <c r="I14" s="318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7" t="s">
        <v>949</v>
      </c>
      <c r="B1" s="3197"/>
      <c r="C1" s="3197"/>
      <c r="D1" s="3197"/>
    </row>
    <row r="2" spans="1:4" ht="18">
      <c r="A2" s="3198" t="s">
        <v>933</v>
      </c>
      <c r="B2" s="3198"/>
      <c r="C2" s="3198"/>
      <c r="D2" s="319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8" t="s">
        <v>939</v>
      </c>
      <c r="B6" s="3198"/>
      <c r="C6" s="3198"/>
      <c r="D6" s="319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9" t="s">
        <v>942</v>
      </c>
      <c r="B11" s="3191"/>
      <c r="C11" s="3191"/>
      <c r="D11" s="3191"/>
    </row>
    <row r="12" spans="1:4" ht="15.7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5" t="s">
        <v>956</v>
      </c>
      <c r="B15" s="3200" t="s">
        <v>109</v>
      </c>
      <c r="C15" s="3201"/>
    </row>
    <row r="16" spans="1:7" ht="13.5">
      <c r="A16" s="3206"/>
      <c r="B16" s="3200" t="s">
        <v>42</v>
      </c>
      <c r="C16" s="3201"/>
    </row>
    <row r="17" spans="1:3" ht="13.5">
      <c r="A17" s="3206"/>
      <c r="B17" s="3203" t="s">
        <v>957</v>
      </c>
      <c r="C17" s="1429" t="s">
        <v>956</v>
      </c>
    </row>
    <row r="18" spans="1:3" ht="13.5">
      <c r="A18" s="3206"/>
      <c r="B18" s="3203"/>
      <c r="C18" s="1429" t="s">
        <v>958</v>
      </c>
    </row>
    <row r="19" spans="1:3" ht="13.5">
      <c r="A19" s="3206"/>
      <c r="B19" s="3203"/>
      <c r="C19" s="1429" t="s">
        <v>959</v>
      </c>
    </row>
    <row r="20" spans="1:3" ht="13.5">
      <c r="A20" s="3207"/>
      <c r="B20" s="3202" t="s">
        <v>960</v>
      </c>
      <c r="C20" s="3201"/>
    </row>
    <row r="21" spans="1:3" ht="13.5">
      <c r="A21" s="1430" t="s">
        <v>961</v>
      </c>
      <c r="B21" s="1431"/>
      <c r="C21" s="1432"/>
    </row>
    <row r="22" spans="1:3" ht="13.5">
      <c r="A22" s="3204" t="s">
        <v>962</v>
      </c>
      <c r="B22" s="3202" t="s">
        <v>963</v>
      </c>
      <c r="C22" s="3201"/>
    </row>
    <row r="23" spans="1:3" ht="13.5">
      <c r="A23" s="3204"/>
      <c r="B23" s="3202" t="s">
        <v>964</v>
      </c>
      <c r="C23" s="3201"/>
    </row>
    <row r="24" spans="1:3" ht="13.5">
      <c r="A24" s="3204"/>
      <c r="B24" s="3202" t="s">
        <v>965</v>
      </c>
      <c r="C24" s="3201"/>
    </row>
    <row r="25" spans="1:3" ht="13.5">
      <c r="A25" s="3204"/>
      <c r="B25" s="3203" t="s">
        <v>966</v>
      </c>
      <c r="C25" s="1429" t="s">
        <v>967</v>
      </c>
    </row>
    <row r="26" spans="1:3" ht="13.5">
      <c r="A26" s="3204"/>
      <c r="B26" s="3203"/>
      <c r="C26" s="1429" t="s">
        <v>968</v>
      </c>
    </row>
    <row r="27" spans="1:3" ht="13.5">
      <c r="A27" s="3204"/>
      <c r="B27" s="3203"/>
      <c r="C27" s="1429" t="s">
        <v>969</v>
      </c>
    </row>
    <row r="28" spans="1:3" ht="13.5">
      <c r="A28" s="3204"/>
      <c r="B28" s="3203"/>
      <c r="C28" s="1429" t="s">
        <v>970</v>
      </c>
    </row>
    <row r="29" spans="1:3" ht="13.5">
      <c r="A29" s="3204"/>
      <c r="B29" s="3203"/>
      <c r="C29" s="1429" t="s">
        <v>971</v>
      </c>
    </row>
    <row r="30" spans="1:3" ht="13.5">
      <c r="A30" s="3204"/>
      <c r="B30" s="3203"/>
      <c r="C30" s="1429" t="s">
        <v>972</v>
      </c>
    </row>
    <row r="31" spans="1:3" ht="13.5">
      <c r="A31" s="3204"/>
      <c r="B31" s="3203"/>
      <c r="C31" s="1429" t="s">
        <v>973</v>
      </c>
    </row>
    <row r="32" spans="1:3" ht="13.5">
      <c r="A32" s="3204"/>
      <c r="B32" s="3203"/>
      <c r="C32" s="1429" t="s">
        <v>974</v>
      </c>
    </row>
    <row r="33" spans="1:3" ht="13.5">
      <c r="A33" s="3204"/>
      <c r="B33" s="320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45898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2160</v>
      </c>
      <c r="B17" s="3208"/>
      <c r="C17" s="3208"/>
      <c r="D17" s="3208"/>
      <c r="E17" s="3208"/>
      <c r="F17" s="3208"/>
      <c r="G17" s="3208"/>
      <c r="H17" s="3208"/>
    </row>
    <row r="18" spans="1:8" ht="24" customHeight="1">
      <c r="A18" s="3209" t="s">
        <v>2161</v>
      </c>
      <c r="B18" s="3209"/>
      <c r="C18" s="3209"/>
      <c r="D18" s="2160"/>
      <c r="E18" s="3210" t="s">
        <v>2162</v>
      </c>
      <c r="F18" s="3209"/>
      <c r="G18" s="320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2025-08-29T07:57:36Z</dcterms:modified>
</cp:coreProperties>
</file>